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en\Warhammer 40k\Betrayal\"/>
    </mc:Choice>
  </mc:AlternateContent>
  <bookViews>
    <workbookView xWindow="0" yWindow="0" windowWidth="28800" windowHeight="12300" activeTab="2"/>
  </bookViews>
  <sheets>
    <sheet name="Space Marines" sheetId="1" r:id="rId1"/>
    <sheet name="Chaos Space Marines" sheetId="2" r:id="rId2"/>
    <sheet name="Elda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7" i="3" l="1"/>
  <c r="Q27" i="3"/>
  <c r="R27" i="3"/>
  <c r="S27" i="3"/>
  <c r="T27" i="3" s="1"/>
  <c r="W27" i="3"/>
  <c r="X27" i="3"/>
  <c r="Z27" i="3" s="1"/>
  <c r="Y27" i="3"/>
  <c r="P28" i="3"/>
  <c r="Q28" i="3"/>
  <c r="R28" i="3"/>
  <c r="S28" i="3" s="1"/>
  <c r="W28" i="3"/>
  <c r="X28" i="3"/>
  <c r="Z28" i="3" s="1"/>
  <c r="Y28" i="3"/>
  <c r="P29" i="3"/>
  <c r="Q29" i="3"/>
  <c r="S29" i="3" s="1"/>
  <c r="R29" i="3"/>
  <c r="W29" i="3"/>
  <c r="X29" i="3"/>
  <c r="Y29" i="3"/>
  <c r="Z29" i="3"/>
  <c r="AA29" i="3" s="1"/>
  <c r="Z21" i="3"/>
  <c r="Z24" i="3"/>
  <c r="Z26" i="3"/>
  <c r="P5" i="3"/>
  <c r="Q5" i="3"/>
  <c r="R5" i="3"/>
  <c r="S5" i="3" s="1"/>
  <c r="W5" i="3"/>
  <c r="Z5" i="3" s="1"/>
  <c r="X5" i="3"/>
  <c r="Y5" i="3"/>
  <c r="P6" i="3"/>
  <c r="Q6" i="3"/>
  <c r="R6" i="3"/>
  <c r="W6" i="3"/>
  <c r="X6" i="3"/>
  <c r="Z6" i="3" s="1"/>
  <c r="Y6" i="3"/>
  <c r="P7" i="3"/>
  <c r="Q7" i="3"/>
  <c r="S7" i="3" s="1"/>
  <c r="U7" i="3" s="1"/>
  <c r="R7" i="3"/>
  <c r="W7" i="3"/>
  <c r="X7" i="3"/>
  <c r="Y7" i="3"/>
  <c r="Z7" i="3" s="1"/>
  <c r="P8" i="3"/>
  <c r="Q8" i="3"/>
  <c r="R8" i="3"/>
  <c r="W8" i="3"/>
  <c r="X8" i="3"/>
  <c r="Z8" i="3" s="1"/>
  <c r="Y8" i="3"/>
  <c r="P9" i="3"/>
  <c r="Q9" i="3"/>
  <c r="S9" i="3" s="1"/>
  <c r="R9" i="3"/>
  <c r="W9" i="3"/>
  <c r="X9" i="3"/>
  <c r="Z9" i="3" s="1"/>
  <c r="AB9" i="3" s="1"/>
  <c r="Y9" i="3"/>
  <c r="P10" i="3"/>
  <c r="Q10" i="3"/>
  <c r="R10" i="3"/>
  <c r="W10" i="3"/>
  <c r="X10" i="3"/>
  <c r="Z10" i="3" s="1"/>
  <c r="Y10" i="3"/>
  <c r="P11" i="3"/>
  <c r="Q11" i="3"/>
  <c r="S11" i="3" s="1"/>
  <c r="R11" i="3"/>
  <c r="W11" i="3"/>
  <c r="Z11" i="3" s="1"/>
  <c r="X11" i="3"/>
  <c r="Y11" i="3"/>
  <c r="P13" i="3"/>
  <c r="Q13" i="3"/>
  <c r="R13" i="3"/>
  <c r="W13" i="3"/>
  <c r="X13" i="3"/>
  <c r="Z13" i="3" s="1"/>
  <c r="Y13" i="3"/>
  <c r="P14" i="3"/>
  <c r="Q14" i="3"/>
  <c r="R14" i="3"/>
  <c r="W14" i="3"/>
  <c r="X14" i="3"/>
  <c r="Z14" i="3" s="1"/>
  <c r="Y14" i="3"/>
  <c r="P15" i="3"/>
  <c r="Q15" i="3"/>
  <c r="S15" i="3" s="1"/>
  <c r="R15" i="3"/>
  <c r="W15" i="3"/>
  <c r="X15" i="3"/>
  <c r="Z15" i="3" s="1"/>
  <c r="Y15" i="3"/>
  <c r="P16" i="3"/>
  <c r="Q16" i="3"/>
  <c r="S16" i="3" s="1"/>
  <c r="R16" i="3"/>
  <c r="W16" i="3"/>
  <c r="X16" i="3"/>
  <c r="Z16" i="3" s="1"/>
  <c r="Y16" i="3"/>
  <c r="P17" i="3"/>
  <c r="Q17" i="3"/>
  <c r="R17" i="3"/>
  <c r="W17" i="3"/>
  <c r="X17" i="3"/>
  <c r="Y17" i="3"/>
  <c r="Z17" i="3" s="1"/>
  <c r="P19" i="3"/>
  <c r="Q19" i="3"/>
  <c r="S19" i="3" s="1"/>
  <c r="R19" i="3"/>
  <c r="W19" i="3"/>
  <c r="X19" i="3"/>
  <c r="Z19" i="3" s="1"/>
  <c r="Y19" i="3"/>
  <c r="P20" i="3"/>
  <c r="Q20" i="3"/>
  <c r="R20" i="3"/>
  <c r="W20" i="3"/>
  <c r="X20" i="3"/>
  <c r="Z20" i="3" s="1"/>
  <c r="Y20" i="3"/>
  <c r="P21" i="3"/>
  <c r="Q21" i="3"/>
  <c r="R21" i="3"/>
  <c r="W21" i="3"/>
  <c r="X21" i="3"/>
  <c r="Y21" i="3"/>
  <c r="P22" i="3"/>
  <c r="Q22" i="3"/>
  <c r="R22" i="3"/>
  <c r="W22" i="3"/>
  <c r="X22" i="3"/>
  <c r="Y22" i="3"/>
  <c r="P23" i="3"/>
  <c r="Q23" i="3"/>
  <c r="S23" i="3" s="1"/>
  <c r="R23" i="3"/>
  <c r="W23" i="3"/>
  <c r="Z23" i="3" s="1"/>
  <c r="X23" i="3"/>
  <c r="Y23" i="3"/>
  <c r="P24" i="3"/>
  <c r="Q24" i="3"/>
  <c r="R24" i="3"/>
  <c r="W24" i="3"/>
  <c r="X24" i="3"/>
  <c r="Y24" i="3"/>
  <c r="P25" i="3"/>
  <c r="Q25" i="3"/>
  <c r="R25" i="3"/>
  <c r="W25" i="3"/>
  <c r="X25" i="3"/>
  <c r="Y25" i="3"/>
  <c r="P26" i="3"/>
  <c r="Q26" i="3"/>
  <c r="R26" i="3"/>
  <c r="W26" i="3"/>
  <c r="X26" i="3"/>
  <c r="Y26" i="3"/>
  <c r="P33" i="3"/>
  <c r="Q33" i="3"/>
  <c r="R33" i="3"/>
  <c r="W33" i="3"/>
  <c r="X33" i="3"/>
  <c r="Z33" i="3" s="1"/>
  <c r="Y33" i="3"/>
  <c r="P34" i="3"/>
  <c r="Q34" i="3"/>
  <c r="R34" i="3"/>
  <c r="W34" i="3"/>
  <c r="X34" i="3"/>
  <c r="Y34" i="3"/>
  <c r="Z34" i="3" s="1"/>
  <c r="P35" i="3"/>
  <c r="Q35" i="3"/>
  <c r="R35" i="3"/>
  <c r="W35" i="3"/>
  <c r="X35" i="3"/>
  <c r="Z35" i="3" s="1"/>
  <c r="Y35" i="3"/>
  <c r="P36" i="3"/>
  <c r="Q36" i="3"/>
  <c r="R36" i="3"/>
  <c r="W36" i="3"/>
  <c r="X36" i="3"/>
  <c r="Z36" i="3" s="1"/>
  <c r="Y36" i="3"/>
  <c r="P37" i="3"/>
  <c r="Q37" i="3"/>
  <c r="S37" i="3" s="1"/>
  <c r="R37" i="3"/>
  <c r="W37" i="3"/>
  <c r="X37" i="3"/>
  <c r="Z37" i="3" s="1"/>
  <c r="Y37" i="3"/>
  <c r="P38" i="3"/>
  <c r="Q38" i="3"/>
  <c r="R38" i="3"/>
  <c r="W38" i="3"/>
  <c r="X38" i="3"/>
  <c r="Y38" i="3"/>
  <c r="Z38" i="3" s="1"/>
  <c r="P39" i="3"/>
  <c r="Q39" i="3"/>
  <c r="R39" i="3"/>
  <c r="S39" i="3"/>
  <c r="W39" i="3"/>
  <c r="X39" i="3"/>
  <c r="Z39" i="3" s="1"/>
  <c r="Y39" i="3"/>
  <c r="T28" i="3" l="1"/>
  <c r="AC28" i="3" s="1"/>
  <c r="U28" i="3"/>
  <c r="AB28" i="3"/>
  <c r="AA28" i="3"/>
  <c r="AA27" i="3"/>
  <c r="AC27" i="3" s="1"/>
  <c r="AB27" i="3"/>
  <c r="U29" i="3"/>
  <c r="T29" i="3"/>
  <c r="AC29" i="3" s="1"/>
  <c r="AB29" i="3"/>
  <c r="U27" i="3"/>
  <c r="Z22" i="3"/>
  <c r="S17" i="3"/>
  <c r="U17" i="3" s="1"/>
  <c r="T11" i="3"/>
  <c r="AB33" i="3"/>
  <c r="Z25" i="3"/>
  <c r="S14" i="3"/>
  <c r="AB10" i="3"/>
  <c r="AB24" i="3"/>
  <c r="AB23" i="3"/>
  <c r="S22" i="3"/>
  <c r="U22" i="3" s="1"/>
  <c r="AB6" i="3"/>
  <c r="AA21" i="3"/>
  <c r="AB20" i="3"/>
  <c r="AA36" i="3"/>
  <c r="S34" i="3"/>
  <c r="T34" i="3" s="1"/>
  <c r="S25" i="3"/>
  <c r="T25" i="3" s="1"/>
  <c r="AA19" i="3"/>
  <c r="S8" i="3"/>
  <c r="U8" i="3" s="1"/>
  <c r="T39" i="3"/>
  <c r="AB15" i="3"/>
  <c r="S13" i="3"/>
  <c r="U13" i="3" s="1"/>
  <c r="S36" i="3"/>
  <c r="T36" i="3" s="1"/>
  <c r="S35" i="3"/>
  <c r="T35" i="3" s="1"/>
  <c r="S26" i="3"/>
  <c r="U26" i="3" s="1"/>
  <c r="S21" i="3"/>
  <c r="AA14" i="3"/>
  <c r="AA39" i="3"/>
  <c r="AB39" i="3"/>
  <c r="AB38" i="3"/>
  <c r="AA38" i="3"/>
  <c r="T37" i="3"/>
  <c r="U37" i="3"/>
  <c r="AB37" i="3"/>
  <c r="AA37" i="3"/>
  <c r="U36" i="3"/>
  <c r="U35" i="3"/>
  <c r="T23" i="3"/>
  <c r="U23" i="3"/>
  <c r="U15" i="3"/>
  <c r="T5" i="3"/>
  <c r="U5" i="3"/>
  <c r="AB21" i="3"/>
  <c r="AA13" i="3"/>
  <c r="AB13" i="3"/>
  <c r="S38" i="3"/>
  <c r="S20" i="3"/>
  <c r="T9" i="3"/>
  <c r="U9" i="3"/>
  <c r="AB7" i="3"/>
  <c r="AA6" i="3"/>
  <c r="U39" i="3"/>
  <c r="AB36" i="3"/>
  <c r="AA34" i="3"/>
  <c r="AB34" i="3"/>
  <c r="S33" i="3"/>
  <c r="AA25" i="3"/>
  <c r="AB25" i="3"/>
  <c r="S24" i="3"/>
  <c r="AB14" i="3"/>
  <c r="U14" i="3"/>
  <c r="AB11" i="3"/>
  <c r="U11" i="3"/>
  <c r="S6" i="3"/>
  <c r="AA33" i="3"/>
  <c r="AA24" i="3"/>
  <c r="AB19" i="3"/>
  <c r="T19" i="3"/>
  <c r="AC19" i="3" s="1"/>
  <c r="U19" i="3"/>
  <c r="AA16" i="3"/>
  <c r="AB16" i="3"/>
  <c r="U16" i="3"/>
  <c r="AA15" i="3"/>
  <c r="S10" i="3"/>
  <c r="AA9" i="3"/>
  <c r="T7" i="3"/>
  <c r="Y5" i="1"/>
  <c r="Y6" i="1"/>
  <c r="Y7" i="1"/>
  <c r="Y8" i="1"/>
  <c r="Y9" i="1"/>
  <c r="Y10" i="1"/>
  <c r="Y4" i="1"/>
  <c r="V5" i="1"/>
  <c r="V6" i="1"/>
  <c r="V7" i="1"/>
  <c r="V8" i="1"/>
  <c r="V9" i="1"/>
  <c r="V10" i="1"/>
  <c r="V4" i="1"/>
  <c r="O5" i="1"/>
  <c r="R5" i="1" s="1"/>
  <c r="O6" i="1"/>
  <c r="R6" i="1" s="1"/>
  <c r="O7" i="1"/>
  <c r="O8" i="1"/>
  <c r="R8" i="1" s="1"/>
  <c r="O9" i="1"/>
  <c r="R9" i="1" s="1"/>
  <c r="O10" i="1"/>
  <c r="O4" i="1"/>
  <c r="R7" i="1"/>
  <c r="R10" i="1"/>
  <c r="R4" i="1"/>
  <c r="U34" i="3" l="1"/>
  <c r="AC34" i="3"/>
  <c r="T22" i="3"/>
  <c r="T13" i="3"/>
  <c r="T16" i="3"/>
  <c r="AC16" i="3" s="1"/>
  <c r="T17" i="3"/>
  <c r="T14" i="3"/>
  <c r="T15" i="3"/>
  <c r="AC15" i="3" s="1"/>
  <c r="AC36" i="3"/>
  <c r="AC25" i="3"/>
  <c r="AC14" i="3"/>
  <c r="AA23" i="3"/>
  <c r="AC23" i="3" s="1"/>
  <c r="AA20" i="3"/>
  <c r="AA5" i="3"/>
  <c r="AB5" i="3"/>
  <c r="AA11" i="3"/>
  <c r="AC11" i="3" s="1"/>
  <c r="AC9" i="3"/>
  <c r="AC5" i="3"/>
  <c r="T26" i="3"/>
  <c r="AC39" i="3"/>
  <c r="AA10" i="3"/>
  <c r="U25" i="3"/>
  <c r="AA7" i="3"/>
  <c r="AC7" i="3" s="1"/>
  <c r="T8" i="3"/>
  <c r="T21" i="3"/>
  <c r="AC21" i="3" s="1"/>
  <c r="U21" i="3"/>
  <c r="T24" i="3"/>
  <c r="AC24" i="3" s="1"/>
  <c r="U24" i="3"/>
  <c r="AA26" i="3"/>
  <c r="AB26" i="3"/>
  <c r="AA35" i="3"/>
  <c r="AC35" i="3" s="1"/>
  <c r="AB35" i="3"/>
  <c r="AA8" i="3"/>
  <c r="AB8" i="3"/>
  <c r="AC26" i="3"/>
  <c r="AA22" i="3"/>
  <c r="AB22" i="3"/>
  <c r="AA17" i="3"/>
  <c r="AB17" i="3"/>
  <c r="T38" i="3"/>
  <c r="AC38" i="3" s="1"/>
  <c r="U38" i="3"/>
  <c r="T6" i="3"/>
  <c r="AC6" i="3" s="1"/>
  <c r="U6" i="3"/>
  <c r="T33" i="3"/>
  <c r="AC33" i="3" s="1"/>
  <c r="U33" i="3"/>
  <c r="AC13" i="3"/>
  <c r="AC37" i="3"/>
  <c r="T10" i="3"/>
  <c r="U10" i="3"/>
  <c r="T20" i="3"/>
  <c r="U20" i="3"/>
  <c r="U20" i="2"/>
  <c r="U21" i="2"/>
  <c r="U22" i="2"/>
  <c r="U23" i="2"/>
  <c r="U24" i="2"/>
  <c r="U25" i="2"/>
  <c r="U26" i="2"/>
  <c r="U28" i="2"/>
  <c r="U29" i="2"/>
  <c r="U30" i="2"/>
  <c r="U31" i="2"/>
  <c r="U32" i="2"/>
  <c r="U33" i="2"/>
  <c r="U34" i="2"/>
  <c r="U35" i="2"/>
  <c r="U14" i="2"/>
  <c r="U15" i="2"/>
  <c r="U16" i="2"/>
  <c r="U17" i="2"/>
  <c r="U18" i="2"/>
  <c r="U13" i="2"/>
  <c r="AC22" i="3" l="1"/>
  <c r="AC17" i="3"/>
  <c r="AC10" i="3"/>
  <c r="AC20" i="3"/>
  <c r="AC8" i="3"/>
  <c r="AC26" i="2"/>
  <c r="AC28" i="2"/>
  <c r="AC29" i="2"/>
  <c r="AC30" i="2"/>
  <c r="AC31" i="2"/>
  <c r="AC32" i="2"/>
  <c r="AC33" i="2"/>
  <c r="AC35" i="2"/>
  <c r="Q22" i="2"/>
  <c r="Q23" i="2"/>
  <c r="Q24" i="2"/>
  <c r="Q25" i="2"/>
  <c r="Q26" i="2"/>
  <c r="Q28" i="2"/>
  <c r="Q29" i="2"/>
  <c r="Q30" i="2"/>
  <c r="Q31" i="2"/>
  <c r="Q32" i="2"/>
  <c r="Q33" i="2"/>
  <c r="Q34" i="2"/>
  <c r="Q35" i="2"/>
  <c r="Q13" i="2"/>
  <c r="Q14" i="2"/>
  <c r="Q15" i="2"/>
  <c r="Q16" i="2"/>
  <c r="AC16" i="2" s="1"/>
  <c r="Q17" i="2"/>
  <c r="Q18" i="2"/>
  <c r="Q20" i="2"/>
  <c r="AC20" i="2" s="1"/>
  <c r="Q21" i="2"/>
  <c r="AC21" i="2"/>
  <c r="AC22" i="2"/>
  <c r="AC23" i="2"/>
  <c r="V23" i="2"/>
  <c r="V26" i="2"/>
  <c r="V20" i="2"/>
  <c r="AC15" i="2"/>
  <c r="AC13" i="2"/>
  <c r="R18" i="2"/>
  <c r="S18" i="2"/>
  <c r="Y18" i="2"/>
  <c r="Z18" i="2"/>
  <c r="AA18" i="2"/>
  <c r="R11" i="2"/>
  <c r="S11" i="2"/>
  <c r="T11" i="2"/>
  <c r="U11" i="2"/>
  <c r="V11" i="2" s="1"/>
  <c r="Z11" i="2"/>
  <c r="AC11" i="2" s="1"/>
  <c r="AA11" i="2"/>
  <c r="AB11" i="2"/>
  <c r="AA35" i="2"/>
  <c r="Z35" i="2"/>
  <c r="Y35" i="2"/>
  <c r="S35" i="2"/>
  <c r="R35" i="2"/>
  <c r="AA34" i="2"/>
  <c r="Z34" i="2"/>
  <c r="Y34" i="2"/>
  <c r="S34" i="2"/>
  <c r="R34" i="2"/>
  <c r="AC34" i="2" s="1"/>
  <c r="AA33" i="2"/>
  <c r="Z33" i="2"/>
  <c r="Y33" i="2"/>
  <c r="S33" i="2"/>
  <c r="R33" i="2"/>
  <c r="AA32" i="2"/>
  <c r="Z32" i="2"/>
  <c r="Y32" i="2"/>
  <c r="S32" i="2"/>
  <c r="R32" i="2"/>
  <c r="AA31" i="2"/>
  <c r="Z31" i="2"/>
  <c r="Y31" i="2"/>
  <c r="S31" i="2"/>
  <c r="R31" i="2"/>
  <c r="AA30" i="2"/>
  <c r="Z30" i="2"/>
  <c r="Y30" i="2"/>
  <c r="S30" i="2"/>
  <c r="R30" i="2"/>
  <c r="AA29" i="2"/>
  <c r="Z29" i="2"/>
  <c r="Y29" i="2"/>
  <c r="S29" i="2"/>
  <c r="R29" i="2"/>
  <c r="AA28" i="2"/>
  <c r="Z28" i="2"/>
  <c r="Y28" i="2"/>
  <c r="S28" i="2"/>
  <c r="R28" i="2"/>
  <c r="AA26" i="2"/>
  <c r="Z26" i="2"/>
  <c r="Y26" i="2"/>
  <c r="S26" i="2"/>
  <c r="R26" i="2"/>
  <c r="AA25" i="2"/>
  <c r="Z25" i="2"/>
  <c r="Y25" i="2"/>
  <c r="S25" i="2"/>
  <c r="R25" i="2"/>
  <c r="AA24" i="2"/>
  <c r="Z24" i="2"/>
  <c r="Y24" i="2"/>
  <c r="S24" i="2"/>
  <c r="R24" i="2"/>
  <c r="V24" i="2" s="1"/>
  <c r="AA23" i="2"/>
  <c r="Z23" i="2"/>
  <c r="Y23" i="2"/>
  <c r="S23" i="2"/>
  <c r="R23" i="2"/>
  <c r="AA22" i="2"/>
  <c r="Z22" i="2"/>
  <c r="Y22" i="2"/>
  <c r="S22" i="2"/>
  <c r="R22" i="2"/>
  <c r="AA21" i="2"/>
  <c r="Z21" i="2"/>
  <c r="Y21" i="2"/>
  <c r="S21" i="2"/>
  <c r="R21" i="2"/>
  <c r="AA20" i="2"/>
  <c r="Z20" i="2"/>
  <c r="Y20" i="2"/>
  <c r="S20" i="2"/>
  <c r="R20" i="2"/>
  <c r="AA17" i="2"/>
  <c r="Z17" i="2"/>
  <c r="Y17" i="2"/>
  <c r="S17" i="2"/>
  <c r="R17" i="2"/>
  <c r="AA16" i="2"/>
  <c r="Z16" i="2"/>
  <c r="Y16" i="2"/>
  <c r="S16" i="2"/>
  <c r="R16" i="2"/>
  <c r="AA15" i="2"/>
  <c r="Z15" i="2"/>
  <c r="Y15" i="2"/>
  <c r="S15" i="2"/>
  <c r="R15" i="2"/>
  <c r="AA14" i="2"/>
  <c r="Z14" i="2"/>
  <c r="Y14" i="2"/>
  <c r="S14" i="2"/>
  <c r="R14" i="2"/>
  <c r="AA13" i="2"/>
  <c r="Z13" i="2"/>
  <c r="Y13" i="2"/>
  <c r="S13" i="2"/>
  <c r="R13" i="2"/>
  <c r="AB10" i="2"/>
  <c r="AA10" i="2"/>
  <c r="Z10" i="2"/>
  <c r="T10" i="2"/>
  <c r="S10" i="2"/>
  <c r="R10" i="2"/>
  <c r="AB9" i="2"/>
  <c r="AA9" i="2"/>
  <c r="Z9" i="2"/>
  <c r="T9" i="2"/>
  <c r="S9" i="2"/>
  <c r="R9" i="2"/>
  <c r="AB8" i="2"/>
  <c r="AA8" i="2"/>
  <c r="Z8" i="2"/>
  <c r="T8" i="2"/>
  <c r="S8" i="2"/>
  <c r="R8" i="2"/>
  <c r="AB7" i="2"/>
  <c r="AA7" i="2"/>
  <c r="Z7" i="2"/>
  <c r="T7" i="2"/>
  <c r="S7" i="2"/>
  <c r="R7" i="2"/>
  <c r="AB6" i="2"/>
  <c r="AA6" i="2"/>
  <c r="Z6" i="2"/>
  <c r="T6" i="2"/>
  <c r="S6" i="2"/>
  <c r="R6" i="2"/>
  <c r="AB5" i="2"/>
  <c r="AA5" i="2"/>
  <c r="Z5" i="2"/>
  <c r="T5" i="2"/>
  <c r="S5" i="2"/>
  <c r="R5" i="2"/>
  <c r="AB4" i="2"/>
  <c r="AA4" i="2"/>
  <c r="Z4" i="2"/>
  <c r="T4" i="2"/>
  <c r="S4" i="2"/>
  <c r="R4" i="2"/>
  <c r="AE32" i="2" l="1"/>
  <c r="AC25" i="2"/>
  <c r="AD25" i="2" s="1"/>
  <c r="V25" i="2"/>
  <c r="AC18" i="2"/>
  <c r="AD18" i="2" s="1"/>
  <c r="AC14" i="2"/>
  <c r="AD23" i="2"/>
  <c r="AC17" i="2"/>
  <c r="AE17" i="2" s="1"/>
  <c r="V21" i="2"/>
  <c r="AC24" i="2"/>
  <c r="AD24" i="2" s="1"/>
  <c r="AD20" i="2"/>
  <c r="AD26" i="2"/>
  <c r="AD21" i="2"/>
  <c r="V18" i="2"/>
  <c r="W18" i="2"/>
  <c r="AD11" i="2"/>
  <c r="AF11" i="2" s="1"/>
  <c r="AE11" i="2"/>
  <c r="W11" i="2"/>
  <c r="AC5" i="2"/>
  <c r="AD5" i="2" s="1"/>
  <c r="AC7" i="2"/>
  <c r="AE7" i="2" s="1"/>
  <c r="AE13" i="2"/>
  <c r="W21" i="2"/>
  <c r="AE31" i="2"/>
  <c r="AE26" i="2"/>
  <c r="W29" i="2"/>
  <c r="AE35" i="2"/>
  <c r="W15" i="2"/>
  <c r="V17" i="2"/>
  <c r="W20" i="2"/>
  <c r="W24" i="2"/>
  <c r="W33" i="2"/>
  <c r="W35" i="2"/>
  <c r="U5" i="2"/>
  <c r="W5" i="2" s="1"/>
  <c r="U7" i="2"/>
  <c r="W7" i="2" s="1"/>
  <c r="U9" i="2"/>
  <c r="W9" i="2" s="1"/>
  <c r="W14" i="2"/>
  <c r="AE16" i="2"/>
  <c r="W23" i="2"/>
  <c r="AE25" i="2"/>
  <c r="W32" i="2"/>
  <c r="W34" i="2"/>
  <c r="AC6" i="2"/>
  <c r="AC8" i="2"/>
  <c r="AE8" i="2" s="1"/>
  <c r="AC9" i="2"/>
  <c r="AD9" i="2" s="1"/>
  <c r="AC10" i="2"/>
  <c r="AE10" i="2" s="1"/>
  <c r="W25" i="2"/>
  <c r="AC4" i="2"/>
  <c r="U4" i="2"/>
  <c r="U6" i="2"/>
  <c r="V6" i="2" s="1"/>
  <c r="U8" i="2"/>
  <c r="W8" i="2" s="1"/>
  <c r="U10" i="2"/>
  <c r="AE15" i="2"/>
  <c r="AE21" i="2"/>
  <c r="V28" i="2"/>
  <c r="AE33" i="2"/>
  <c r="AE14" i="2"/>
  <c r="AD14" i="2"/>
  <c r="W26" i="2"/>
  <c r="AE20" i="2"/>
  <c r="AE4" i="2"/>
  <c r="AD4" i="2"/>
  <c r="W10" i="2"/>
  <c r="AE24" i="2"/>
  <c r="AE6" i="2"/>
  <c r="AD6" i="2"/>
  <c r="AE23" i="2"/>
  <c r="W30" i="2"/>
  <c r="AE5" i="2"/>
  <c r="V13" i="2"/>
  <c r="W13" i="2"/>
  <c r="AE28" i="2"/>
  <c r="AD13" i="2"/>
  <c r="Q13" i="1"/>
  <c r="Q5" i="1"/>
  <c r="Q6" i="1"/>
  <c r="Q7" i="1"/>
  <c r="Q8" i="1"/>
  <c r="Q9" i="1"/>
  <c r="Q10" i="1"/>
  <c r="Q12" i="1"/>
  <c r="Q14" i="1"/>
  <c r="Q15" i="1"/>
  <c r="Q16" i="1"/>
  <c r="Q18" i="1"/>
  <c r="Q19" i="1"/>
  <c r="Q20" i="1"/>
  <c r="Q21" i="1"/>
  <c r="Q22" i="1"/>
  <c r="Q23" i="1"/>
  <c r="Q24" i="1"/>
  <c r="Q25" i="1"/>
  <c r="Q27" i="1"/>
  <c r="Q28" i="1"/>
  <c r="Q29" i="1"/>
  <c r="Q30" i="1"/>
  <c r="Q31" i="1"/>
  <c r="Q32" i="1"/>
  <c r="Q33" i="1"/>
  <c r="Q34" i="1"/>
  <c r="Q35" i="1"/>
  <c r="Q36" i="1"/>
  <c r="Q37" i="1"/>
  <c r="Q38" i="1"/>
  <c r="Q4" i="1"/>
  <c r="O35" i="1"/>
  <c r="P35" i="1"/>
  <c r="V35" i="1"/>
  <c r="W35" i="1"/>
  <c r="X35" i="1"/>
  <c r="O36" i="1"/>
  <c r="P36" i="1"/>
  <c r="V36" i="1"/>
  <c r="W36" i="1"/>
  <c r="Y36" i="1" s="1"/>
  <c r="X36" i="1"/>
  <c r="O37" i="1"/>
  <c r="P37" i="1"/>
  <c r="V37" i="1"/>
  <c r="W37" i="1"/>
  <c r="X37" i="1"/>
  <c r="O38" i="1"/>
  <c r="P38" i="1"/>
  <c r="V38" i="1"/>
  <c r="W38" i="1"/>
  <c r="X38" i="1"/>
  <c r="O33" i="1"/>
  <c r="P33" i="1"/>
  <c r="V33" i="1"/>
  <c r="W33" i="1"/>
  <c r="X33" i="1"/>
  <c r="O34" i="1"/>
  <c r="P34" i="1"/>
  <c r="V34" i="1"/>
  <c r="W34" i="1"/>
  <c r="X34" i="1"/>
  <c r="P10" i="1"/>
  <c r="W10" i="1"/>
  <c r="X10" i="1"/>
  <c r="Y38" i="1" l="1"/>
  <c r="Y33" i="1"/>
  <c r="AA33" i="1" s="1"/>
  <c r="R38" i="1"/>
  <c r="R37" i="1"/>
  <c r="Y37" i="1"/>
  <c r="R34" i="1"/>
  <c r="T34" i="1" s="1"/>
  <c r="R33" i="1"/>
  <c r="T33" i="1" s="1"/>
  <c r="R36" i="1"/>
  <c r="T36" i="1" s="1"/>
  <c r="R35" i="1"/>
  <c r="T35" i="1" s="1"/>
  <c r="T10" i="1"/>
  <c r="Y34" i="1"/>
  <c r="AA34" i="1" s="1"/>
  <c r="Y35" i="1"/>
  <c r="AA35" i="1" s="1"/>
  <c r="AD32" i="2"/>
  <c r="AE18" i="2"/>
  <c r="W22" i="2"/>
  <c r="V22" i="2"/>
  <c r="AE22" i="2"/>
  <c r="AD22" i="2"/>
  <c r="AD31" i="2"/>
  <c r="AD33" i="2"/>
  <c r="AD29" i="2"/>
  <c r="AD28" i="2"/>
  <c r="AF28" i="2" s="1"/>
  <c r="AD30" i="2"/>
  <c r="AF18" i="2"/>
  <c r="V14" i="2"/>
  <c r="AF14" i="2" s="1"/>
  <c r="AD15" i="2"/>
  <c r="AD16" i="2"/>
  <c r="AD34" i="2"/>
  <c r="AF24" i="2"/>
  <c r="AD35" i="2"/>
  <c r="AF23" i="2"/>
  <c r="AF20" i="2"/>
  <c r="AD8" i="2"/>
  <c r="AD7" i="2"/>
  <c r="V7" i="2"/>
  <c r="AD10" i="2"/>
  <c r="W6" i="2"/>
  <c r="V16" i="2"/>
  <c r="V15" i="2"/>
  <c r="W16" i="2"/>
  <c r="V30" i="2"/>
  <c r="W17" i="2"/>
  <c r="AE30" i="2"/>
  <c r="V10" i="2"/>
  <c r="AE29" i="2"/>
  <c r="AF26" i="2"/>
  <c r="V31" i="2"/>
  <c r="AD17" i="2"/>
  <c r="AF17" i="2" s="1"/>
  <c r="V34" i="2"/>
  <c r="AF34" i="2" s="1"/>
  <c r="V4" i="2"/>
  <c r="AF4" i="2" s="1"/>
  <c r="V29" i="2"/>
  <c r="V9" i="2"/>
  <c r="V8" i="2"/>
  <c r="AF8" i="2" s="1"/>
  <c r="W4" i="2"/>
  <c r="W31" i="2"/>
  <c r="AE9" i="2"/>
  <c r="AE34" i="2"/>
  <c r="W28" i="2"/>
  <c r="V33" i="2"/>
  <c r="V5" i="2"/>
  <c r="AF5" i="2" s="1"/>
  <c r="AF13" i="2"/>
  <c r="V35" i="2"/>
  <c r="V32" i="2"/>
  <c r="AF6" i="2"/>
  <c r="AF7" i="2"/>
  <c r="AF9" i="2"/>
  <c r="T37" i="1"/>
  <c r="AA36" i="1"/>
  <c r="AA38" i="1"/>
  <c r="T38" i="1"/>
  <c r="AA37" i="1"/>
  <c r="AA10" i="1"/>
  <c r="P4" i="1"/>
  <c r="P5" i="1"/>
  <c r="P6" i="1"/>
  <c r="P7" i="1"/>
  <c r="P8" i="1"/>
  <c r="P9" i="1"/>
  <c r="P12" i="1"/>
  <c r="P13" i="1"/>
  <c r="P14" i="1"/>
  <c r="P15" i="1"/>
  <c r="P16" i="1"/>
  <c r="P18" i="1"/>
  <c r="P19" i="1"/>
  <c r="P20" i="1"/>
  <c r="P21" i="1"/>
  <c r="P22" i="1"/>
  <c r="P23" i="1"/>
  <c r="P24" i="1"/>
  <c r="P25" i="1"/>
  <c r="P27" i="1"/>
  <c r="P28" i="1"/>
  <c r="P29" i="1"/>
  <c r="P30" i="1"/>
  <c r="P31" i="1"/>
  <c r="P32" i="1"/>
  <c r="W4" i="1"/>
  <c r="W5" i="1"/>
  <c r="W6" i="1"/>
  <c r="W7" i="1"/>
  <c r="W8" i="1"/>
  <c r="W9" i="1"/>
  <c r="W12" i="1"/>
  <c r="W13" i="1"/>
  <c r="W14" i="1"/>
  <c r="W15" i="1"/>
  <c r="W16" i="1"/>
  <c r="W18" i="1"/>
  <c r="W19" i="1"/>
  <c r="W20" i="1"/>
  <c r="W21" i="1"/>
  <c r="W22" i="1"/>
  <c r="W23" i="1"/>
  <c r="W24" i="1"/>
  <c r="W25" i="1"/>
  <c r="W27" i="1"/>
  <c r="W28" i="1"/>
  <c r="W29" i="1"/>
  <c r="W30" i="1"/>
  <c r="W31" i="1"/>
  <c r="W32" i="1"/>
  <c r="AF33" i="2" l="1"/>
  <c r="AF32" i="2"/>
  <c r="AF31" i="2"/>
  <c r="AF29" i="2"/>
  <c r="AF22" i="2"/>
  <c r="AF21" i="2"/>
  <c r="AF30" i="2"/>
  <c r="AF25" i="2"/>
  <c r="AF15" i="2"/>
  <c r="AF16" i="2"/>
  <c r="AF35" i="2"/>
  <c r="AF10" i="2"/>
  <c r="X5" i="1"/>
  <c r="X6" i="1"/>
  <c r="X7" i="1"/>
  <c r="X8" i="1"/>
  <c r="X9" i="1"/>
  <c r="X12" i="1"/>
  <c r="X13" i="1"/>
  <c r="X14" i="1"/>
  <c r="X15" i="1"/>
  <c r="X16" i="1"/>
  <c r="X18" i="1"/>
  <c r="X19" i="1"/>
  <c r="X20" i="1"/>
  <c r="X21" i="1"/>
  <c r="X22" i="1"/>
  <c r="X23" i="1"/>
  <c r="X24" i="1"/>
  <c r="X25" i="1"/>
  <c r="X27" i="1"/>
  <c r="X28" i="1"/>
  <c r="X29" i="1"/>
  <c r="X30" i="1"/>
  <c r="X31" i="1"/>
  <c r="X32" i="1"/>
  <c r="X4" i="1"/>
  <c r="V13" i="1"/>
  <c r="V14" i="1"/>
  <c r="V15" i="1"/>
  <c r="V16" i="1"/>
  <c r="V18" i="1"/>
  <c r="V19" i="1"/>
  <c r="V20" i="1"/>
  <c r="V21" i="1"/>
  <c r="V22" i="1"/>
  <c r="V23" i="1"/>
  <c r="V24" i="1"/>
  <c r="V25" i="1"/>
  <c r="V27" i="1"/>
  <c r="V28" i="1"/>
  <c r="V29" i="1"/>
  <c r="V30" i="1"/>
  <c r="V31" i="1"/>
  <c r="V32" i="1"/>
  <c r="V12" i="1"/>
  <c r="O27" i="1"/>
  <c r="R27" i="1" s="1"/>
  <c r="O28" i="1"/>
  <c r="R28" i="1" s="1"/>
  <c r="O29" i="1"/>
  <c r="R29" i="1" s="1"/>
  <c r="O30" i="1"/>
  <c r="R30" i="1" s="1"/>
  <c r="O31" i="1"/>
  <c r="R31" i="1" s="1"/>
  <c r="O32" i="1"/>
  <c r="R32" i="1" s="1"/>
  <c r="O18" i="1"/>
  <c r="R18" i="1" s="1"/>
  <c r="O19" i="1"/>
  <c r="R19" i="1" s="1"/>
  <c r="O20" i="1"/>
  <c r="R20" i="1" s="1"/>
  <c r="O21" i="1"/>
  <c r="R21" i="1" s="1"/>
  <c r="O22" i="1"/>
  <c r="R22" i="1" s="1"/>
  <c r="O23" i="1"/>
  <c r="R23" i="1" s="1"/>
  <c r="O24" i="1"/>
  <c r="R24" i="1" s="1"/>
  <c r="O25" i="1"/>
  <c r="R25" i="1" s="1"/>
  <c r="O13" i="1"/>
  <c r="R13" i="1" s="1"/>
  <c r="O14" i="1"/>
  <c r="R14" i="1" s="1"/>
  <c r="O15" i="1"/>
  <c r="R15" i="1" s="1"/>
  <c r="O16" i="1"/>
  <c r="R16" i="1" s="1"/>
  <c r="O12" i="1"/>
  <c r="R12" i="1" s="1"/>
  <c r="Y14" i="1" l="1"/>
  <c r="AA14" i="1" s="1"/>
  <c r="Y21" i="1"/>
  <c r="AA21" i="1" s="1"/>
  <c r="T14" i="1"/>
  <c r="T21" i="1"/>
  <c r="S35" i="1" l="1"/>
  <c r="S38" i="1"/>
  <c r="S36" i="1"/>
  <c r="S33" i="1"/>
  <c r="S34" i="1"/>
  <c r="S37" i="1"/>
  <c r="Y23" i="1"/>
  <c r="Y28" i="1"/>
  <c r="Y29" i="1"/>
  <c r="Y30" i="1"/>
  <c r="Y32" i="1" l="1"/>
  <c r="AA32" i="1" s="1"/>
  <c r="Y31" i="1"/>
  <c r="AA31" i="1" s="1"/>
  <c r="Y27" i="1"/>
  <c r="S27" i="1"/>
  <c r="T30" i="1"/>
  <c r="T32" i="1"/>
  <c r="T31" i="1"/>
  <c r="AA28" i="1"/>
  <c r="AA30" i="1"/>
  <c r="AA29" i="1"/>
  <c r="Y25" i="1"/>
  <c r="Y22" i="1"/>
  <c r="Y24" i="1"/>
  <c r="Y18" i="1"/>
  <c r="Z37" i="1" l="1"/>
  <c r="AB37" i="1" s="1"/>
  <c r="Z34" i="1"/>
  <c r="AB34" i="1" s="1"/>
  <c r="Z38" i="1"/>
  <c r="AB38" i="1" s="1"/>
  <c r="Z36" i="1"/>
  <c r="AB36" i="1" s="1"/>
  <c r="Z33" i="1"/>
  <c r="AB33" i="1" s="1"/>
  <c r="Z35" i="1"/>
  <c r="AB35" i="1" s="1"/>
  <c r="Y12" i="1"/>
  <c r="Y15" i="1"/>
  <c r="AA15" i="1" s="1"/>
  <c r="Y16" i="1"/>
  <c r="AA16" i="1" s="1"/>
  <c r="Y20" i="1"/>
  <c r="AA20" i="1" s="1"/>
  <c r="Y13" i="1"/>
  <c r="AA13" i="1" s="1"/>
  <c r="Y19" i="1"/>
  <c r="AA19" i="1" s="1"/>
  <c r="T23" i="1"/>
  <c r="T15" i="1"/>
  <c r="T20" i="1"/>
  <c r="T19" i="1"/>
  <c r="T25" i="1"/>
  <c r="AA25" i="1"/>
  <c r="T13" i="1"/>
  <c r="S21" i="1"/>
  <c r="Z21" i="1"/>
  <c r="AA23" i="1"/>
  <c r="S31" i="1"/>
  <c r="T22" i="1"/>
  <c r="T27" i="1"/>
  <c r="S30" i="1"/>
  <c r="S28" i="1"/>
  <c r="T28" i="1"/>
  <c r="S32" i="1"/>
  <c r="S29" i="1"/>
  <c r="T29" i="1"/>
  <c r="Z27" i="1"/>
  <c r="AB27" i="1" s="1"/>
  <c r="AA27" i="1"/>
  <c r="T5" i="1"/>
  <c r="Z30" i="1"/>
  <c r="Z29" i="1"/>
  <c r="Z31" i="1"/>
  <c r="Z28" i="1"/>
  <c r="Z32" i="1"/>
  <c r="AA8" i="1"/>
  <c r="T24" i="1"/>
  <c r="Z10" i="1"/>
  <c r="AA6" i="1"/>
  <c r="AA7" i="1"/>
  <c r="AA9" i="1"/>
  <c r="AA5" i="1"/>
  <c r="T7" i="1"/>
  <c r="S10" i="1"/>
  <c r="AB10" i="1" l="1"/>
  <c r="AB21" i="1"/>
  <c r="AB29" i="1"/>
  <c r="AB30" i="1"/>
  <c r="AB31" i="1"/>
  <c r="T12" i="1"/>
  <c r="S14" i="1"/>
  <c r="AA12" i="1"/>
  <c r="Z14" i="1"/>
  <c r="AB32" i="1"/>
  <c r="AB28" i="1"/>
  <c r="T4" i="1"/>
  <c r="T18" i="1"/>
  <c r="AA4" i="1"/>
  <c r="S15" i="1"/>
  <c r="S8" i="1"/>
  <c r="T8" i="1"/>
  <c r="S9" i="1"/>
  <c r="T9" i="1"/>
  <c r="S13" i="1"/>
  <c r="S16" i="1"/>
  <c r="T16" i="1"/>
  <c r="S6" i="1"/>
  <c r="T6" i="1"/>
  <c r="AA22" i="1"/>
  <c r="Z24" i="1"/>
  <c r="AA24" i="1"/>
  <c r="AA18" i="1"/>
  <c r="Z5" i="1"/>
  <c r="S4" i="1"/>
  <c r="S7" i="1"/>
  <c r="S12" i="1"/>
  <c r="S5" i="1"/>
  <c r="S18" i="1"/>
  <c r="S23" i="1"/>
  <c r="S24" i="1"/>
  <c r="S25" i="1"/>
  <c r="S20" i="1"/>
  <c r="S19" i="1"/>
  <c r="S22" i="1"/>
  <c r="Z6" i="1"/>
  <c r="Z4" i="1"/>
  <c r="Z9" i="1"/>
  <c r="Z20" i="1"/>
  <c r="Z12" i="1"/>
  <c r="Z7" i="1"/>
  <c r="Z25" i="1"/>
  <c r="Z23" i="1"/>
  <c r="Z13" i="1"/>
  <c r="Z8" i="1"/>
  <c r="Z22" i="1"/>
  <c r="Z16" i="1"/>
  <c r="Z18" i="1"/>
  <c r="Z19" i="1"/>
  <c r="Z15" i="1"/>
  <c r="AB13" i="1" l="1"/>
  <c r="AB5" i="1"/>
  <c r="AB19" i="1"/>
  <c r="AB16" i="1"/>
  <c r="AB18" i="1"/>
  <c r="AB25" i="1"/>
  <c r="AB14" i="1"/>
  <c r="AB23" i="1"/>
  <c r="AB20" i="1"/>
  <c r="AB22" i="1"/>
  <c r="AB12" i="1"/>
  <c r="AB24" i="1"/>
  <c r="AB6" i="1"/>
  <c r="AB15" i="1"/>
  <c r="AB7" i="1"/>
  <c r="AB4" i="1"/>
  <c r="AB8" i="1"/>
  <c r="AB9" i="1"/>
</calcChain>
</file>

<file path=xl/sharedStrings.xml><?xml version="1.0" encoding="utf-8"?>
<sst xmlns="http://schemas.openxmlformats.org/spreadsheetml/2006/main" count="351" uniqueCount="119">
  <si>
    <t>Name</t>
  </si>
  <si>
    <t>Damage</t>
  </si>
  <si>
    <t>Attacks</t>
  </si>
  <si>
    <t>Penetration</t>
  </si>
  <si>
    <t>Weapon</t>
  </si>
  <si>
    <t>Results</t>
  </si>
  <si>
    <t>Hit%</t>
  </si>
  <si>
    <t>Wound%</t>
  </si>
  <si>
    <t>Player</t>
  </si>
  <si>
    <t>Enemy</t>
  </si>
  <si>
    <t>MM</t>
  </si>
  <si>
    <t>CS</t>
  </si>
  <si>
    <t>Def</t>
  </si>
  <si>
    <t>Chainsword</t>
  </si>
  <si>
    <t>Powersword</t>
  </si>
  <si>
    <t>Power Fist</t>
  </si>
  <si>
    <t>Power Axe</t>
  </si>
  <si>
    <t>Power Hammer (2H)</t>
  </si>
  <si>
    <t>Block%</t>
  </si>
  <si>
    <t>Crit%</t>
  </si>
  <si>
    <t>-</t>
  </si>
  <si>
    <t>Crit</t>
  </si>
  <si>
    <t>Note</t>
  </si>
  <si>
    <t>Results 2</t>
  </si>
  <si>
    <t>Bolt Pistol</t>
  </si>
  <si>
    <t>Storm Bolter</t>
  </si>
  <si>
    <t>Hand Flamer</t>
  </si>
  <si>
    <t>Bolter</t>
  </si>
  <si>
    <t>Lasgun</t>
  </si>
  <si>
    <t>Melta Gun</t>
  </si>
  <si>
    <t>Flamer</t>
  </si>
  <si>
    <t>Sniper Rifle</t>
  </si>
  <si>
    <t>Shotgun</t>
  </si>
  <si>
    <t>Minigun</t>
  </si>
  <si>
    <t>Heavy Bolter</t>
  </si>
  <si>
    <t>Heavy Flamer</t>
  </si>
  <si>
    <t>Multimelta</t>
  </si>
  <si>
    <t>Missile Launcher</t>
  </si>
  <si>
    <t>Whirlwind Missiles</t>
  </si>
  <si>
    <t>Las Cannon</t>
  </si>
  <si>
    <t>Melta Pistol</t>
  </si>
  <si>
    <t>Cone</t>
  </si>
  <si>
    <t>Column3</t>
  </si>
  <si>
    <t>Block %</t>
  </si>
  <si>
    <t>Crit %</t>
  </si>
  <si>
    <t>Wound %</t>
  </si>
  <si>
    <t>Hit %</t>
  </si>
  <si>
    <r>
      <t>Wounds</t>
    </r>
    <r>
      <rPr>
        <sz val="11"/>
        <color theme="1"/>
        <rFont val="Symbol"/>
        <family val="1"/>
        <charset val="2"/>
      </rPr>
      <t>Æ</t>
    </r>
  </si>
  <si>
    <t>% Base</t>
  </si>
  <si>
    <t>% Base2</t>
  </si>
  <si>
    <t>WoundÆ</t>
  </si>
  <si>
    <t>HP</t>
  </si>
  <si>
    <t>To Kill</t>
  </si>
  <si>
    <t>To Kill2</t>
  </si>
  <si>
    <t>Powerclaw (2x1H)</t>
  </si>
  <si>
    <t>Grav Gun</t>
  </si>
  <si>
    <t>Rending</t>
  </si>
  <si>
    <t>Combo</t>
  </si>
  <si>
    <t>RF, No Crits</t>
  </si>
  <si>
    <t>RF</t>
  </si>
  <si>
    <t>Cone X</t>
  </si>
  <si>
    <t>AoE M</t>
  </si>
  <si>
    <t>Grav Pistol</t>
  </si>
  <si>
    <t>X</t>
  </si>
  <si>
    <t>Heavy Strikes      .</t>
  </si>
  <si>
    <t>Energy</t>
  </si>
  <si>
    <t>Column2</t>
  </si>
  <si>
    <t>MM      .</t>
  </si>
  <si>
    <t>Crit       .</t>
  </si>
  <si>
    <t>Cone      .</t>
  </si>
  <si>
    <t>Weak Spots</t>
  </si>
  <si>
    <t>No Crits     .</t>
  </si>
  <si>
    <t>2H        .</t>
  </si>
  <si>
    <t>Long Range</t>
  </si>
  <si>
    <t>Hurricane Missiles</t>
  </si>
  <si>
    <t>Dreadnaught Fist</t>
  </si>
  <si>
    <t>Autocannon</t>
  </si>
  <si>
    <t>Twin-Linked Las Cannon</t>
  </si>
  <si>
    <t xml:space="preserve"> +3 block</t>
  </si>
  <si>
    <t>Chainsword (1H)</t>
  </si>
  <si>
    <t>Chainaxe (1H)</t>
  </si>
  <si>
    <t>Powersword (1H)</t>
  </si>
  <si>
    <t>Chainfist (1H)</t>
  </si>
  <si>
    <t>Lightning Claws (2x1H)</t>
  </si>
  <si>
    <t>Bone Claw (1H)</t>
  </si>
  <si>
    <t>Daemon Claw (1H)</t>
  </si>
  <si>
    <t>Havoc Pistol</t>
  </si>
  <si>
    <t>Doom Pistol</t>
  </si>
  <si>
    <t>Bile Spitter</t>
  </si>
  <si>
    <t>XAmmo       .</t>
  </si>
  <si>
    <t>Poisoned       .</t>
  </si>
  <si>
    <t>Havoc Blaster</t>
  </si>
  <si>
    <t>Doombolter</t>
  </si>
  <si>
    <t>Sonic Blaster</t>
  </si>
  <si>
    <t>Bale Flamer</t>
  </si>
  <si>
    <t>Havoc Launcher</t>
  </si>
  <si>
    <t>Hades Autocannon</t>
  </si>
  <si>
    <t>Doom Siren</t>
  </si>
  <si>
    <t>Bale Cannon</t>
  </si>
  <si>
    <t>CB</t>
  </si>
  <si>
    <t>DF</t>
  </si>
  <si>
    <t>AR</t>
  </si>
  <si>
    <t>DEF</t>
  </si>
  <si>
    <t>CB       .</t>
  </si>
  <si>
    <t xml:space="preserve"> +4DF</t>
  </si>
  <si>
    <t xml:space="preserve"> +2CB</t>
  </si>
  <si>
    <t>Shuriken Pistol</t>
  </si>
  <si>
    <t>Shuriken Catapult</t>
  </si>
  <si>
    <t>Brightlance</t>
  </si>
  <si>
    <t>Pulse Laser</t>
  </si>
  <si>
    <t>Light Weapon      .</t>
  </si>
  <si>
    <t>Long Rifle</t>
  </si>
  <si>
    <t>Sunlance</t>
  </si>
  <si>
    <t>Cloud Sweeper</t>
  </si>
  <si>
    <t>Short Range</t>
  </si>
  <si>
    <t>Death Spinner</t>
  </si>
  <si>
    <t>Spinneret Rifle</t>
  </si>
  <si>
    <t>Reaper Launcher</t>
  </si>
  <si>
    <t>Tempest Launcher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</si>
</sst>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vertical="center" wrapText="1"/>
    </xf>
    <xf numFmtId="9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1" quotePrefix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0" fillId="0" borderId="0" xfId="0" applyAlignment="1">
      <alignment textRotation="180"/>
    </xf>
    <xf numFmtId="164" fontId="0" fillId="0" borderId="0" xfId="2" applyNumberFormat="1" applyFont="1" applyFill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vertical="center" wrapText="1"/>
    </xf>
    <xf numFmtId="9" fontId="0" fillId="0" borderId="0" xfId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64" fontId="0" fillId="0" borderId="0" xfId="2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vertical="center" textRotation="90"/>
    </xf>
    <xf numFmtId="0" fontId="0" fillId="0" borderId="0" xfId="0" applyBorder="1"/>
    <xf numFmtId="0" fontId="0" fillId="0" borderId="0" xfId="0" applyBorder="1" applyAlignment="1">
      <alignment textRotation="255"/>
    </xf>
    <xf numFmtId="0" fontId="3" fillId="0" borderId="0" xfId="0" applyFont="1" applyBorder="1"/>
    <xf numFmtId="9" fontId="0" fillId="0" borderId="0" xfId="1" applyNumberFormat="1" applyFont="1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9" fontId="0" fillId="0" borderId="0" xfId="1" applyNumberFormat="1" applyFon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92"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general" vertical="bottom" textRotation="18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AB38" totalsRowShown="0" headerRowDxfId="91" dataDxfId="90" dataCellStyle="Percent">
  <autoFilter ref="B3:AB38"/>
  <tableColumns count="27">
    <tableColumn id="1" name="Name" dataDxfId="89"/>
    <tableColumn id="2" name="Damage" dataDxfId="88"/>
    <tableColumn id="3" name="Attacks" dataDxfId="87"/>
    <tableColumn id="5" name="Note" dataDxfId="86"/>
    <tableColumn id="6" name="Penetration" dataDxfId="85"/>
    <tableColumn id="23" name="MM      ." dataDxfId="84"/>
    <tableColumn id="24" name="Crit       ." dataDxfId="83"/>
    <tableColumn id="4" name="CB       ." dataDxfId="82"/>
    <tableColumn id="26" name="Weak Spots" dataDxfId="81"/>
    <tableColumn id="25" name="Cone      ." dataDxfId="80"/>
    <tableColumn id="29" name="No Crits     ." dataDxfId="79"/>
    <tableColumn id="32" name="2H        ." dataDxfId="78"/>
    <tableColumn id="27" name="Column2" dataDxfId="77"/>
    <tableColumn id="7" name="Hit%" dataDxfId="76" dataCellStyle="Percent">
      <calculatedColumnFormula>($AE$3 )/20</calculatedColumnFormula>
    </tableColumn>
    <tableColumn id="8" name="Wound%" dataDxfId="75" dataCellStyle="Percent">
      <calculatedColumnFormula>(C4/20)*IF($AH$6=1,0.5,1)</calculatedColumnFormula>
    </tableColumn>
    <tableColumn id="9" name="Crit%" dataDxfId="74" dataCellStyle="Percent">
      <calculatedColumnFormula>(IF(( L4="X"),0,($AE$6+H4))/20)</calculatedColumnFormula>
    </tableColumn>
    <tableColumn id="11" name="WoundsÆ" dataDxfId="73">
      <calculatedColumnFormula>1*P4*(O4)*(1+Q4)*D4</calculatedColumnFormula>
    </tableColumn>
    <tableColumn id="12" name="% Base" dataDxfId="72" dataCellStyle="Percent">
      <calculatedColumnFormula>R4/$R$27</calculatedColumnFormula>
    </tableColumn>
    <tableColumn id="20" name="To Kill" dataDxfId="71" dataCellStyle="Percent">
      <calculatedColumnFormula>AH9/Table1[[#This Row],[WoundsÆ]]</calculatedColumnFormula>
    </tableColumn>
    <tableColumn id="13" name="Column3" dataDxfId="70"/>
    <tableColumn id="14" name="Hit %" dataDxfId="69" dataCellStyle="Percent">
      <calculatedColumnFormula>($AE$3)/20</calculatedColumnFormula>
    </tableColumn>
    <tableColumn id="15" name="Wound %" dataDxfId="68" dataCellStyle="Percent">
      <calculatedColumnFormula>(C4/20)*IF($AH$6=1,IF(F4="X",1,0.5),1)</calculatedColumnFormula>
    </tableColumn>
    <tableColumn id="16" name="Crit %" dataDxfId="67" dataCellStyle="Percent">
      <calculatedColumnFormula>($AE$6/20)</calculatedColumnFormula>
    </tableColumn>
    <tableColumn id="18" name="WoundÆ" dataDxfId="66">
      <calculatedColumnFormula>1*W4*(V4)*(1+X4)*D4</calculatedColumnFormula>
    </tableColumn>
    <tableColumn id="19" name="% Base2" dataDxfId="65" dataCellStyle="Percent">
      <calculatedColumnFormula>Y4/$Y$27</calculatedColumnFormula>
    </tableColumn>
    <tableColumn id="21" name="To Kill2" dataDxfId="64" dataCellStyle="Percent">
      <calculatedColumnFormula>$AH$9/Table1[[#This Row],[WoundÆ]]</calculatedColumnFormula>
    </tableColumn>
    <tableColumn id="22" name="Combo" dataDxfId="63" dataCellStyle="Percent">
      <calculatedColumnFormula>(Table1[[#This Row],[% Base]]+Table1[[#This Row],[% Base2]])/2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B3:AF40" totalsRowShown="0" headerRowDxfId="62" dataDxfId="61" dataCellStyle="Percent">
  <autoFilter ref="B3:AF40"/>
  <tableColumns count="31">
    <tableColumn id="1" name="Name" dataDxfId="60"/>
    <tableColumn id="2" name="Damage" dataDxfId="59"/>
    <tableColumn id="3" name="Attacks" dataDxfId="58"/>
    <tableColumn id="5" name="Note" dataDxfId="57"/>
    <tableColumn id="6" name="Penetration" dataDxfId="56"/>
    <tableColumn id="23" name="MM      ." dataDxfId="55"/>
    <tableColumn id="24" name="Crit       ." dataDxfId="54"/>
    <tableColumn id="26" name="Weak Spots" dataDxfId="53"/>
    <tableColumn id="25" name="Cone      ." dataDxfId="52"/>
    <tableColumn id="29" name="No Crits     ." dataDxfId="51"/>
    <tableColumn id="32" name="2H        ." dataDxfId="50"/>
    <tableColumn id="33" name="Heavy Strikes      ." dataDxfId="49"/>
    <tableColumn id="4" name="XAmmo       ." dataDxfId="48"/>
    <tableColumn id="28" name="Poisoned       ." dataDxfId="47"/>
    <tableColumn id="27" name="Column2" dataDxfId="46"/>
    <tableColumn id="7" name="Hit%" dataDxfId="45" dataCellStyle="Percent">
      <calculatedColumnFormula>($AI$3 )/20</calculatedColumnFormula>
    </tableColumn>
    <tableColumn id="8" name="Wound%" dataDxfId="44" dataCellStyle="Percent">
      <calculatedColumnFormula>(C4/20)*IF($AL$5=1,0.5,1)</calculatedColumnFormula>
    </tableColumn>
    <tableColumn id="9" name="Crit%" dataDxfId="43" dataCellStyle="Percent">
      <calculatedColumnFormula>(IF(( K4="X"),0,($AI$5+H4))/20)</calculatedColumnFormula>
    </tableColumn>
    <tableColumn id="10" name="Block%" dataDxfId="42" dataCellStyle="Percent"/>
    <tableColumn id="11" name="WoundsÆ" dataDxfId="41">
      <calculatedColumnFormula>1*R4*(Q4)*(1+S4)*D4</calculatedColumnFormula>
    </tableColumn>
    <tableColumn id="12" name="% Base" dataDxfId="40" dataCellStyle="Percent">
      <calculatedColumnFormula>U4/$U$28</calculatedColumnFormula>
    </tableColumn>
    <tableColumn id="20" name="To Kill" dataDxfId="39" dataCellStyle="Percent">
      <calculatedColumnFormula>AL9/Table14[[#This Row],[WoundsÆ]]</calculatedColumnFormula>
    </tableColumn>
    <tableColumn id="13" name="Column3" dataDxfId="38"/>
    <tableColumn id="14" name="Hit %" dataDxfId="37" dataCellStyle="Percent">
      <calculatedColumnFormula>($AI$3)/20</calculatedColumnFormula>
    </tableColumn>
    <tableColumn id="15" name="Wound %" dataDxfId="36" dataCellStyle="Percent">
      <calculatedColumnFormula>(C4/20)*IF($AL$5=1,IF(F4="X",1,0.5),1)</calculatedColumnFormula>
    </tableColumn>
    <tableColumn id="16" name="Crit %" dataDxfId="35" dataCellStyle="Percent">
      <calculatedColumnFormula>($AI$5/20)</calculatedColumnFormula>
    </tableColumn>
    <tableColumn id="17" name="Block %" dataDxfId="34" dataCellStyle="Percent"/>
    <tableColumn id="18" name="WoundÆ" dataDxfId="33">
      <calculatedColumnFormula>1*Z4*(Y4)*(1+AA4)*D4</calculatedColumnFormula>
    </tableColumn>
    <tableColumn id="19" name="% Base2" dataDxfId="32" dataCellStyle="Percent">
      <calculatedColumnFormula>AC4/$AC$28</calculatedColumnFormula>
    </tableColumn>
    <tableColumn id="21" name="To Kill2" dataDxfId="31" dataCellStyle="Percent">
      <calculatedColumnFormula>$AL$9/Table14[[#This Row],[WoundÆ]]</calculatedColumnFormula>
    </tableColumn>
    <tableColumn id="22" name="Combo" dataDxfId="30" dataCellStyle="Percent">
      <calculatedColumnFormula>(Table14[[#This Row],[% Base]]+Table14[[#This Row],[% Base2]])/2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B4:AC39" totalsRowShown="0" headerRowDxfId="29" dataDxfId="28" dataCellStyle="Percent">
  <autoFilter ref="B4:AC39"/>
  <tableColumns count="28">
    <tableColumn id="1" name="Name" dataDxfId="27"/>
    <tableColumn id="2" name="Damage" dataDxfId="26"/>
    <tableColumn id="3" name="Attacks" dataDxfId="25"/>
    <tableColumn id="5" name="Note" dataDxfId="24"/>
    <tableColumn id="6" name="Penetration" dataDxfId="23"/>
    <tableColumn id="10" name="Light Weapon      ." dataDxfId="0"/>
    <tableColumn id="23" name="MM      ." dataDxfId="22"/>
    <tableColumn id="24" name="Crit       ." dataDxfId="21"/>
    <tableColumn id="4" name="CB       ." dataDxfId="20"/>
    <tableColumn id="26" name="Weak Spots" dataDxfId="19"/>
    <tableColumn id="25" name="Cone      ." dataDxfId="18"/>
    <tableColumn id="29" name="No Crits     ." dataDxfId="17"/>
    <tableColumn id="32" name="2H        ." dataDxfId="16"/>
    <tableColumn id="27" name="Column2" dataDxfId="15"/>
    <tableColumn id="7" name="Hit%" dataDxfId="14" dataCellStyle="Percent"/>
    <tableColumn id="8" name="Wound%" dataDxfId="13" dataCellStyle="Percent"/>
    <tableColumn id="9" name="Crit%" dataDxfId="12" dataCellStyle="Percent"/>
    <tableColumn id="11" name="WoundsÆ" dataDxfId="11"/>
    <tableColumn id="12" name="% Base" dataDxfId="10" dataCellStyle="Percent"/>
    <tableColumn id="20" name="To Kill" dataDxfId="9" dataCellStyle="Percent"/>
    <tableColumn id="13" name="Column3" dataDxfId="8"/>
    <tableColumn id="14" name="Hit %" dataDxfId="7" dataCellStyle="Percent"/>
    <tableColumn id="15" name="Wound %" dataDxfId="6" dataCellStyle="Percent"/>
    <tableColumn id="16" name="Crit %" dataDxfId="5" dataCellStyle="Percent"/>
    <tableColumn id="18" name="WoundÆ" dataDxfId="4"/>
    <tableColumn id="19" name="% Base2" dataDxfId="3" dataCellStyle="Percent"/>
    <tableColumn id="21" name="To Kill2" dataDxfId="2" dataCellStyle="Percent"/>
    <tableColumn id="22" name="Combo" dataDxfId="1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66"/>
  <sheetViews>
    <sheetView topLeftCell="B1" workbookViewId="0">
      <selection activeCell="C17" sqref="C17"/>
    </sheetView>
  </sheetViews>
  <sheetFormatPr defaultRowHeight="15" x14ac:dyDescent="0.25"/>
  <cols>
    <col min="2" max="2" width="22.5703125" customWidth="1"/>
    <col min="3" max="3" width="6.7109375" customWidth="1"/>
    <col min="4" max="4" width="7.140625" customWidth="1"/>
    <col min="5" max="5" width="19" customWidth="1"/>
    <col min="6" max="14" width="2.42578125" customWidth="1"/>
    <col min="15" max="17" width="7.85546875" customWidth="1"/>
    <col min="18" max="18" width="10.42578125" customWidth="1"/>
    <col min="19" max="19" width="8" customWidth="1"/>
    <col min="20" max="20" width="6.85546875" customWidth="1"/>
    <col min="21" max="21" width="7.28515625" customWidth="1"/>
    <col min="22" max="25" width="8.28515625" customWidth="1"/>
    <col min="26" max="27" width="7.28515625" customWidth="1"/>
  </cols>
  <sheetData>
    <row r="2" spans="2:34" x14ac:dyDescent="0.25">
      <c r="B2" s="29" t="s">
        <v>4</v>
      </c>
      <c r="C2" s="29"/>
      <c r="D2" s="29"/>
      <c r="E2" s="29"/>
      <c r="O2" s="29" t="s">
        <v>5</v>
      </c>
      <c r="P2" s="29"/>
      <c r="Q2" s="29"/>
      <c r="R2" s="29"/>
      <c r="V2" s="29" t="s">
        <v>23</v>
      </c>
      <c r="W2" s="29"/>
      <c r="X2" s="29"/>
      <c r="Y2" s="29"/>
      <c r="Z2" s="1"/>
      <c r="AA2" s="2"/>
      <c r="AD2" t="s">
        <v>8</v>
      </c>
      <c r="AG2" t="s">
        <v>9</v>
      </c>
    </row>
    <row r="3" spans="2:34" ht="54.75" customHeight="1" x14ac:dyDescent="0.25">
      <c r="B3" s="9" t="s">
        <v>0</v>
      </c>
      <c r="C3" s="9" t="s">
        <v>1</v>
      </c>
      <c r="D3" s="9" t="s">
        <v>2</v>
      </c>
      <c r="E3" s="9" t="s">
        <v>22</v>
      </c>
      <c r="F3" s="9" t="s">
        <v>3</v>
      </c>
      <c r="G3" s="9" t="s">
        <v>67</v>
      </c>
      <c r="H3" s="9" t="s">
        <v>68</v>
      </c>
      <c r="I3" s="9" t="s">
        <v>103</v>
      </c>
      <c r="J3" s="9" t="s">
        <v>70</v>
      </c>
      <c r="K3" s="9" t="s">
        <v>69</v>
      </c>
      <c r="L3" s="9" t="s">
        <v>71</v>
      </c>
      <c r="M3" s="9" t="s">
        <v>72</v>
      </c>
      <c r="N3" s="9" t="s">
        <v>66</v>
      </c>
      <c r="O3" s="9" t="s">
        <v>6</v>
      </c>
      <c r="P3" s="9" t="s">
        <v>7</v>
      </c>
      <c r="Q3" s="9" t="s">
        <v>19</v>
      </c>
      <c r="R3" s="9" t="s">
        <v>47</v>
      </c>
      <c r="S3" s="9" t="s">
        <v>48</v>
      </c>
      <c r="T3" s="9" t="s">
        <v>52</v>
      </c>
      <c r="U3" s="9" t="s">
        <v>42</v>
      </c>
      <c r="V3" s="9" t="s">
        <v>46</v>
      </c>
      <c r="W3" s="9" t="s">
        <v>45</v>
      </c>
      <c r="X3" s="9" t="s">
        <v>44</v>
      </c>
      <c r="Y3" s="9" t="s">
        <v>50</v>
      </c>
      <c r="Z3" s="9" t="s">
        <v>49</v>
      </c>
      <c r="AA3" s="9" t="s">
        <v>53</v>
      </c>
      <c r="AB3" s="9" t="s">
        <v>57</v>
      </c>
      <c r="AD3" t="s">
        <v>10</v>
      </c>
      <c r="AE3">
        <v>10</v>
      </c>
      <c r="AG3" t="s">
        <v>10</v>
      </c>
      <c r="AH3">
        <v>9</v>
      </c>
    </row>
    <row r="4" spans="2:34" x14ac:dyDescent="0.25">
      <c r="B4" s="3" t="s">
        <v>13</v>
      </c>
      <c r="C4" s="3">
        <v>8</v>
      </c>
      <c r="D4" s="3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5">
        <f>((10+$AE$4+I4-$AH$5)/20)</f>
        <v>0.5</v>
      </c>
      <c r="P4" s="5">
        <f t="shared" ref="P4:P10" si="0">(C4/20)*IF($AH$6=1,IF(F4="X",1,0.5),1)</f>
        <v>0.4</v>
      </c>
      <c r="Q4" s="5">
        <f t="shared" ref="Q4:Q10" si="1">(IF(( L4="X"),0,($AE$6+H4))/20)</f>
        <v>0.1</v>
      </c>
      <c r="R4" s="8">
        <f>1*P4*Table1[[#This Row],[Hit%]]*(1+Q4)*D4</f>
        <v>0.44000000000000006</v>
      </c>
      <c r="S4" s="5">
        <f>R4/$R$4</f>
        <v>1</v>
      </c>
      <c r="T4" s="10">
        <f>$AH$9/Table1[[#This Row],[WoundsÆ]]/2</f>
        <v>4.545454545454545</v>
      </c>
      <c r="U4" s="6"/>
      <c r="V4" s="5">
        <f>((10+$AE$4+I4-$AH$5)/20)</f>
        <v>0.5</v>
      </c>
      <c r="W4" s="5">
        <f t="shared" ref="W4:W10" si="2">(C4/20)*IF($AH$13=1,IF(F4="X",1,0.5),1)</f>
        <v>0.2</v>
      </c>
      <c r="X4" s="5">
        <f t="shared" ref="X4:X10" si="3">(IF((OR(K4="X", L4="X")),0,($AE$6+H4))/20)</f>
        <v>0.1</v>
      </c>
      <c r="Y4" s="8">
        <f>1*W4*V4*(1+X4)*D4</f>
        <v>0.22000000000000003</v>
      </c>
      <c r="Z4" s="5">
        <f>Y4/$Y$4</f>
        <v>1</v>
      </c>
      <c r="AA4" s="10">
        <f>$AH$9/Table1[[#This Row],[WoundÆ]]/2</f>
        <v>9.0909090909090899</v>
      </c>
      <c r="AB4" s="5">
        <f>(Table1[[#This Row],[% Base]]+Table1[[#This Row],[% Base2]])/2</f>
        <v>1</v>
      </c>
      <c r="AD4" t="s">
        <v>99</v>
      </c>
      <c r="AE4">
        <v>10</v>
      </c>
      <c r="AG4" t="s">
        <v>99</v>
      </c>
      <c r="AH4">
        <v>10</v>
      </c>
    </row>
    <row r="5" spans="2:34" x14ac:dyDescent="0.25">
      <c r="B5" s="3" t="s">
        <v>14</v>
      </c>
      <c r="C5" s="3">
        <v>8</v>
      </c>
      <c r="D5" s="3">
        <v>2</v>
      </c>
      <c r="E5" s="3" t="s">
        <v>104</v>
      </c>
      <c r="F5" s="3"/>
      <c r="G5" s="3"/>
      <c r="H5" s="3"/>
      <c r="I5" s="3"/>
      <c r="J5" s="3"/>
      <c r="K5" s="3"/>
      <c r="L5" s="3"/>
      <c r="M5" s="3"/>
      <c r="N5" s="3"/>
      <c r="O5" s="5">
        <f t="shared" ref="O5:O10" si="4">((10+$AE$4+I5-$AH$5)/20)</f>
        <v>0.5</v>
      </c>
      <c r="P5" s="5">
        <f t="shared" si="0"/>
        <v>0.4</v>
      </c>
      <c r="Q5" s="5">
        <f t="shared" si="1"/>
        <v>0.1</v>
      </c>
      <c r="R5" s="8">
        <f>1*P5*Table1[[#This Row],[Hit%]]*(1+Q5)*D5</f>
        <v>0.44000000000000006</v>
      </c>
      <c r="S5" s="5">
        <f t="shared" ref="S5:S9" si="5">R5/$R$4</f>
        <v>1</v>
      </c>
      <c r="T5" s="10">
        <f>$AH$9/Table1[[#This Row],[WoundsÆ]]/2</f>
        <v>4.545454545454545</v>
      </c>
      <c r="U5" s="6"/>
      <c r="V5" s="5">
        <f t="shared" ref="V5:V10" si="6">((10+$AE$4+I5-$AH$5)/20)</f>
        <v>0.5</v>
      </c>
      <c r="W5" s="5">
        <f t="shared" si="2"/>
        <v>0.2</v>
      </c>
      <c r="X5" s="5">
        <f t="shared" si="3"/>
        <v>0.1</v>
      </c>
      <c r="Y5" s="8">
        <f t="shared" ref="Y5:Y10" si="7">1*W5*V5*(1+X5)*D5</f>
        <v>0.22000000000000003</v>
      </c>
      <c r="Z5" s="5">
        <f t="shared" ref="Z5:Z9" si="8">Y5/$Y$4</f>
        <v>1</v>
      </c>
      <c r="AA5" s="10">
        <f>$AH$9/Table1[[#This Row],[WoundÆ]]/2</f>
        <v>9.0909090909090899</v>
      </c>
      <c r="AB5" s="5">
        <f>(Table1[[#This Row],[% Base]]+Table1[[#This Row],[% Base2]])/2</f>
        <v>1</v>
      </c>
      <c r="AD5" t="s">
        <v>100</v>
      </c>
      <c r="AG5" t="s">
        <v>102</v>
      </c>
      <c r="AH5">
        <v>10</v>
      </c>
    </row>
    <row r="6" spans="2:34" x14ac:dyDescent="0.25">
      <c r="B6" s="3" t="s">
        <v>54</v>
      </c>
      <c r="C6" s="3">
        <v>7</v>
      </c>
      <c r="D6" s="3">
        <v>2.5</v>
      </c>
      <c r="E6" s="3" t="s">
        <v>105</v>
      </c>
      <c r="F6" s="3"/>
      <c r="G6" s="3"/>
      <c r="H6" s="3"/>
      <c r="I6" s="3">
        <v>2</v>
      </c>
      <c r="J6" s="3"/>
      <c r="K6" s="3"/>
      <c r="L6" s="3"/>
      <c r="M6" s="3"/>
      <c r="N6" s="3"/>
      <c r="O6" s="5">
        <f t="shared" si="4"/>
        <v>0.6</v>
      </c>
      <c r="P6" s="5">
        <f t="shared" si="0"/>
        <v>0.35</v>
      </c>
      <c r="Q6" s="5">
        <f t="shared" si="1"/>
        <v>0.1</v>
      </c>
      <c r="R6" s="8">
        <f>1*P6*Table1[[#This Row],[Hit%]]*(1+Q6)*D6</f>
        <v>0.57750000000000001</v>
      </c>
      <c r="S6" s="5">
        <f t="shared" si="5"/>
        <v>1.3124999999999998</v>
      </c>
      <c r="T6" s="10">
        <f>$AH$9/Table1[[#This Row],[WoundsÆ]]/2</f>
        <v>3.4632034632034632</v>
      </c>
      <c r="U6" s="6"/>
      <c r="V6" s="5">
        <f t="shared" si="6"/>
        <v>0.6</v>
      </c>
      <c r="W6" s="5">
        <f t="shared" si="2"/>
        <v>0.17499999999999999</v>
      </c>
      <c r="X6" s="5">
        <f t="shared" si="3"/>
        <v>0.1</v>
      </c>
      <c r="Y6" s="8">
        <f t="shared" si="7"/>
        <v>0.28875000000000001</v>
      </c>
      <c r="Z6" s="5">
        <f t="shared" si="8"/>
        <v>1.3124999999999998</v>
      </c>
      <c r="AA6" s="10">
        <f>$AH$9/Table1[[#This Row],[WoundÆ]]/2</f>
        <v>6.9264069264069263</v>
      </c>
      <c r="AB6" s="5">
        <f>(Table1[[#This Row],[% Base]]+Table1[[#This Row],[% Base2]])/2</f>
        <v>1.3124999999999998</v>
      </c>
      <c r="AD6" t="s">
        <v>21</v>
      </c>
      <c r="AE6">
        <v>2</v>
      </c>
      <c r="AG6" t="s">
        <v>101</v>
      </c>
      <c r="AH6">
        <v>0</v>
      </c>
    </row>
    <row r="7" spans="2:34" x14ac:dyDescent="0.25">
      <c r="B7" s="3" t="s">
        <v>15</v>
      </c>
      <c r="C7" s="3">
        <v>8</v>
      </c>
      <c r="D7" s="3">
        <v>2</v>
      </c>
      <c r="E7" s="3"/>
      <c r="F7" s="3" t="s">
        <v>63</v>
      </c>
      <c r="G7" s="3"/>
      <c r="H7" s="3"/>
      <c r="I7" s="3"/>
      <c r="J7" s="3"/>
      <c r="K7" s="3"/>
      <c r="L7" s="3"/>
      <c r="M7" s="3"/>
      <c r="N7" s="3"/>
      <c r="O7" s="5">
        <f t="shared" si="4"/>
        <v>0.5</v>
      </c>
      <c r="P7" s="5">
        <f t="shared" si="0"/>
        <v>0.4</v>
      </c>
      <c r="Q7" s="5">
        <f t="shared" si="1"/>
        <v>0.1</v>
      </c>
      <c r="R7" s="8">
        <f>1*P7*Table1[[#This Row],[Hit%]]*(1+Q7)*D7</f>
        <v>0.44000000000000006</v>
      </c>
      <c r="S7" s="5">
        <f t="shared" si="5"/>
        <v>1</v>
      </c>
      <c r="T7" s="10">
        <f>$AH$9/Table1[[#This Row],[WoundsÆ]]/2</f>
        <v>4.545454545454545</v>
      </c>
      <c r="U7" s="6"/>
      <c r="V7" s="5">
        <f t="shared" si="6"/>
        <v>0.5</v>
      </c>
      <c r="W7" s="5">
        <f t="shared" si="2"/>
        <v>0.4</v>
      </c>
      <c r="X7" s="5">
        <f t="shared" si="3"/>
        <v>0.1</v>
      </c>
      <c r="Y7" s="8">
        <f t="shared" si="7"/>
        <v>0.44000000000000006</v>
      </c>
      <c r="Z7" s="5">
        <f t="shared" si="8"/>
        <v>2</v>
      </c>
      <c r="AA7" s="10">
        <f>$AH$9/Table1[[#This Row],[WoundÆ]]/2</f>
        <v>4.545454545454545</v>
      </c>
      <c r="AB7" s="5">
        <f>(Table1[[#This Row],[% Base]]+Table1[[#This Row],[% Base2]])/2</f>
        <v>1.5</v>
      </c>
    </row>
    <row r="8" spans="2:34" x14ac:dyDescent="0.25">
      <c r="B8" s="3" t="s">
        <v>16</v>
      </c>
      <c r="C8" s="3">
        <v>8</v>
      </c>
      <c r="D8" s="3">
        <v>2</v>
      </c>
      <c r="E8" s="3" t="s">
        <v>105</v>
      </c>
      <c r="F8" s="3"/>
      <c r="G8" s="3"/>
      <c r="H8" s="3"/>
      <c r="I8" s="3">
        <v>2</v>
      </c>
      <c r="J8" s="3"/>
      <c r="K8" s="3"/>
      <c r="L8" s="3"/>
      <c r="M8" s="3"/>
      <c r="N8" s="3"/>
      <c r="O8" s="5">
        <f t="shared" si="4"/>
        <v>0.6</v>
      </c>
      <c r="P8" s="5">
        <f t="shared" si="0"/>
        <v>0.4</v>
      </c>
      <c r="Q8" s="5">
        <f t="shared" si="1"/>
        <v>0.1</v>
      </c>
      <c r="R8" s="8">
        <f>1*P8*Table1[[#This Row],[Hit%]]*(1+Q8)*D8</f>
        <v>0.52800000000000002</v>
      </c>
      <c r="S8" s="5">
        <f t="shared" si="5"/>
        <v>1.2</v>
      </c>
      <c r="T8" s="10">
        <f>$AH$9/Table1[[#This Row],[WoundsÆ]]/2</f>
        <v>3.7878787878787876</v>
      </c>
      <c r="U8" s="6"/>
      <c r="V8" s="5">
        <f t="shared" si="6"/>
        <v>0.6</v>
      </c>
      <c r="W8" s="5">
        <f t="shared" si="2"/>
        <v>0.2</v>
      </c>
      <c r="X8" s="5">
        <f t="shared" si="3"/>
        <v>0.1</v>
      </c>
      <c r="Y8" s="8">
        <f t="shared" si="7"/>
        <v>0.26400000000000001</v>
      </c>
      <c r="Z8" s="5">
        <f t="shared" si="8"/>
        <v>1.2</v>
      </c>
      <c r="AA8" s="10">
        <f>$AH$9/Table1[[#This Row],[WoundÆ]]/2</f>
        <v>7.5757575757575752</v>
      </c>
      <c r="AB8" s="5">
        <f>(Table1[[#This Row],[% Base]]+Table1[[#This Row],[% Base2]])/2</f>
        <v>1.2</v>
      </c>
      <c r="AG8" t="s">
        <v>9</v>
      </c>
    </row>
    <row r="9" spans="2:34" x14ac:dyDescent="0.25">
      <c r="B9" s="3" t="s">
        <v>17</v>
      </c>
      <c r="C9" s="3">
        <v>12</v>
      </c>
      <c r="D9" s="3">
        <v>1.5</v>
      </c>
      <c r="E9" s="3"/>
      <c r="F9" s="3"/>
      <c r="G9" s="3"/>
      <c r="H9" s="3"/>
      <c r="I9" s="3"/>
      <c r="J9" s="3"/>
      <c r="K9" s="3"/>
      <c r="L9" s="3"/>
      <c r="M9" s="3" t="s">
        <v>63</v>
      </c>
      <c r="N9" s="3"/>
      <c r="O9" s="5">
        <f t="shared" si="4"/>
        <v>0.5</v>
      </c>
      <c r="P9" s="5">
        <f t="shared" si="0"/>
        <v>0.6</v>
      </c>
      <c r="Q9" s="5">
        <f t="shared" si="1"/>
        <v>0.1</v>
      </c>
      <c r="R9" s="8">
        <f>1*P9*Table1[[#This Row],[Hit%]]*(1+Q9)*D9</f>
        <v>0.495</v>
      </c>
      <c r="S9" s="5">
        <f t="shared" si="5"/>
        <v>1.1249999999999998</v>
      </c>
      <c r="T9" s="10">
        <f>$AH$9/Table1[[#This Row],[WoundsÆ]]/2</f>
        <v>4.0404040404040407</v>
      </c>
      <c r="U9" s="6"/>
      <c r="V9" s="5">
        <f t="shared" si="6"/>
        <v>0.5</v>
      </c>
      <c r="W9" s="5">
        <f t="shared" si="2"/>
        <v>0.3</v>
      </c>
      <c r="X9" s="5">
        <f t="shared" si="3"/>
        <v>0.1</v>
      </c>
      <c r="Y9" s="8">
        <f t="shared" si="7"/>
        <v>0.2475</v>
      </c>
      <c r="Z9" s="5">
        <f t="shared" si="8"/>
        <v>1.1249999999999998</v>
      </c>
      <c r="AA9" s="10">
        <f>$AH$9/Table1[[#This Row],[WoundÆ]]/2</f>
        <v>8.0808080808080813</v>
      </c>
      <c r="AB9" s="5">
        <f>(Table1[[#This Row],[% Base]]+Table1[[#This Row],[% Base2]])/2</f>
        <v>1.1249999999999998</v>
      </c>
      <c r="AG9" t="s">
        <v>51</v>
      </c>
      <c r="AH9">
        <v>4</v>
      </c>
    </row>
    <row r="10" spans="2:34" x14ac:dyDescent="0.25">
      <c r="B10" s="3" t="s">
        <v>75</v>
      </c>
      <c r="C10" s="3">
        <v>14</v>
      </c>
      <c r="D10" s="3">
        <v>2</v>
      </c>
      <c r="E10" s="3"/>
      <c r="F10" s="3" t="s">
        <v>63</v>
      </c>
      <c r="G10" s="3"/>
      <c r="H10" s="3"/>
      <c r="I10" s="3"/>
      <c r="J10" s="3"/>
      <c r="K10" s="3"/>
      <c r="L10" s="3"/>
      <c r="M10" s="3"/>
      <c r="N10" s="3"/>
      <c r="O10" s="5">
        <f t="shared" si="4"/>
        <v>0.5</v>
      </c>
      <c r="P10" s="5">
        <f t="shared" si="0"/>
        <v>0.7</v>
      </c>
      <c r="Q10" s="5">
        <f t="shared" si="1"/>
        <v>0.1</v>
      </c>
      <c r="R10" s="8">
        <f>1*P10*Table1[[#This Row],[Hit%]]*(1+Q10)*D10</f>
        <v>0.77</v>
      </c>
      <c r="S10" s="5">
        <f t="shared" ref="S10" si="9">R10/$R$4</f>
        <v>1.7499999999999998</v>
      </c>
      <c r="T10" s="10">
        <f>$AH$9/Table1[[#This Row],[WoundsÆ]]/2</f>
        <v>2.5974025974025974</v>
      </c>
      <c r="U10" s="6"/>
      <c r="V10" s="5">
        <f t="shared" si="6"/>
        <v>0.5</v>
      </c>
      <c r="W10" s="5">
        <f t="shared" si="2"/>
        <v>0.7</v>
      </c>
      <c r="X10" s="5">
        <f t="shared" si="3"/>
        <v>0.1</v>
      </c>
      <c r="Y10" s="8">
        <f t="shared" si="7"/>
        <v>0.77</v>
      </c>
      <c r="Z10" s="5">
        <f t="shared" ref="Z10" si="10">Y10/$Y$4</f>
        <v>3.4999999999999996</v>
      </c>
      <c r="AA10" s="10">
        <f>$AH$9/Table1[[#This Row],[WoundÆ]]/2</f>
        <v>2.5974025974025974</v>
      </c>
      <c r="AB10" s="5">
        <f>(Table1[[#This Row],[% Base]]+Table1[[#This Row],[% Base2]])/2</f>
        <v>2.6249999999999996</v>
      </c>
      <c r="AG10" t="s">
        <v>10</v>
      </c>
      <c r="AH10">
        <v>9</v>
      </c>
    </row>
    <row r="11" spans="2:34" ht="14.25" customHeight="1" x14ac:dyDescent="0.25"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5"/>
      <c r="P11" s="5"/>
      <c r="Q11" s="5"/>
      <c r="R11" s="8"/>
      <c r="S11" s="5"/>
      <c r="T11" s="23"/>
      <c r="U11" s="6"/>
      <c r="V11" s="5"/>
      <c r="W11" s="5"/>
      <c r="X11" s="5"/>
      <c r="Y11" s="8"/>
      <c r="Z11" s="5"/>
      <c r="AA11" s="24"/>
      <c r="AB11" s="23"/>
      <c r="AG11" t="s">
        <v>99</v>
      </c>
      <c r="AH11">
        <v>10</v>
      </c>
    </row>
    <row r="12" spans="2:34" ht="14.25" customHeight="1" x14ac:dyDescent="0.25">
      <c r="B12" s="3" t="s">
        <v>24</v>
      </c>
      <c r="C12" s="4">
        <v>8</v>
      </c>
      <c r="D12" s="3">
        <v>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5">
        <f>IF(K12="X",1,($AE$3+IF(F12="X",2,0)+G12)/20)</f>
        <v>0.5</v>
      </c>
      <c r="P12" s="5">
        <f>(C12/20)*IF($AH$6=1,IF(F12="X",1,0.5),1)</f>
        <v>0.4</v>
      </c>
      <c r="Q12" s="5">
        <f>(IF(( L12="X"),0,($AE$6+H12))/20)</f>
        <v>0.1</v>
      </c>
      <c r="R12" s="8">
        <f>1*P12*(O12)*D12   +   (IF(J12="X",2,1)*Q12*D12)</f>
        <v>0.60000000000000009</v>
      </c>
      <c r="S12" s="5">
        <f>R12/$R$12</f>
        <v>1</v>
      </c>
      <c r="T12" s="10">
        <f>$AH$9/Table1[[#This Row],[WoundsÆ]]/2</f>
        <v>3.333333333333333</v>
      </c>
      <c r="U12" s="6"/>
      <c r="V12" s="5">
        <f>IF(K12="X",1,($AE$3+IF(F12="X",2,0)+G12)/20)</f>
        <v>0.5</v>
      </c>
      <c r="W12" s="5">
        <f>(C12/20)*IF($AH$13=1,IF(F12="X",1,0.5),1)</f>
        <v>0.2</v>
      </c>
      <c r="X12" s="5">
        <f>(IF((OR(K12="X", L12="X")),0,($AE$6+H12))/20)</f>
        <v>0.1</v>
      </c>
      <c r="Y12" s="8">
        <f>1*W12*V12*D12+(X12*D12)</f>
        <v>0.4</v>
      </c>
      <c r="Z12" s="5">
        <f>Y12/$Y$12</f>
        <v>1</v>
      </c>
      <c r="AA12" s="24">
        <f>$AH$9/Table1[[#This Row],[WoundÆ]]/2</f>
        <v>5</v>
      </c>
      <c r="AB12" s="23">
        <f>(Table1[[#This Row],[% Base]]+Table1[[#This Row],[% Base2]])/2</f>
        <v>1</v>
      </c>
      <c r="AG12" t="s">
        <v>100</v>
      </c>
      <c r="AH12">
        <v>10</v>
      </c>
    </row>
    <row r="13" spans="2:34" ht="14.25" customHeight="1" x14ac:dyDescent="0.25">
      <c r="B13" s="3" t="s">
        <v>40</v>
      </c>
      <c r="C13" s="4">
        <v>7</v>
      </c>
      <c r="D13" s="3">
        <v>2</v>
      </c>
      <c r="E13" s="3" t="s">
        <v>65</v>
      </c>
      <c r="F13" s="3" t="s">
        <v>63</v>
      </c>
      <c r="G13" s="3"/>
      <c r="H13" s="3"/>
      <c r="I13" s="3"/>
      <c r="J13" s="3"/>
      <c r="K13" s="3"/>
      <c r="L13" s="3"/>
      <c r="M13" s="3"/>
      <c r="N13" s="3"/>
      <c r="O13" s="5">
        <f>IF(K13="X",1,($AE$3+IF(F13="X",2,0)+G13)/20)</f>
        <v>0.6</v>
      </c>
      <c r="P13" s="5">
        <f>(C13/20)*IF($AH$6=1,IF(F13="X",1,0.5),1)</f>
        <v>0.35</v>
      </c>
      <c r="Q13" s="5">
        <f>(IF(( L13="X"),0,($AE$6+H13))/20)</f>
        <v>0.1</v>
      </c>
      <c r="R13" s="8">
        <f>1*P13*(O13)*D13   +   (IF(J13="X",2,1)*Q13*D13)</f>
        <v>0.62</v>
      </c>
      <c r="S13" s="5">
        <f>R13/$R$12</f>
        <v>1.0333333333333332</v>
      </c>
      <c r="T13" s="10">
        <f>$AH$9/Table1[[#This Row],[WoundsÆ]]/2</f>
        <v>3.2258064516129035</v>
      </c>
      <c r="U13" s="6"/>
      <c r="V13" s="5">
        <f>IF(K13="X",1,($AE$3+IF(F13="X",2,0)+G13)/20)</f>
        <v>0.6</v>
      </c>
      <c r="W13" s="5">
        <f>(C13/20)*IF($AH$13=1,IF(F13="X",1,0.5),1)</f>
        <v>0.35</v>
      </c>
      <c r="X13" s="5">
        <f>(IF((OR(K13="X", L13="X")),0,($AE$6+H13))/20)</f>
        <v>0.1</v>
      </c>
      <c r="Y13" s="8">
        <f>1*W13*V13*D13+(X13*D13)</f>
        <v>0.62</v>
      </c>
      <c r="Z13" s="5">
        <f>Y13/$Y$12</f>
        <v>1.5499999999999998</v>
      </c>
      <c r="AA13" s="24">
        <f>$AH$9/Table1[[#This Row],[WoundÆ]]/2</f>
        <v>3.2258064516129035</v>
      </c>
      <c r="AB13" s="23">
        <f>(Table1[[#This Row],[% Base]]+Table1[[#This Row],[% Base2]])/2</f>
        <v>1.2916666666666665</v>
      </c>
      <c r="AG13" t="s">
        <v>101</v>
      </c>
      <c r="AH13">
        <v>1</v>
      </c>
    </row>
    <row r="14" spans="2:34" ht="14.25" customHeight="1" x14ac:dyDescent="0.25">
      <c r="B14" s="3" t="s">
        <v>62</v>
      </c>
      <c r="C14" s="4">
        <v>8</v>
      </c>
      <c r="D14" s="3">
        <v>2</v>
      </c>
      <c r="E14" s="3" t="s">
        <v>56</v>
      </c>
      <c r="F14" s="3" t="s">
        <v>63</v>
      </c>
      <c r="G14" s="3"/>
      <c r="H14" s="3"/>
      <c r="I14" s="3"/>
      <c r="J14" s="3"/>
      <c r="K14" s="3"/>
      <c r="L14" s="3"/>
      <c r="M14" s="3"/>
      <c r="N14" s="3"/>
      <c r="O14" s="5">
        <f>IF(K14="X",1,($AE$3+IF(F14="X",2,0)+G14)/20)</f>
        <v>0.6</v>
      </c>
      <c r="P14" s="5">
        <f>(C14/20)*IF($AH$6=1,0.5,1)</f>
        <v>0.4</v>
      </c>
      <c r="Q14" s="5">
        <f>(IF(( L14="X"),0,($AE$6+H14))/20)</f>
        <v>0.1</v>
      </c>
      <c r="R14" s="8">
        <f>1*P14*(O14)*D14   +   (IF(J14="X",2,1)*Q14*D14)</f>
        <v>0.67999999999999994</v>
      </c>
      <c r="S14" s="5">
        <f>R14/$R$12</f>
        <v>1.1333333333333331</v>
      </c>
      <c r="T14" s="10">
        <f>$AH$9/Table1[[#This Row],[WoundsÆ]]/2</f>
        <v>2.9411764705882355</v>
      </c>
      <c r="U14" s="6"/>
      <c r="V14" s="5">
        <f>IF(K14="X",1,($AE$3+IF(F14="X",2,0)+G14)/20)</f>
        <v>0.6</v>
      </c>
      <c r="W14" s="5">
        <f>(C14/20)*IF($AH$13=1,IF(F14="X",1,0.5),1)</f>
        <v>0.4</v>
      </c>
      <c r="X14" s="5">
        <f>(IF((OR(K14="X", L14="X")),0,($AE$6+H14))/20)</f>
        <v>0.1</v>
      </c>
      <c r="Y14" s="8">
        <f>1*W14*V14*D14+(X14*D14)</f>
        <v>0.67999999999999994</v>
      </c>
      <c r="Z14" s="5">
        <f>Y14/$Y$12</f>
        <v>1.6999999999999997</v>
      </c>
      <c r="AA14" s="24">
        <f>$AH$9/Table1[[#This Row],[WoundÆ]]/2</f>
        <v>2.9411764705882355</v>
      </c>
      <c r="AB14" s="23">
        <f>(Table1[[#This Row],[% Base]]+Table1[[#This Row],[% Base2]])/2</f>
        <v>1.4166666666666665</v>
      </c>
    </row>
    <row r="15" spans="2:34" ht="14.25" customHeight="1" x14ac:dyDescent="0.25">
      <c r="B15" s="3" t="s">
        <v>25</v>
      </c>
      <c r="C15" s="4">
        <v>8</v>
      </c>
      <c r="D15" s="3">
        <v>4</v>
      </c>
      <c r="E15" s="3" t="s">
        <v>58</v>
      </c>
      <c r="F15" s="3"/>
      <c r="G15" s="3"/>
      <c r="H15" s="3"/>
      <c r="I15" s="3"/>
      <c r="J15" s="3"/>
      <c r="K15" s="3"/>
      <c r="L15" s="3" t="s">
        <v>63</v>
      </c>
      <c r="M15" s="3"/>
      <c r="N15" s="3"/>
      <c r="O15" s="5">
        <f>IF(K15="X",1,($AE$3+IF(F15="X",2,0)+G15)/20)</f>
        <v>0.5</v>
      </c>
      <c r="P15" s="5">
        <f>(C15/20)*IF($AH$6=1,0.5,1)</f>
        <v>0.4</v>
      </c>
      <c r="Q15" s="5">
        <f>(IF(( L15="X"),0,($AE$6+H15))/20)</f>
        <v>0</v>
      </c>
      <c r="R15" s="8">
        <f>1*P15*(O15)*D15   +   (IF(J15="X",2,1)*Q15*D15)</f>
        <v>0.8</v>
      </c>
      <c r="S15" s="5">
        <f>R15/$R$12</f>
        <v>1.3333333333333333</v>
      </c>
      <c r="T15" s="10">
        <f>$AH$9/Table1[[#This Row],[WoundsÆ]]/2</f>
        <v>2.5</v>
      </c>
      <c r="U15" s="6"/>
      <c r="V15" s="5">
        <f>IF(K15="X",1,($AE$3+IF(F15="X",2,0)+G15)/20)</f>
        <v>0.5</v>
      </c>
      <c r="W15" s="5">
        <f>(C15/20)*IF($AH$13=1,IF(F15="X",1,0.5),1)</f>
        <v>0.2</v>
      </c>
      <c r="X15" s="5">
        <f>(IF((OR(K15="X", L15="X")),0,($AE$6+H15))/20)</f>
        <v>0</v>
      </c>
      <c r="Y15" s="8">
        <f>1*W15*V15*D15+(X15*D15)</f>
        <v>0.4</v>
      </c>
      <c r="Z15" s="5">
        <f>Y15/$Y$12</f>
        <v>1</v>
      </c>
      <c r="AA15" s="24">
        <f>$AH$9/Table1[[#This Row],[WoundÆ]]/2</f>
        <v>5</v>
      </c>
      <c r="AB15" s="23">
        <f>(Table1[[#This Row],[% Base]]+Table1[[#This Row],[% Base2]])/2</f>
        <v>1.1666666666666665</v>
      </c>
    </row>
    <row r="16" spans="2:34" ht="14.25" customHeight="1" x14ac:dyDescent="0.25">
      <c r="B16" s="3" t="s">
        <v>26</v>
      </c>
      <c r="C16" s="4">
        <v>6</v>
      </c>
      <c r="D16" s="3">
        <v>2</v>
      </c>
      <c r="E16" s="3" t="s">
        <v>41</v>
      </c>
      <c r="F16" s="3"/>
      <c r="G16" s="3"/>
      <c r="H16" s="3"/>
      <c r="I16" s="3"/>
      <c r="J16" s="3"/>
      <c r="K16" s="3" t="s">
        <v>63</v>
      </c>
      <c r="L16" s="3" t="s">
        <v>63</v>
      </c>
      <c r="M16" s="3"/>
      <c r="N16" s="3"/>
      <c r="O16" s="5">
        <f>IF(K16="X",1,($AE$3+IF(F16="X",2,0)+G16)/20)</f>
        <v>1</v>
      </c>
      <c r="P16" s="5">
        <f>(C16/20)*IF($AH$6=1,0.5,1)</f>
        <v>0.3</v>
      </c>
      <c r="Q16" s="5">
        <f>(IF(( L16="X"),0,($AE$6+H16))/20)</f>
        <v>0</v>
      </c>
      <c r="R16" s="8">
        <f>1*P16*(O16)*D16   +   (IF(J16="X",2,1)*Q16*D16)</f>
        <v>0.6</v>
      </c>
      <c r="S16" s="5">
        <f>R16/$R$12</f>
        <v>0.99999999999999978</v>
      </c>
      <c r="T16" s="10">
        <f>$AH$9/Table1[[#This Row],[WoundsÆ]]/2</f>
        <v>3.3333333333333335</v>
      </c>
      <c r="U16" s="6"/>
      <c r="V16" s="5">
        <f>IF(K16="X",1,($AE$3+IF(F16="X",2,0)+G16)/20)</f>
        <v>1</v>
      </c>
      <c r="W16" s="5">
        <f>(C16/20)*IF($AH$13=1,IF(F16="X",1,0.5),1)</f>
        <v>0.15</v>
      </c>
      <c r="X16" s="5">
        <f>(IF((OR(K16="X", L16="X")),0,($AE$6+H16))/20)</f>
        <v>0</v>
      </c>
      <c r="Y16" s="8">
        <f>1*W16*V16*D16+(X16*D16)</f>
        <v>0.3</v>
      </c>
      <c r="Z16" s="5">
        <f>Y16/$Y$12</f>
        <v>0.74999999999999989</v>
      </c>
      <c r="AA16" s="24">
        <f>$AH$9/Table1[[#This Row],[WoundÆ]]/2</f>
        <v>6.666666666666667</v>
      </c>
      <c r="AB16" s="23">
        <f>(Table1[[#This Row],[% Base]]+Table1[[#This Row],[% Base2]])/2</f>
        <v>0.87499999999999978</v>
      </c>
    </row>
    <row r="17" spans="2:28" ht="14.25" customHeight="1" x14ac:dyDescent="0.25">
      <c r="B17" s="3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5"/>
      <c r="P17" s="5"/>
      <c r="Q17" s="5"/>
      <c r="R17" s="8"/>
      <c r="S17" s="5"/>
      <c r="T17" s="10"/>
      <c r="U17" s="6"/>
      <c r="V17" s="5"/>
      <c r="W17" s="5"/>
      <c r="X17" s="5"/>
      <c r="Y17" s="8"/>
      <c r="Z17" s="5"/>
      <c r="AA17" s="24"/>
      <c r="AB17" s="23"/>
    </row>
    <row r="18" spans="2:28" ht="14.25" customHeight="1" x14ac:dyDescent="0.25">
      <c r="B18" s="3" t="s">
        <v>27</v>
      </c>
      <c r="C18" s="4">
        <v>10</v>
      </c>
      <c r="D18" s="3">
        <v>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5">
        <f t="shared" ref="O18:O25" si="11">IF(K18="X",1,($AE$3+IF(F18="X",2,0)+G18)/20)</f>
        <v>0.5</v>
      </c>
      <c r="P18" s="5">
        <f t="shared" ref="P18:P25" si="12">(C18/20)*IF($AH$6=1,0.5,1)</f>
        <v>0.5</v>
      </c>
      <c r="Q18" s="5">
        <f t="shared" ref="Q18:Q25" si="13">(IF(( L18="X"),0,($AE$6+H18))/20)</f>
        <v>0.1</v>
      </c>
      <c r="R18" s="8">
        <f t="shared" ref="R18:R25" si="14">1*P18*(O18)*D18   +   (IF(J18="X",2,1)*Q18*D18)</f>
        <v>1.05</v>
      </c>
      <c r="S18" s="5">
        <f t="shared" ref="S18:S25" si="15">R18/$R$18</f>
        <v>1</v>
      </c>
      <c r="T18" s="10">
        <f>$AH$9/Table1[[#This Row],[WoundsÆ]]</f>
        <v>3.8095238095238093</v>
      </c>
      <c r="U18" s="6"/>
      <c r="V18" s="5">
        <f t="shared" ref="V18:V25" si="16">IF(K18="X",1,($AE$3+IF(F18="X",2,0)+G18)/20)</f>
        <v>0.5</v>
      </c>
      <c r="W18" s="5">
        <f t="shared" ref="W18:W25" si="17">(C18/20)*IF($AH$13=1,IF(F18="X",1,0.5),1)</f>
        <v>0.25</v>
      </c>
      <c r="X18" s="5">
        <f t="shared" ref="X18:X25" si="18">(IF((OR(K18="X", L18="X")),0,($AE$6+H18))/20)</f>
        <v>0.1</v>
      </c>
      <c r="Y18" s="8">
        <f>1*W18*V18*D18+(X18*D18)</f>
        <v>0.67500000000000004</v>
      </c>
      <c r="Z18" s="5">
        <f t="shared" ref="Z18:Z25" si="19">Y18/$Y$18</f>
        <v>1</v>
      </c>
      <c r="AA18" s="24">
        <f>$AH$9/Table1[[#This Row],[WoundÆ]]</f>
        <v>5.9259259259259256</v>
      </c>
      <c r="AB18" s="23">
        <f>(Table1[[#This Row],[% Base]]+Table1[[#This Row],[% Base2]])/2</f>
        <v>1</v>
      </c>
    </row>
    <row r="19" spans="2:28" ht="14.25" customHeight="1" x14ac:dyDescent="0.25">
      <c r="B19" s="3" t="s">
        <v>28</v>
      </c>
      <c r="C19" s="4">
        <v>8</v>
      </c>
      <c r="D19" s="3">
        <v>3</v>
      </c>
      <c r="E19" s="3" t="s">
        <v>73</v>
      </c>
      <c r="F19" s="3"/>
      <c r="G19" s="3"/>
      <c r="H19" s="3"/>
      <c r="I19" s="3"/>
      <c r="J19" s="3"/>
      <c r="K19" s="3"/>
      <c r="L19" s="3"/>
      <c r="M19" s="3"/>
      <c r="N19" s="3"/>
      <c r="O19" s="5">
        <f t="shared" si="11"/>
        <v>0.5</v>
      </c>
      <c r="P19" s="5">
        <f t="shared" si="12"/>
        <v>0.4</v>
      </c>
      <c r="Q19" s="5">
        <f t="shared" si="13"/>
        <v>0.1</v>
      </c>
      <c r="R19" s="8">
        <f t="shared" si="14"/>
        <v>0.90000000000000013</v>
      </c>
      <c r="S19" s="5">
        <f t="shared" si="15"/>
        <v>0.85714285714285721</v>
      </c>
      <c r="T19" s="10">
        <f>$AH$9/Table1[[#This Row],[WoundsÆ]]</f>
        <v>4.4444444444444438</v>
      </c>
      <c r="U19" s="6"/>
      <c r="V19" s="5">
        <f t="shared" si="16"/>
        <v>0.5</v>
      </c>
      <c r="W19" s="5">
        <f t="shared" si="17"/>
        <v>0.2</v>
      </c>
      <c r="X19" s="5">
        <f t="shared" si="18"/>
        <v>0.1</v>
      </c>
      <c r="Y19" s="8">
        <f>1*W19*V19*D19+(X19*D19)</f>
        <v>0.60000000000000009</v>
      </c>
      <c r="Z19" s="5">
        <f t="shared" si="19"/>
        <v>0.88888888888888895</v>
      </c>
      <c r="AA19" s="24">
        <f>$AH$9/Table1[[#This Row],[WoundÆ]]</f>
        <v>6.6666666666666661</v>
      </c>
      <c r="AB19" s="23">
        <f>(Table1[[#This Row],[% Base]]+Table1[[#This Row],[% Base2]])/2</f>
        <v>0.87301587301587302</v>
      </c>
    </row>
    <row r="20" spans="2:28" ht="14.25" customHeight="1" x14ac:dyDescent="0.25">
      <c r="B20" s="3" t="s">
        <v>29</v>
      </c>
      <c r="C20" s="4">
        <v>8</v>
      </c>
      <c r="D20" s="3">
        <v>3</v>
      </c>
      <c r="E20" s="3"/>
      <c r="F20" s="3" t="s">
        <v>63</v>
      </c>
      <c r="G20" s="3"/>
      <c r="H20" s="3"/>
      <c r="I20" s="3"/>
      <c r="J20" s="3"/>
      <c r="K20" s="3"/>
      <c r="L20" s="3"/>
      <c r="M20" s="3"/>
      <c r="N20" s="3"/>
      <c r="O20" s="5">
        <f t="shared" si="11"/>
        <v>0.6</v>
      </c>
      <c r="P20" s="5">
        <f t="shared" si="12"/>
        <v>0.4</v>
      </c>
      <c r="Q20" s="5">
        <f t="shared" si="13"/>
        <v>0.1</v>
      </c>
      <c r="R20" s="8">
        <f t="shared" si="14"/>
        <v>1.02</v>
      </c>
      <c r="S20" s="5">
        <f t="shared" si="15"/>
        <v>0.97142857142857142</v>
      </c>
      <c r="T20" s="10">
        <f>$AH$9/Table1[[#This Row],[WoundsÆ]]</f>
        <v>3.9215686274509802</v>
      </c>
      <c r="U20" s="6"/>
      <c r="V20" s="5">
        <f t="shared" si="16"/>
        <v>0.6</v>
      </c>
      <c r="W20" s="5">
        <f t="shared" si="17"/>
        <v>0.4</v>
      </c>
      <c r="X20" s="5">
        <f t="shared" si="18"/>
        <v>0.1</v>
      </c>
      <c r="Y20" s="8">
        <f>1*W20*V20*D20+(X20*D20)</f>
        <v>1.02</v>
      </c>
      <c r="Z20" s="5">
        <f t="shared" si="19"/>
        <v>1.5111111111111111</v>
      </c>
      <c r="AA20" s="24">
        <f>$AH$9/Table1[[#This Row],[WoundÆ]]</f>
        <v>3.9215686274509802</v>
      </c>
      <c r="AB20" s="23">
        <f>(Table1[[#This Row],[% Base]]+Table1[[#This Row],[% Base2]])/2</f>
        <v>1.2412698412698413</v>
      </c>
    </row>
    <row r="21" spans="2:28" ht="14.25" customHeight="1" x14ac:dyDescent="0.25">
      <c r="B21" s="3" t="s">
        <v>55</v>
      </c>
      <c r="C21" s="4">
        <v>12</v>
      </c>
      <c r="D21" s="3">
        <v>2</v>
      </c>
      <c r="E21" s="3" t="s">
        <v>56</v>
      </c>
      <c r="F21" s="3" t="s">
        <v>63</v>
      </c>
      <c r="G21" s="3"/>
      <c r="H21" s="3"/>
      <c r="I21" s="3"/>
      <c r="J21" s="3"/>
      <c r="K21" s="3"/>
      <c r="L21" s="3"/>
      <c r="M21" s="3"/>
      <c r="N21" s="3"/>
      <c r="O21" s="5">
        <f t="shared" si="11"/>
        <v>0.6</v>
      </c>
      <c r="P21" s="5">
        <f t="shared" si="12"/>
        <v>0.6</v>
      </c>
      <c r="Q21" s="5">
        <f t="shared" si="13"/>
        <v>0.1</v>
      </c>
      <c r="R21" s="8">
        <f t="shared" si="14"/>
        <v>0.91999999999999993</v>
      </c>
      <c r="S21" s="5">
        <f t="shared" si="15"/>
        <v>0.87619047619047608</v>
      </c>
      <c r="T21" s="10">
        <f>$AH$9/Table1[[#This Row],[WoundsÆ]]</f>
        <v>4.3478260869565224</v>
      </c>
      <c r="U21" s="6"/>
      <c r="V21" s="5">
        <f t="shared" si="16"/>
        <v>0.6</v>
      </c>
      <c r="W21" s="5">
        <f t="shared" si="17"/>
        <v>0.6</v>
      </c>
      <c r="X21" s="5">
        <f t="shared" si="18"/>
        <v>0.1</v>
      </c>
      <c r="Y21" s="8">
        <f>1*W21*V21*D21+(X21*D21)</f>
        <v>0.91999999999999993</v>
      </c>
      <c r="Z21" s="5">
        <f t="shared" si="19"/>
        <v>1.3629629629629627</v>
      </c>
      <c r="AA21" s="24">
        <f>$AH$9/Table1[[#This Row],[WoundÆ]]</f>
        <v>4.3478260869565224</v>
      </c>
      <c r="AB21" s="23">
        <f>(Table1[[#This Row],[% Base]]+Table1[[#This Row],[% Base2]])/2</f>
        <v>1.1195767195767194</v>
      </c>
    </row>
    <row r="22" spans="2:28" ht="14.25" customHeight="1" x14ac:dyDescent="0.25">
      <c r="B22" s="3" t="s">
        <v>30</v>
      </c>
      <c r="C22" s="4">
        <v>10</v>
      </c>
      <c r="D22" s="3">
        <v>2</v>
      </c>
      <c r="E22" s="3" t="s">
        <v>41</v>
      </c>
      <c r="F22" s="3"/>
      <c r="G22" s="3"/>
      <c r="H22" s="3"/>
      <c r="I22" s="3"/>
      <c r="J22" s="3"/>
      <c r="K22" s="3" t="s">
        <v>63</v>
      </c>
      <c r="L22" s="3" t="s">
        <v>63</v>
      </c>
      <c r="M22" s="3"/>
      <c r="N22" s="3"/>
      <c r="O22" s="5">
        <f t="shared" si="11"/>
        <v>1</v>
      </c>
      <c r="P22" s="5">
        <f t="shared" si="12"/>
        <v>0.5</v>
      </c>
      <c r="Q22" s="5">
        <f t="shared" si="13"/>
        <v>0</v>
      </c>
      <c r="R22" s="8">
        <f t="shared" si="14"/>
        <v>1</v>
      </c>
      <c r="S22" s="5">
        <f t="shared" si="15"/>
        <v>0.95238095238095233</v>
      </c>
      <c r="T22" s="10">
        <f>$AH$9/Table1[[#This Row],[WoundsÆ]]</f>
        <v>4</v>
      </c>
      <c r="U22" s="6"/>
      <c r="V22" s="5">
        <f t="shared" si="16"/>
        <v>1</v>
      </c>
      <c r="W22" s="5">
        <f t="shared" si="17"/>
        <v>0.25</v>
      </c>
      <c r="X22" s="5">
        <f t="shared" si="18"/>
        <v>0</v>
      </c>
      <c r="Y22" s="8">
        <f>1*W22*V22*D22+(X22*D22)</f>
        <v>0.5</v>
      </c>
      <c r="Z22" s="5">
        <f t="shared" si="19"/>
        <v>0.7407407407407407</v>
      </c>
      <c r="AA22" s="24">
        <f>$AH$9/Table1[[#This Row],[WoundÆ]]</f>
        <v>8</v>
      </c>
      <c r="AB22" s="23">
        <f>(Table1[[#This Row],[% Base]]+Table1[[#This Row],[% Base2]])/2</f>
        <v>0.84656084656084651</v>
      </c>
    </row>
    <row r="23" spans="2:28" ht="14.25" customHeight="1" x14ac:dyDescent="0.25">
      <c r="B23" s="3" t="s">
        <v>31</v>
      </c>
      <c r="C23" s="4">
        <v>14</v>
      </c>
      <c r="D23" s="3">
        <v>1</v>
      </c>
      <c r="E23" s="3"/>
      <c r="F23" s="3"/>
      <c r="G23" s="3">
        <v>5</v>
      </c>
      <c r="H23" s="3">
        <v>4</v>
      </c>
      <c r="I23" s="3"/>
      <c r="J23" s="3" t="s">
        <v>63</v>
      </c>
      <c r="K23" s="3"/>
      <c r="L23" s="3"/>
      <c r="M23" s="3"/>
      <c r="N23" s="3"/>
      <c r="O23" s="5">
        <f t="shared" si="11"/>
        <v>0.75</v>
      </c>
      <c r="P23" s="5">
        <f t="shared" si="12"/>
        <v>0.7</v>
      </c>
      <c r="Q23" s="5">
        <f t="shared" si="13"/>
        <v>0.3</v>
      </c>
      <c r="R23" s="8">
        <f t="shared" si="14"/>
        <v>1.125</v>
      </c>
      <c r="S23" s="5">
        <f t="shared" si="15"/>
        <v>1.0714285714285714</v>
      </c>
      <c r="T23" s="10">
        <f>$AH$9/Table1[[#This Row],[WoundsÆ]]</f>
        <v>3.5555555555555554</v>
      </c>
      <c r="U23" s="6"/>
      <c r="V23" s="5">
        <f t="shared" si="16"/>
        <v>0.75</v>
      </c>
      <c r="W23" s="5">
        <f t="shared" si="17"/>
        <v>0.35</v>
      </c>
      <c r="X23" s="5">
        <f t="shared" si="18"/>
        <v>0.3</v>
      </c>
      <c r="Y23" s="8">
        <f>1*W23*V23*D23+((X23*2)*D23)</f>
        <v>0.86249999999999993</v>
      </c>
      <c r="Z23" s="5">
        <f t="shared" si="19"/>
        <v>1.2777777777777777</v>
      </c>
      <c r="AA23" s="24">
        <f>$AH$9/Table1[[#This Row],[WoundÆ]]</f>
        <v>4.63768115942029</v>
      </c>
      <c r="AB23" s="23">
        <f>(Table1[[#This Row],[% Base]]+Table1[[#This Row],[% Base2]])/2</f>
        <v>1.1746031746031744</v>
      </c>
    </row>
    <row r="24" spans="2:28" ht="14.25" customHeight="1" x14ac:dyDescent="0.25">
      <c r="B24" s="3" t="s">
        <v>32</v>
      </c>
      <c r="C24" s="4">
        <v>10</v>
      </c>
      <c r="D24" s="3">
        <v>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5">
        <f t="shared" si="11"/>
        <v>0.5</v>
      </c>
      <c r="P24" s="5">
        <f t="shared" si="12"/>
        <v>0.5</v>
      </c>
      <c r="Q24" s="5">
        <f t="shared" si="13"/>
        <v>0.1</v>
      </c>
      <c r="R24" s="8">
        <f t="shared" si="14"/>
        <v>1.75</v>
      </c>
      <c r="S24" s="5">
        <f t="shared" si="15"/>
        <v>1.6666666666666665</v>
      </c>
      <c r="T24" s="10">
        <f>$AH$9/Table1[[#This Row],[WoundsÆ]]</f>
        <v>2.2857142857142856</v>
      </c>
      <c r="U24" s="6"/>
      <c r="V24" s="5">
        <f t="shared" si="16"/>
        <v>0.5</v>
      </c>
      <c r="W24" s="5">
        <f t="shared" si="17"/>
        <v>0.25</v>
      </c>
      <c r="X24" s="5">
        <f t="shared" si="18"/>
        <v>0.1</v>
      </c>
      <c r="Y24" s="8">
        <f>1*W24*V24*D24+(X24*D24)</f>
        <v>1.125</v>
      </c>
      <c r="Z24" s="5">
        <f t="shared" si="19"/>
        <v>1.6666666666666665</v>
      </c>
      <c r="AA24" s="24">
        <f>$AH$9/Table1[[#This Row],[WoundÆ]]</f>
        <v>3.5555555555555554</v>
      </c>
      <c r="AB24" s="23">
        <f>(Table1[[#This Row],[% Base]]+Table1[[#This Row],[% Base2]])/2</f>
        <v>1.6666666666666665</v>
      </c>
    </row>
    <row r="25" spans="2:28" ht="14.25" customHeight="1" x14ac:dyDescent="0.25">
      <c r="B25" s="3" t="s">
        <v>33</v>
      </c>
      <c r="C25" s="4">
        <v>8</v>
      </c>
      <c r="D25" s="3">
        <v>6</v>
      </c>
      <c r="E25" s="3" t="s">
        <v>58</v>
      </c>
      <c r="F25" s="3"/>
      <c r="G25" s="3"/>
      <c r="H25" s="3"/>
      <c r="I25" s="3"/>
      <c r="J25" s="3"/>
      <c r="K25" s="3"/>
      <c r="L25" s="3" t="s">
        <v>63</v>
      </c>
      <c r="M25" s="3"/>
      <c r="N25" s="3"/>
      <c r="O25" s="5">
        <f t="shared" si="11"/>
        <v>0.5</v>
      </c>
      <c r="P25" s="5">
        <f t="shared" si="12"/>
        <v>0.4</v>
      </c>
      <c r="Q25" s="5">
        <f t="shared" si="13"/>
        <v>0</v>
      </c>
      <c r="R25" s="8">
        <f t="shared" si="14"/>
        <v>1.2000000000000002</v>
      </c>
      <c r="S25" s="5">
        <f t="shared" si="15"/>
        <v>1.142857142857143</v>
      </c>
      <c r="T25" s="10">
        <f>$AH$9/Table1[[#This Row],[WoundsÆ]]</f>
        <v>3.333333333333333</v>
      </c>
      <c r="U25" s="6"/>
      <c r="V25" s="5">
        <f t="shared" si="16"/>
        <v>0.5</v>
      </c>
      <c r="W25" s="5">
        <f t="shared" si="17"/>
        <v>0.2</v>
      </c>
      <c r="X25" s="5">
        <f t="shared" si="18"/>
        <v>0</v>
      </c>
      <c r="Y25" s="8">
        <f>1*W25*V25*D25+(X25*D25)</f>
        <v>0.60000000000000009</v>
      </c>
      <c r="Z25" s="5">
        <f t="shared" si="19"/>
        <v>0.88888888888888895</v>
      </c>
      <c r="AA25" s="24">
        <f>$AH$9/Table1[[#This Row],[WoundÆ]]</f>
        <v>6.6666666666666661</v>
      </c>
      <c r="AB25" s="23">
        <f>(Table1[[#This Row],[% Base]]+Table1[[#This Row],[% Base2]])/2</f>
        <v>1.015873015873016</v>
      </c>
    </row>
    <row r="26" spans="2:28" ht="14.25" customHeight="1" x14ac:dyDescent="0.25">
      <c r="B26" s="3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5"/>
      <c r="P26" s="5"/>
      <c r="Q26" s="5"/>
      <c r="R26" s="8"/>
      <c r="S26" s="5"/>
      <c r="T26" s="10"/>
      <c r="U26" s="6"/>
      <c r="V26" s="5"/>
      <c r="W26" s="5"/>
      <c r="X26" s="5"/>
      <c r="Y26" s="8"/>
      <c r="Z26" s="5"/>
      <c r="AA26" s="24"/>
      <c r="AB26" s="23"/>
    </row>
    <row r="27" spans="2:28" ht="14.25" customHeight="1" x14ac:dyDescent="0.25">
      <c r="B27" s="3" t="s">
        <v>34</v>
      </c>
      <c r="C27" s="4">
        <v>12</v>
      </c>
      <c r="D27" s="3">
        <v>4</v>
      </c>
      <c r="E27" s="3" t="s">
        <v>59</v>
      </c>
      <c r="F27" s="3"/>
      <c r="G27" s="3"/>
      <c r="H27" s="3"/>
      <c r="I27" s="3"/>
      <c r="J27" s="3"/>
      <c r="K27" s="3"/>
      <c r="L27" s="3"/>
      <c r="M27" s="3"/>
      <c r="N27" s="3"/>
      <c r="O27" s="5">
        <f t="shared" ref="O27:O38" si="20">IF(K27="X",1,($AE$3+IF(F27="X",2,0)+G27)/20)</f>
        <v>0.5</v>
      </c>
      <c r="P27" s="5">
        <f t="shared" ref="P27:P38" si="21">(C27/20)*IF($AH$6=1,0.5,1)</f>
        <v>0.6</v>
      </c>
      <c r="Q27" s="5">
        <f t="shared" ref="Q27:Q38" si="22">(IF(( L27="X"),0,($AE$6+H27))/20)</f>
        <v>0.1</v>
      </c>
      <c r="R27" s="8">
        <f t="shared" ref="R27:R38" si="23">1*P27*(O27)*D27   +   (IF(J27="X",2,1)*Q27*D27)</f>
        <v>1.6</v>
      </c>
      <c r="S27" s="5">
        <f t="shared" ref="S27:S32" si="24">R27/$R$27</f>
        <v>1</v>
      </c>
      <c r="T27" s="10">
        <f>$AH$9/Table1[[#This Row],[WoundsÆ]]</f>
        <v>2.5</v>
      </c>
      <c r="U27" s="6"/>
      <c r="V27" s="5">
        <f t="shared" ref="V27:V38" si="25">IF(K27="X",1,($AE$3+IF(F27="X",2,0)+G27)/20)</f>
        <v>0.5</v>
      </c>
      <c r="W27" s="5">
        <f t="shared" ref="W27:W38" si="26">(C27/20)*IF($AH$13=1,IF(F27="X",1,0.5),1)</f>
        <v>0.3</v>
      </c>
      <c r="X27" s="5">
        <f t="shared" ref="X27:X38" si="27">(IF((OR(K27="X", L27="X")),0,($AE$6+H27))/20)</f>
        <v>0.1</v>
      </c>
      <c r="Y27" s="8">
        <f t="shared" ref="Y27:Y38" si="28">1*W27*V27*D27+(X27*D27)</f>
        <v>1</v>
      </c>
      <c r="Z27" s="5">
        <f t="shared" ref="Z27:Z32" si="29">Y27/$Y$27</f>
        <v>1</v>
      </c>
      <c r="AA27" s="24">
        <f>$AH$9/Table1[[#This Row],[WoundÆ]]</f>
        <v>4</v>
      </c>
      <c r="AB27" s="23">
        <f>(Table1[[#This Row],[% Base]]+Table1[[#This Row],[% Base2]])/2</f>
        <v>1</v>
      </c>
    </row>
    <row r="28" spans="2:28" ht="14.25" customHeight="1" x14ac:dyDescent="0.25">
      <c r="B28" s="3" t="s">
        <v>35</v>
      </c>
      <c r="C28" s="4">
        <v>12</v>
      </c>
      <c r="D28" s="3">
        <v>2</v>
      </c>
      <c r="E28" s="3" t="s">
        <v>60</v>
      </c>
      <c r="F28" s="3"/>
      <c r="G28" s="3"/>
      <c r="H28" s="3"/>
      <c r="I28" s="3"/>
      <c r="J28" s="3"/>
      <c r="K28" s="3" t="s">
        <v>63</v>
      </c>
      <c r="L28" s="3" t="s">
        <v>63</v>
      </c>
      <c r="M28" s="3"/>
      <c r="N28" s="3"/>
      <c r="O28" s="5">
        <f t="shared" si="20"/>
        <v>1</v>
      </c>
      <c r="P28" s="5">
        <f t="shared" si="21"/>
        <v>0.6</v>
      </c>
      <c r="Q28" s="5">
        <f t="shared" si="22"/>
        <v>0</v>
      </c>
      <c r="R28" s="8">
        <f t="shared" si="23"/>
        <v>1.2</v>
      </c>
      <c r="S28" s="5">
        <f t="shared" si="24"/>
        <v>0.74999999999999989</v>
      </c>
      <c r="T28" s="10">
        <f>$AH$9/Table1[[#This Row],[WoundsÆ]]</f>
        <v>3.3333333333333335</v>
      </c>
      <c r="U28" s="6"/>
      <c r="V28" s="5">
        <f t="shared" si="25"/>
        <v>1</v>
      </c>
      <c r="W28" s="5">
        <f t="shared" si="26"/>
        <v>0.3</v>
      </c>
      <c r="X28" s="5">
        <f t="shared" si="27"/>
        <v>0</v>
      </c>
      <c r="Y28" s="8">
        <f t="shared" si="28"/>
        <v>0.6</v>
      </c>
      <c r="Z28" s="5">
        <f t="shared" si="29"/>
        <v>0.6</v>
      </c>
      <c r="AA28" s="24">
        <f>$AH$9/Table1[[#This Row],[WoundÆ]]</f>
        <v>6.666666666666667</v>
      </c>
      <c r="AB28" s="23">
        <f>(Table1[[#This Row],[% Base]]+Table1[[#This Row],[% Base2]])/2</f>
        <v>0.67499999999999993</v>
      </c>
    </row>
    <row r="29" spans="2:28" ht="14.25" customHeight="1" x14ac:dyDescent="0.25">
      <c r="B29" s="3" t="s">
        <v>36</v>
      </c>
      <c r="C29" s="4">
        <v>14</v>
      </c>
      <c r="D29" s="3">
        <v>3</v>
      </c>
      <c r="E29" s="3"/>
      <c r="F29" s="3" t="s">
        <v>63</v>
      </c>
      <c r="G29" s="3"/>
      <c r="H29" s="3"/>
      <c r="I29" s="3"/>
      <c r="J29" s="3"/>
      <c r="K29" s="3"/>
      <c r="L29" s="3"/>
      <c r="M29" s="3"/>
      <c r="N29" s="3"/>
      <c r="O29" s="5">
        <f t="shared" si="20"/>
        <v>0.6</v>
      </c>
      <c r="P29" s="5">
        <f t="shared" si="21"/>
        <v>0.7</v>
      </c>
      <c r="Q29" s="5">
        <f t="shared" si="22"/>
        <v>0.1</v>
      </c>
      <c r="R29" s="8">
        <f t="shared" si="23"/>
        <v>1.56</v>
      </c>
      <c r="S29" s="5">
        <f t="shared" si="24"/>
        <v>0.97499999999999998</v>
      </c>
      <c r="T29" s="10">
        <f>$AH$9/Table1[[#This Row],[WoundsÆ]]</f>
        <v>2.5641025641025639</v>
      </c>
      <c r="U29" s="6"/>
      <c r="V29" s="5">
        <f t="shared" si="25"/>
        <v>0.6</v>
      </c>
      <c r="W29" s="5">
        <f t="shared" si="26"/>
        <v>0.7</v>
      </c>
      <c r="X29" s="5">
        <f t="shared" si="27"/>
        <v>0.1</v>
      </c>
      <c r="Y29" s="8">
        <f t="shared" si="28"/>
        <v>1.56</v>
      </c>
      <c r="Z29" s="5">
        <f t="shared" si="29"/>
        <v>1.56</v>
      </c>
      <c r="AA29" s="24">
        <f>$AH$9/Table1[[#This Row],[WoundÆ]]</f>
        <v>2.5641025641025639</v>
      </c>
      <c r="AB29" s="23">
        <f>(Table1[[#This Row],[% Base]]+Table1[[#This Row],[% Base2]])/2</f>
        <v>1.2675000000000001</v>
      </c>
    </row>
    <row r="30" spans="2:28" ht="14.25" customHeight="1" x14ac:dyDescent="0.25">
      <c r="B30" s="3" t="s">
        <v>37</v>
      </c>
      <c r="C30" s="4">
        <v>12</v>
      </c>
      <c r="D30" s="3">
        <v>2</v>
      </c>
      <c r="E30" s="3" t="s">
        <v>61</v>
      </c>
      <c r="F30" s="3"/>
      <c r="G30" s="3"/>
      <c r="H30" s="3"/>
      <c r="I30" s="3"/>
      <c r="J30" s="3"/>
      <c r="K30" s="3" t="s">
        <v>63</v>
      </c>
      <c r="L30" s="3" t="s">
        <v>63</v>
      </c>
      <c r="M30" s="3"/>
      <c r="N30" s="3"/>
      <c r="O30" s="5">
        <f t="shared" si="20"/>
        <v>1</v>
      </c>
      <c r="P30" s="5">
        <f t="shared" si="21"/>
        <v>0.6</v>
      </c>
      <c r="Q30" s="5">
        <f t="shared" si="22"/>
        <v>0</v>
      </c>
      <c r="R30" s="8">
        <f t="shared" si="23"/>
        <v>1.2</v>
      </c>
      <c r="S30" s="5">
        <f t="shared" si="24"/>
        <v>0.74999999999999989</v>
      </c>
      <c r="T30" s="10">
        <f>$AH$9/Table1[[#This Row],[WoundsÆ]]</f>
        <v>3.3333333333333335</v>
      </c>
      <c r="U30" s="6"/>
      <c r="V30" s="5">
        <f t="shared" si="25"/>
        <v>1</v>
      </c>
      <c r="W30" s="5">
        <f t="shared" si="26"/>
        <v>0.3</v>
      </c>
      <c r="X30" s="5">
        <f t="shared" si="27"/>
        <v>0</v>
      </c>
      <c r="Y30" s="8">
        <f t="shared" si="28"/>
        <v>0.6</v>
      </c>
      <c r="Z30" s="5">
        <f t="shared" si="29"/>
        <v>0.6</v>
      </c>
      <c r="AA30" s="24">
        <f>$AH$9/Table1[[#This Row],[WoundÆ]]</f>
        <v>6.666666666666667</v>
      </c>
      <c r="AB30" s="23">
        <f>(Table1[[#This Row],[% Base]]+Table1[[#This Row],[% Base2]])/2</f>
        <v>0.67499999999999993</v>
      </c>
    </row>
    <row r="31" spans="2:28" ht="14.25" customHeight="1" x14ac:dyDescent="0.25">
      <c r="B31" s="3" t="s">
        <v>74</v>
      </c>
      <c r="C31" s="4">
        <v>8</v>
      </c>
      <c r="D31" s="3">
        <v>3</v>
      </c>
      <c r="E31" s="3" t="s">
        <v>61</v>
      </c>
      <c r="F31" s="3"/>
      <c r="G31" s="3"/>
      <c r="H31" s="3"/>
      <c r="I31" s="3"/>
      <c r="J31" s="3"/>
      <c r="K31" s="3" t="s">
        <v>63</v>
      </c>
      <c r="L31" s="3" t="s">
        <v>63</v>
      </c>
      <c r="M31" s="3"/>
      <c r="N31" s="3"/>
      <c r="O31" s="5">
        <f t="shared" si="20"/>
        <v>1</v>
      </c>
      <c r="P31" s="5">
        <f t="shared" si="21"/>
        <v>0.4</v>
      </c>
      <c r="Q31" s="5">
        <f t="shared" si="22"/>
        <v>0</v>
      </c>
      <c r="R31" s="8">
        <f t="shared" si="23"/>
        <v>1.2000000000000002</v>
      </c>
      <c r="S31" s="5">
        <f t="shared" si="24"/>
        <v>0.75000000000000011</v>
      </c>
      <c r="T31" s="10">
        <f>$AH$9/Table1[[#This Row],[WoundsÆ]]</f>
        <v>3.333333333333333</v>
      </c>
      <c r="U31" s="6"/>
      <c r="V31" s="5">
        <f t="shared" si="25"/>
        <v>1</v>
      </c>
      <c r="W31" s="5">
        <f t="shared" si="26"/>
        <v>0.2</v>
      </c>
      <c r="X31" s="5">
        <f t="shared" si="27"/>
        <v>0</v>
      </c>
      <c r="Y31" s="8">
        <f t="shared" si="28"/>
        <v>0.60000000000000009</v>
      </c>
      <c r="Z31" s="5">
        <f t="shared" si="29"/>
        <v>0.60000000000000009</v>
      </c>
      <c r="AA31" s="24">
        <f>$AH$9/Table1[[#This Row],[WoundÆ]]</f>
        <v>6.6666666666666661</v>
      </c>
      <c r="AB31" s="23">
        <f>(Table1[[#This Row],[% Base]]+Table1[[#This Row],[% Base2]])/2</f>
        <v>0.67500000000000004</v>
      </c>
    </row>
    <row r="32" spans="2:28" ht="15.75" x14ac:dyDescent="0.25">
      <c r="B32" s="3" t="s">
        <v>39</v>
      </c>
      <c r="C32" s="4">
        <v>8</v>
      </c>
      <c r="D32" s="3">
        <v>5</v>
      </c>
      <c r="E32" s="3" t="s">
        <v>65</v>
      </c>
      <c r="F32" s="3"/>
      <c r="G32" s="3"/>
      <c r="H32" s="3"/>
      <c r="I32" s="3"/>
      <c r="J32" s="3"/>
      <c r="K32" s="3"/>
      <c r="L32" s="3"/>
      <c r="M32" s="3"/>
      <c r="N32" s="3"/>
      <c r="O32" s="5">
        <f t="shared" si="20"/>
        <v>0.5</v>
      </c>
      <c r="P32" s="5">
        <f t="shared" si="21"/>
        <v>0.4</v>
      </c>
      <c r="Q32" s="5">
        <f t="shared" si="22"/>
        <v>0.1</v>
      </c>
      <c r="R32" s="8">
        <f t="shared" si="23"/>
        <v>1.5</v>
      </c>
      <c r="S32" s="5">
        <f t="shared" si="24"/>
        <v>0.9375</v>
      </c>
      <c r="T32" s="10">
        <f>$AH$9/Table1[[#This Row],[WoundsÆ]]</f>
        <v>2.6666666666666665</v>
      </c>
      <c r="U32" s="6"/>
      <c r="V32" s="5">
        <f t="shared" si="25"/>
        <v>0.5</v>
      </c>
      <c r="W32" s="5">
        <f t="shared" si="26"/>
        <v>0.2</v>
      </c>
      <c r="X32" s="5">
        <f t="shared" si="27"/>
        <v>0.1</v>
      </c>
      <c r="Y32" s="8">
        <f t="shared" si="28"/>
        <v>1</v>
      </c>
      <c r="Z32" s="5">
        <f t="shared" si="29"/>
        <v>1</v>
      </c>
      <c r="AA32" s="24">
        <f>$AH$9/Table1[[#This Row],[WoundÆ]]</f>
        <v>4</v>
      </c>
      <c r="AB32" s="23">
        <f>(Table1[[#This Row],[% Base]]+Table1[[#This Row],[% Base2]])/2</f>
        <v>0.96875</v>
      </c>
    </row>
    <row r="33" spans="1:29" ht="15.75" x14ac:dyDescent="0.25">
      <c r="A33" s="17"/>
      <c r="B33" s="3" t="s">
        <v>76</v>
      </c>
      <c r="C33" s="4">
        <v>10</v>
      </c>
      <c r="D33" s="3">
        <v>7</v>
      </c>
      <c r="E33" s="3" t="s">
        <v>58</v>
      </c>
      <c r="F33" s="3"/>
      <c r="G33" s="3"/>
      <c r="H33" s="3"/>
      <c r="I33" s="3"/>
      <c r="J33" s="3"/>
      <c r="K33" s="3"/>
      <c r="L33" s="3" t="s">
        <v>63</v>
      </c>
      <c r="M33" s="3"/>
      <c r="N33" s="3"/>
      <c r="O33" s="5">
        <f t="shared" si="20"/>
        <v>0.5</v>
      </c>
      <c r="P33" s="5">
        <f t="shared" si="21"/>
        <v>0.5</v>
      </c>
      <c r="Q33" s="5">
        <f t="shared" si="22"/>
        <v>0</v>
      </c>
      <c r="R33" s="8">
        <f t="shared" si="23"/>
        <v>1.75</v>
      </c>
      <c r="S33" s="5">
        <f t="shared" ref="S33:S38" si="30">R33/$R$27</f>
        <v>1.09375</v>
      </c>
      <c r="T33" s="10">
        <f>$AH$9/Table1[[#This Row],[WoundsÆ]]</f>
        <v>2.2857142857142856</v>
      </c>
      <c r="U33" s="6"/>
      <c r="V33" s="5">
        <f t="shared" si="25"/>
        <v>0.5</v>
      </c>
      <c r="W33" s="5">
        <f t="shared" si="26"/>
        <v>0.25</v>
      </c>
      <c r="X33" s="5">
        <f t="shared" si="27"/>
        <v>0</v>
      </c>
      <c r="Y33" s="8">
        <f t="shared" si="28"/>
        <v>0.875</v>
      </c>
      <c r="Z33" s="5">
        <f t="shared" ref="Z33:Z38" si="31">Y33/$Y$27</f>
        <v>0.875</v>
      </c>
      <c r="AA33" s="24">
        <f>$AH$9/Table1[[#This Row],[WoundÆ]]</f>
        <v>4.5714285714285712</v>
      </c>
      <c r="AB33" s="23">
        <f>(Table1[[#This Row],[% Base]]+Table1[[#This Row],[% Base2]])/2</f>
        <v>0.984375</v>
      </c>
      <c r="AC33" s="18"/>
    </row>
    <row r="34" spans="1:29" ht="15.75" x14ac:dyDescent="0.25">
      <c r="A34" s="17"/>
      <c r="B34" s="11" t="s">
        <v>77</v>
      </c>
      <c r="C34" s="12">
        <v>12</v>
      </c>
      <c r="D34" s="11">
        <v>4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5">
        <f t="shared" si="20"/>
        <v>0.5</v>
      </c>
      <c r="P34" s="5">
        <f t="shared" si="21"/>
        <v>0.6</v>
      </c>
      <c r="Q34" s="5">
        <f t="shared" si="22"/>
        <v>0.1</v>
      </c>
      <c r="R34" s="8">
        <f t="shared" si="23"/>
        <v>1.6</v>
      </c>
      <c r="S34" s="5">
        <f t="shared" si="30"/>
        <v>1</v>
      </c>
      <c r="T34" s="10">
        <f>$AH$9/Table1[[#This Row],[WoundsÆ]]</f>
        <v>2.5</v>
      </c>
      <c r="U34" s="6"/>
      <c r="V34" s="5">
        <f t="shared" si="25"/>
        <v>0.5</v>
      </c>
      <c r="W34" s="5">
        <f t="shared" si="26"/>
        <v>0.3</v>
      </c>
      <c r="X34" s="5">
        <f t="shared" si="27"/>
        <v>0.1</v>
      </c>
      <c r="Y34" s="8">
        <f t="shared" si="28"/>
        <v>1</v>
      </c>
      <c r="Z34" s="5">
        <f t="shared" si="31"/>
        <v>1</v>
      </c>
      <c r="AA34" s="24">
        <f>$AH$9/Table1[[#This Row],[WoundÆ]]</f>
        <v>4</v>
      </c>
      <c r="AB34" s="23">
        <f>(Table1[[#This Row],[% Base]]+Table1[[#This Row],[% Base2]])/2</f>
        <v>1</v>
      </c>
      <c r="AC34" s="18"/>
    </row>
    <row r="35" spans="1:29" ht="15.75" x14ac:dyDescent="0.25">
      <c r="A35" s="17"/>
      <c r="B35" s="11" t="s">
        <v>38</v>
      </c>
      <c r="C35" s="12">
        <v>8</v>
      </c>
      <c r="D35" s="11">
        <v>3</v>
      </c>
      <c r="E35" s="11" t="s">
        <v>61</v>
      </c>
      <c r="F35" s="11"/>
      <c r="G35" s="11"/>
      <c r="H35" s="11"/>
      <c r="I35" s="11"/>
      <c r="J35" s="11"/>
      <c r="K35" s="11" t="s">
        <v>63</v>
      </c>
      <c r="L35" s="11" t="s">
        <v>63</v>
      </c>
      <c r="M35" s="11"/>
      <c r="N35" s="11"/>
      <c r="O35" s="5">
        <f t="shared" si="20"/>
        <v>1</v>
      </c>
      <c r="P35" s="5">
        <f t="shared" si="21"/>
        <v>0.4</v>
      </c>
      <c r="Q35" s="5">
        <f t="shared" si="22"/>
        <v>0</v>
      </c>
      <c r="R35" s="8">
        <f t="shared" si="23"/>
        <v>1.2000000000000002</v>
      </c>
      <c r="S35" s="5">
        <f t="shared" si="30"/>
        <v>0.75000000000000011</v>
      </c>
      <c r="T35" s="10">
        <f>$AH$9/Table1[[#This Row],[WoundsÆ]]</f>
        <v>3.333333333333333</v>
      </c>
      <c r="U35" s="6"/>
      <c r="V35" s="5">
        <f t="shared" si="25"/>
        <v>1</v>
      </c>
      <c r="W35" s="5">
        <f t="shared" si="26"/>
        <v>0.2</v>
      </c>
      <c r="X35" s="5">
        <f t="shared" si="27"/>
        <v>0</v>
      </c>
      <c r="Y35" s="8">
        <f t="shared" si="28"/>
        <v>0.60000000000000009</v>
      </c>
      <c r="Z35" s="5">
        <f t="shared" si="31"/>
        <v>0.60000000000000009</v>
      </c>
      <c r="AA35" s="24">
        <f>$AH$9/Table1[[#This Row],[WoundÆ]]</f>
        <v>6.6666666666666661</v>
      </c>
      <c r="AB35" s="23">
        <f>(Table1[[#This Row],[% Base]]+Table1[[#This Row],[% Base2]])/2</f>
        <v>0.67500000000000004</v>
      </c>
      <c r="AC35" s="18"/>
    </row>
    <row r="36" spans="1:29" ht="15.75" x14ac:dyDescent="0.25">
      <c r="A36" s="17"/>
      <c r="B36" s="11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5">
        <f t="shared" si="20"/>
        <v>0.5</v>
      </c>
      <c r="P36" s="5">
        <f t="shared" si="21"/>
        <v>0</v>
      </c>
      <c r="Q36" s="5">
        <f t="shared" si="22"/>
        <v>0.1</v>
      </c>
      <c r="R36" s="8">
        <f t="shared" si="23"/>
        <v>0</v>
      </c>
      <c r="S36" s="5">
        <f t="shared" si="30"/>
        <v>0</v>
      </c>
      <c r="T36" s="10" t="e">
        <f>$AH$9/Table1[[#This Row],[WoundsÆ]]</f>
        <v>#DIV/0!</v>
      </c>
      <c r="U36" s="6"/>
      <c r="V36" s="5">
        <f t="shared" si="25"/>
        <v>0.5</v>
      </c>
      <c r="W36" s="5">
        <f t="shared" si="26"/>
        <v>0</v>
      </c>
      <c r="X36" s="5">
        <f t="shared" si="27"/>
        <v>0.1</v>
      </c>
      <c r="Y36" s="8">
        <f t="shared" si="28"/>
        <v>0</v>
      </c>
      <c r="Z36" s="5">
        <f t="shared" si="31"/>
        <v>0</v>
      </c>
      <c r="AA36" s="24" t="e">
        <f>$AH$9/Table1[[#This Row],[WoundÆ]]</f>
        <v>#DIV/0!</v>
      </c>
      <c r="AB36" s="23">
        <f>(Table1[[#This Row],[% Base]]+Table1[[#This Row],[% Base2]])/2</f>
        <v>0</v>
      </c>
      <c r="AC36" s="18"/>
    </row>
    <row r="37" spans="1:29" ht="15.75" x14ac:dyDescent="0.25">
      <c r="A37" s="17"/>
      <c r="B37" s="11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5">
        <f t="shared" si="20"/>
        <v>0.5</v>
      </c>
      <c r="P37" s="5">
        <f t="shared" si="21"/>
        <v>0</v>
      </c>
      <c r="Q37" s="5">
        <f t="shared" si="22"/>
        <v>0.1</v>
      </c>
      <c r="R37" s="8">
        <f t="shared" si="23"/>
        <v>0</v>
      </c>
      <c r="S37" s="5">
        <f t="shared" si="30"/>
        <v>0</v>
      </c>
      <c r="T37" s="10" t="e">
        <f>$AH$9/Table1[[#This Row],[WoundsÆ]]</f>
        <v>#DIV/0!</v>
      </c>
      <c r="U37" s="6"/>
      <c r="V37" s="5">
        <f t="shared" si="25"/>
        <v>0.5</v>
      </c>
      <c r="W37" s="5">
        <f t="shared" si="26"/>
        <v>0</v>
      </c>
      <c r="X37" s="5">
        <f t="shared" si="27"/>
        <v>0.1</v>
      </c>
      <c r="Y37" s="8">
        <f t="shared" si="28"/>
        <v>0</v>
      </c>
      <c r="Z37" s="5">
        <f t="shared" si="31"/>
        <v>0</v>
      </c>
      <c r="AA37" s="24" t="e">
        <f>$AH$9/Table1[[#This Row],[WoundÆ]]</f>
        <v>#DIV/0!</v>
      </c>
      <c r="AB37" s="23">
        <f>(Table1[[#This Row],[% Base]]+Table1[[#This Row],[% Base2]])/2</f>
        <v>0</v>
      </c>
      <c r="AC37" s="18"/>
    </row>
    <row r="38" spans="1:29" ht="15.75" x14ac:dyDescent="0.25">
      <c r="A38" s="17"/>
      <c r="B38" s="11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5">
        <f t="shared" si="20"/>
        <v>0.5</v>
      </c>
      <c r="P38" s="5">
        <f t="shared" si="21"/>
        <v>0</v>
      </c>
      <c r="Q38" s="5">
        <f t="shared" si="22"/>
        <v>0.1</v>
      </c>
      <c r="R38" s="8">
        <f t="shared" si="23"/>
        <v>0</v>
      </c>
      <c r="S38" s="5">
        <f t="shared" si="30"/>
        <v>0</v>
      </c>
      <c r="T38" s="10" t="e">
        <f>$AH$9/Table1[[#This Row],[WoundsÆ]]</f>
        <v>#DIV/0!</v>
      </c>
      <c r="U38" s="6"/>
      <c r="V38" s="5">
        <f t="shared" si="25"/>
        <v>0.5</v>
      </c>
      <c r="W38" s="5">
        <f t="shared" si="26"/>
        <v>0</v>
      </c>
      <c r="X38" s="5">
        <f t="shared" si="27"/>
        <v>0.1</v>
      </c>
      <c r="Y38" s="8">
        <f t="shared" si="28"/>
        <v>0</v>
      </c>
      <c r="Z38" s="5">
        <f t="shared" si="31"/>
        <v>0</v>
      </c>
      <c r="AA38" s="24" t="e">
        <f>$AH$9/Table1[[#This Row],[WoundÆ]]</f>
        <v>#DIV/0!</v>
      </c>
      <c r="AB38" s="23">
        <f>(Table1[[#This Row],[% Base]]+Table1[[#This Row],[% Base2]])/2</f>
        <v>0</v>
      </c>
      <c r="AC38" s="18"/>
    </row>
    <row r="39" spans="1:29" ht="15.75" x14ac:dyDescent="0.25">
      <c r="A39" s="17"/>
      <c r="B39" s="11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3"/>
      <c r="P39" s="13"/>
      <c r="Q39" s="13"/>
      <c r="R39" s="14"/>
      <c r="S39" s="13"/>
      <c r="T39" s="15"/>
      <c r="U39" s="16"/>
      <c r="V39" s="13"/>
      <c r="W39" s="13"/>
      <c r="X39" s="13"/>
      <c r="Y39" s="14"/>
      <c r="Z39" s="13"/>
      <c r="AA39" s="15"/>
      <c r="AB39" s="13"/>
      <c r="AC39" s="18"/>
    </row>
    <row r="40" spans="1:29" ht="15.75" x14ac:dyDescent="0.25">
      <c r="A40" s="17"/>
      <c r="B40" s="11"/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3"/>
      <c r="P40" s="13"/>
      <c r="Q40" s="13"/>
      <c r="R40" s="14"/>
      <c r="S40" s="13"/>
      <c r="T40" s="15"/>
      <c r="U40" s="16"/>
      <c r="V40" s="13"/>
      <c r="W40" s="13"/>
      <c r="X40" s="13"/>
      <c r="Y40" s="14"/>
      <c r="Z40" s="13"/>
      <c r="AA40" s="15"/>
      <c r="AB40" s="13"/>
      <c r="AC40" s="18"/>
    </row>
    <row r="41" spans="1:29" ht="15.75" x14ac:dyDescent="0.25">
      <c r="A41" s="17"/>
      <c r="B41" s="11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3"/>
      <c r="P41" s="13"/>
      <c r="Q41" s="13"/>
      <c r="R41" s="14"/>
      <c r="S41" s="13"/>
      <c r="T41" s="15"/>
      <c r="U41" s="16"/>
      <c r="V41" s="13"/>
      <c r="W41" s="13"/>
      <c r="X41" s="13"/>
      <c r="Y41" s="14"/>
      <c r="Z41" s="13"/>
      <c r="AA41" s="15"/>
      <c r="AB41" s="13"/>
      <c r="AC41" s="18"/>
    </row>
    <row r="42" spans="1:29" ht="15.75" x14ac:dyDescent="0.25">
      <c r="A42" s="17"/>
      <c r="B42" s="11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3"/>
      <c r="P42" s="13"/>
      <c r="Q42" s="13"/>
      <c r="R42" s="14"/>
      <c r="S42" s="13"/>
      <c r="T42" s="15"/>
      <c r="U42" s="16"/>
      <c r="V42" s="13"/>
      <c r="W42" s="13"/>
      <c r="X42" s="13"/>
      <c r="Y42" s="14"/>
      <c r="Z42" s="13"/>
      <c r="AA42" s="15"/>
      <c r="AB42" s="13"/>
      <c r="AC42" s="18"/>
    </row>
    <row r="43" spans="1:29" ht="15.75" x14ac:dyDescent="0.25">
      <c r="A43" s="17"/>
      <c r="B43" s="11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3"/>
      <c r="P43" s="13"/>
      <c r="Q43" s="13"/>
      <c r="R43" s="14"/>
      <c r="S43" s="13"/>
      <c r="T43" s="15"/>
      <c r="U43" s="16"/>
      <c r="V43" s="13"/>
      <c r="W43" s="13"/>
      <c r="X43" s="13"/>
      <c r="Y43" s="14"/>
      <c r="Z43" s="13"/>
      <c r="AA43" s="15"/>
      <c r="AB43" s="13"/>
      <c r="AC43" s="18"/>
    </row>
    <row r="44" spans="1:29" ht="15.75" x14ac:dyDescent="0.25">
      <c r="A44" s="17"/>
      <c r="B44" s="11"/>
      <c r="C44" s="1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3"/>
      <c r="P44" s="13"/>
      <c r="Q44" s="13"/>
      <c r="R44" s="14"/>
      <c r="S44" s="13"/>
      <c r="T44" s="15"/>
      <c r="U44" s="16"/>
      <c r="V44" s="13"/>
      <c r="W44" s="13"/>
      <c r="X44" s="13"/>
      <c r="Y44" s="14"/>
      <c r="Z44" s="13"/>
      <c r="AA44" s="15"/>
      <c r="AB44" s="13"/>
      <c r="AC44" s="18"/>
    </row>
    <row r="45" spans="1:29" ht="15.75" x14ac:dyDescent="0.25">
      <c r="A45" s="19"/>
      <c r="B45" s="11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3"/>
      <c r="P45" s="13"/>
      <c r="Q45" s="13"/>
      <c r="R45" s="14"/>
      <c r="S45" s="13"/>
      <c r="T45" s="15"/>
      <c r="U45" s="16"/>
      <c r="V45" s="13"/>
      <c r="W45" s="13"/>
      <c r="X45" s="13"/>
      <c r="Y45" s="14"/>
      <c r="Z45" s="13"/>
      <c r="AA45" s="15"/>
      <c r="AB45" s="13"/>
      <c r="AC45" s="18"/>
    </row>
    <row r="46" spans="1:29" ht="15.75" x14ac:dyDescent="0.25">
      <c r="A46" s="17"/>
      <c r="B46" s="11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3"/>
      <c r="P46" s="13"/>
      <c r="Q46" s="13"/>
      <c r="R46" s="14"/>
      <c r="S46" s="13"/>
      <c r="T46" s="15"/>
      <c r="U46" s="16"/>
      <c r="V46" s="13"/>
      <c r="W46" s="13"/>
      <c r="X46" s="13"/>
      <c r="Y46" s="14"/>
      <c r="Z46" s="13"/>
      <c r="AA46" s="15"/>
      <c r="AB46" s="13"/>
      <c r="AC46" s="18"/>
    </row>
    <row r="47" spans="1:29" ht="15.75" x14ac:dyDescent="0.25">
      <c r="A47" s="17"/>
      <c r="B47" s="11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3"/>
      <c r="P47" s="13"/>
      <c r="Q47" s="13"/>
      <c r="R47" s="14"/>
      <c r="S47" s="13"/>
      <c r="T47" s="15"/>
      <c r="U47" s="16"/>
      <c r="V47" s="13"/>
      <c r="W47" s="13"/>
      <c r="X47" s="13"/>
      <c r="Y47" s="14"/>
      <c r="Z47" s="13"/>
      <c r="AA47" s="15"/>
      <c r="AB47" s="13"/>
      <c r="AC47" s="18"/>
    </row>
    <row r="48" spans="1:29" ht="15.75" x14ac:dyDescent="0.25">
      <c r="A48" s="17"/>
      <c r="B48" s="11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3"/>
      <c r="P48" s="13"/>
      <c r="Q48" s="13"/>
      <c r="R48" s="14"/>
      <c r="S48" s="13"/>
      <c r="T48" s="15"/>
      <c r="U48" s="16"/>
      <c r="V48" s="13"/>
      <c r="W48" s="13"/>
      <c r="X48" s="13"/>
      <c r="Y48" s="14"/>
      <c r="Z48" s="13"/>
      <c r="AA48" s="15"/>
      <c r="AB48" s="13"/>
      <c r="AC48" s="18"/>
    </row>
    <row r="49" spans="1:29" ht="15.75" x14ac:dyDescent="0.25">
      <c r="A49" s="17"/>
      <c r="B49" s="11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3"/>
      <c r="P49" s="13"/>
      <c r="Q49" s="13"/>
      <c r="R49" s="14"/>
      <c r="S49" s="13"/>
      <c r="T49" s="15"/>
      <c r="U49" s="16"/>
      <c r="V49" s="13"/>
      <c r="W49" s="13"/>
      <c r="X49" s="13"/>
      <c r="Y49" s="14"/>
      <c r="Z49" s="13"/>
      <c r="AA49" s="15"/>
      <c r="AB49" s="13"/>
      <c r="AC49" s="18"/>
    </row>
    <row r="50" spans="1:29" ht="15.75" x14ac:dyDescent="0.25">
      <c r="A50" s="17"/>
      <c r="B50" s="11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3"/>
      <c r="P50" s="13"/>
      <c r="Q50" s="13"/>
      <c r="R50" s="14"/>
      <c r="S50" s="13"/>
      <c r="T50" s="15"/>
      <c r="U50" s="16"/>
      <c r="V50" s="13"/>
      <c r="W50" s="13"/>
      <c r="X50" s="13"/>
      <c r="Y50" s="14"/>
      <c r="Z50" s="13"/>
      <c r="AA50" s="15"/>
      <c r="AB50" s="13"/>
      <c r="AC50" s="18"/>
    </row>
    <row r="51" spans="1:29" ht="15.75" x14ac:dyDescent="0.25">
      <c r="A51" s="17"/>
      <c r="B51" s="11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3"/>
      <c r="P51" s="13"/>
      <c r="Q51" s="13"/>
      <c r="R51" s="14"/>
      <c r="S51" s="13"/>
      <c r="T51" s="15"/>
      <c r="U51" s="16"/>
      <c r="V51" s="13"/>
      <c r="W51" s="13"/>
      <c r="X51" s="13"/>
      <c r="Y51" s="14"/>
      <c r="Z51" s="13"/>
      <c r="AA51" s="15"/>
      <c r="AB51" s="13"/>
      <c r="AC51" s="18"/>
    </row>
    <row r="52" spans="1:29" ht="15.75" x14ac:dyDescent="0.25">
      <c r="A52" s="18"/>
      <c r="B52" s="11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3"/>
      <c r="P52" s="13"/>
      <c r="Q52" s="13"/>
      <c r="R52" s="14"/>
      <c r="S52" s="13"/>
      <c r="T52" s="15"/>
      <c r="U52" s="16"/>
      <c r="V52" s="13"/>
      <c r="W52" s="13"/>
      <c r="X52" s="13"/>
      <c r="Y52" s="14"/>
      <c r="Z52" s="13"/>
      <c r="AA52" s="15"/>
      <c r="AB52" s="13"/>
      <c r="AC52" s="18"/>
    </row>
    <row r="53" spans="1:29" ht="15.75" customHeight="1" x14ac:dyDescent="0.25">
      <c r="A53" s="17"/>
      <c r="B53" s="11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3"/>
      <c r="Q53" s="13"/>
      <c r="R53" s="14"/>
      <c r="S53" s="13"/>
      <c r="T53" s="15"/>
      <c r="U53" s="16"/>
      <c r="V53" s="13"/>
      <c r="W53" s="13"/>
      <c r="X53" s="13"/>
      <c r="Y53" s="14"/>
      <c r="Z53" s="13"/>
      <c r="AA53" s="15"/>
      <c r="AB53" s="13"/>
      <c r="AC53" s="18"/>
    </row>
    <row r="54" spans="1:29" ht="15.75" x14ac:dyDescent="0.25">
      <c r="A54" s="17"/>
      <c r="B54" s="20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6"/>
      <c r="P54" s="13"/>
      <c r="Q54" s="13"/>
      <c r="R54" s="14"/>
      <c r="S54" s="13"/>
      <c r="T54" s="15"/>
      <c r="U54" s="16"/>
      <c r="V54" s="16"/>
      <c r="W54" s="13"/>
      <c r="X54" s="13"/>
      <c r="Y54" s="14"/>
      <c r="Z54" s="13"/>
      <c r="AA54" s="15"/>
      <c r="AB54" s="13"/>
      <c r="AC54" s="18"/>
    </row>
    <row r="55" spans="1:29" ht="15.75" x14ac:dyDescent="0.25">
      <c r="A55" s="17"/>
      <c r="B55" s="11"/>
      <c r="C55" s="1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3"/>
      <c r="P55" s="13"/>
      <c r="Q55" s="13"/>
      <c r="R55" s="14"/>
      <c r="S55" s="13"/>
      <c r="T55" s="21"/>
      <c r="U55" s="16"/>
      <c r="V55" s="16"/>
      <c r="W55" s="13"/>
      <c r="X55" s="13"/>
      <c r="Y55" s="14"/>
      <c r="Z55" s="13"/>
      <c r="AA55" s="15"/>
      <c r="AB55" s="13"/>
      <c r="AC55" s="18"/>
    </row>
    <row r="56" spans="1:29" ht="15.75" x14ac:dyDescent="0.25">
      <c r="A56" s="17"/>
      <c r="B56" s="11"/>
      <c r="C56" s="1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6"/>
      <c r="P56" s="13"/>
      <c r="Q56" s="13"/>
      <c r="R56" s="14"/>
      <c r="S56" s="13"/>
      <c r="T56" s="15"/>
      <c r="U56" s="16"/>
      <c r="V56" s="16"/>
      <c r="W56" s="13"/>
      <c r="X56" s="13"/>
      <c r="Y56" s="14"/>
      <c r="Z56" s="13"/>
      <c r="AA56" s="15"/>
      <c r="AB56" s="13"/>
      <c r="AC56" s="18"/>
    </row>
    <row r="57" spans="1:29" ht="15.75" x14ac:dyDescent="0.25">
      <c r="A57" s="17"/>
      <c r="B57" s="11"/>
      <c r="C57" s="12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6"/>
      <c r="P57" s="13"/>
      <c r="Q57" s="13"/>
      <c r="R57" s="14"/>
      <c r="S57" s="13"/>
      <c r="T57" s="15"/>
      <c r="U57" s="16"/>
      <c r="V57" s="16"/>
      <c r="W57" s="13"/>
      <c r="X57" s="13"/>
      <c r="Y57" s="14"/>
      <c r="Z57" s="13"/>
      <c r="AA57" s="15"/>
      <c r="AB57" s="13"/>
      <c r="AC57" s="18"/>
    </row>
    <row r="58" spans="1:29" ht="15.75" x14ac:dyDescent="0.25">
      <c r="A58" s="17"/>
      <c r="B58" s="11"/>
      <c r="C58" s="1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3"/>
      <c r="P58" s="13"/>
      <c r="Q58" s="13"/>
      <c r="R58" s="14"/>
      <c r="S58" s="13"/>
      <c r="T58" s="21"/>
      <c r="U58" s="16"/>
      <c r="V58" s="13"/>
      <c r="W58" s="13"/>
      <c r="X58" s="13"/>
      <c r="Y58" s="14"/>
      <c r="Z58" s="13"/>
      <c r="AA58" s="22"/>
      <c r="AB58" s="13"/>
      <c r="AC58" s="18"/>
    </row>
    <row r="59" spans="1:29" ht="15.75" x14ac:dyDescent="0.25">
      <c r="A59" s="17"/>
      <c r="B59" s="11"/>
      <c r="C59" s="1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3"/>
      <c r="P59" s="13"/>
      <c r="Q59" s="13"/>
      <c r="R59" s="14"/>
      <c r="S59" s="13"/>
      <c r="T59" s="15"/>
      <c r="U59" s="16"/>
      <c r="V59" s="13"/>
      <c r="W59" s="13"/>
      <c r="X59" s="13"/>
      <c r="Y59" s="14"/>
      <c r="Z59" s="13"/>
      <c r="AA59" s="22"/>
      <c r="AB59" s="13"/>
      <c r="AC59" s="18"/>
    </row>
    <row r="60" spans="1:29" ht="15.75" x14ac:dyDescent="0.25">
      <c r="A60" s="17"/>
      <c r="B60" s="11"/>
      <c r="C60" s="1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3"/>
      <c r="P60" s="13"/>
      <c r="Q60" s="13"/>
      <c r="R60" s="14"/>
      <c r="S60" s="13"/>
      <c r="T60" s="15"/>
      <c r="U60" s="16"/>
      <c r="V60" s="13"/>
      <c r="W60" s="13"/>
      <c r="X60" s="13"/>
      <c r="Y60" s="14"/>
      <c r="Z60" s="13"/>
      <c r="AA60" s="22"/>
      <c r="AB60" s="13"/>
      <c r="AC60" s="18"/>
    </row>
    <row r="61" spans="1:29" ht="15.75" x14ac:dyDescent="0.25">
      <c r="A61" s="17"/>
      <c r="B61" s="11"/>
      <c r="C61" s="1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3"/>
      <c r="P61" s="13"/>
      <c r="Q61" s="13"/>
      <c r="R61" s="14"/>
      <c r="S61" s="13"/>
      <c r="T61" s="15"/>
      <c r="U61" s="16"/>
      <c r="V61" s="13"/>
      <c r="W61" s="13"/>
      <c r="X61" s="13"/>
      <c r="Y61" s="14"/>
      <c r="Z61" s="13"/>
      <c r="AA61" s="22"/>
      <c r="AB61" s="13"/>
      <c r="AC61" s="18"/>
    </row>
    <row r="62" spans="1:29" ht="15.75" x14ac:dyDescent="0.25">
      <c r="A62" s="17"/>
      <c r="B62" s="11"/>
      <c r="C62" s="1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3"/>
      <c r="P62" s="13"/>
      <c r="Q62" s="13"/>
      <c r="R62" s="14"/>
      <c r="S62" s="13"/>
      <c r="T62" s="21"/>
      <c r="U62" s="16"/>
      <c r="V62" s="13"/>
      <c r="W62" s="13"/>
      <c r="X62" s="13"/>
      <c r="Y62" s="14"/>
      <c r="Z62" s="13"/>
      <c r="AA62" s="22"/>
      <c r="AB62" s="13"/>
      <c r="AC62" s="18"/>
    </row>
    <row r="63" spans="1:29" ht="15.75" x14ac:dyDescent="0.25">
      <c r="A63" s="17"/>
      <c r="B63" s="11"/>
      <c r="C63" s="1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3"/>
      <c r="P63" s="13"/>
      <c r="Q63" s="13"/>
      <c r="R63" s="14"/>
      <c r="S63" s="13"/>
      <c r="T63" s="21"/>
      <c r="U63" s="16"/>
      <c r="V63" s="13"/>
      <c r="W63" s="13"/>
      <c r="X63" s="13"/>
      <c r="Y63" s="14"/>
      <c r="Z63" s="13"/>
      <c r="AA63" s="22"/>
      <c r="AB63" s="13"/>
      <c r="AC63" s="18"/>
    </row>
    <row r="64" spans="1:29" ht="15.75" x14ac:dyDescent="0.25">
      <c r="A64" s="17"/>
      <c r="B64" s="11"/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3"/>
      <c r="P64" s="13"/>
      <c r="Q64" s="13"/>
      <c r="R64" s="14"/>
      <c r="S64" s="13"/>
      <c r="T64" s="21"/>
      <c r="U64" s="16"/>
      <c r="V64" s="13"/>
      <c r="W64" s="13"/>
      <c r="X64" s="13"/>
      <c r="Y64" s="14"/>
      <c r="Z64" s="13"/>
      <c r="AA64" s="22"/>
      <c r="AB64" s="13"/>
      <c r="AC64" s="18"/>
    </row>
    <row r="65" spans="1:29" ht="15.75" x14ac:dyDescent="0.25">
      <c r="A65" s="18"/>
      <c r="B65" s="11"/>
      <c r="C65" s="1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3"/>
      <c r="P65" s="13"/>
      <c r="Q65" s="13"/>
      <c r="R65" s="14"/>
      <c r="S65" s="13"/>
      <c r="T65" s="21"/>
      <c r="U65" s="16"/>
      <c r="V65" s="13"/>
      <c r="W65" s="13"/>
      <c r="X65" s="13"/>
      <c r="Y65" s="14"/>
      <c r="Z65" s="13"/>
      <c r="AA65" s="22"/>
      <c r="AB65" s="13"/>
      <c r="AC65" s="18"/>
    </row>
    <row r="66" spans="1:29" ht="15.75" x14ac:dyDescent="0.25">
      <c r="B66" s="11"/>
      <c r="C66" s="1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3"/>
      <c r="P66" s="13"/>
      <c r="Q66" s="13"/>
      <c r="R66" s="14"/>
      <c r="S66" s="13"/>
      <c r="T66" s="21"/>
      <c r="U66" s="16"/>
      <c r="V66" s="13"/>
      <c r="W66" s="13"/>
      <c r="X66" s="13"/>
      <c r="Y66" s="14"/>
      <c r="Z66" s="13"/>
      <c r="AA66" s="22"/>
      <c r="AB66" s="13"/>
    </row>
  </sheetData>
  <mergeCells count="3">
    <mergeCell ref="V2:Y2"/>
    <mergeCell ref="B2:E2"/>
    <mergeCell ref="O2:R2"/>
  </mergeCells>
  <conditionalFormatting sqref="AA4:AA10 T4:T10 AA12:AA999 T12:T999">
    <cfRule type="colorScale" priority="10">
      <colorScale>
        <cfvo type="num" val="1"/>
        <cfvo type="num" val="2"/>
        <cfvo type="num" val="8"/>
        <color rgb="FF00B050"/>
        <color rgb="FFFFFF00"/>
        <color rgb="FFFF0000"/>
      </colorScale>
    </cfRule>
  </conditionalFormatting>
  <conditionalFormatting sqref="Z4:Z10 S4:S10 Z12:Z999 S12:S999">
    <cfRule type="colorScale" priority="9">
      <colorScale>
        <cfvo type="num" val="0.5"/>
        <cfvo type="num" val="1"/>
        <cfvo type="num" val="2"/>
        <color rgb="FFFF0000"/>
        <color rgb="FFFFFF00"/>
        <color rgb="FF00B050"/>
      </colorScale>
    </cfRule>
  </conditionalFormatting>
  <conditionalFormatting sqref="AB4:AB10 AB12:AB998">
    <cfRule type="colorScale" priority="1">
      <colorScale>
        <cfvo type="num" val="0.5"/>
        <cfvo type="formula" val="1"/>
        <cfvo type="num" val="2"/>
        <color rgb="FFFF0000"/>
        <color rgb="FFFFFF00"/>
        <color rgb="FF00B050"/>
      </colorScale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43"/>
  <sheetViews>
    <sheetView topLeftCell="A7" workbookViewId="0">
      <selection activeCell="U27" sqref="U27"/>
    </sheetView>
  </sheetViews>
  <sheetFormatPr defaultRowHeight="15" x14ac:dyDescent="0.25"/>
  <cols>
    <col min="2" max="2" width="21.7109375" customWidth="1"/>
    <col min="6" max="15" width="3.42578125" customWidth="1"/>
  </cols>
  <sheetData>
    <row r="2" spans="1:38" x14ac:dyDescent="0.25">
      <c r="A2" s="26"/>
      <c r="B2" s="29" t="s">
        <v>4</v>
      </c>
      <c r="C2" s="29"/>
      <c r="D2" s="29"/>
      <c r="E2" s="29"/>
      <c r="Q2" s="29" t="s">
        <v>5</v>
      </c>
      <c r="R2" s="29"/>
      <c r="S2" s="29"/>
      <c r="T2" s="29"/>
      <c r="U2" s="29"/>
      <c r="Y2" s="29" t="s">
        <v>23</v>
      </c>
      <c r="Z2" s="29"/>
      <c r="AA2" s="29"/>
      <c r="AB2" s="29"/>
      <c r="AC2" s="29"/>
      <c r="AD2" s="25"/>
      <c r="AE2" s="25"/>
      <c r="AH2" t="s">
        <v>8</v>
      </c>
      <c r="AK2" t="s">
        <v>9</v>
      </c>
    </row>
    <row r="3" spans="1:38" ht="84.75" x14ac:dyDescent="0.25">
      <c r="A3" s="9"/>
      <c r="B3" s="9" t="s">
        <v>0</v>
      </c>
      <c r="C3" s="9" t="s">
        <v>1</v>
      </c>
      <c r="D3" s="9" t="s">
        <v>2</v>
      </c>
      <c r="E3" s="9" t="s">
        <v>22</v>
      </c>
      <c r="F3" s="9" t="s">
        <v>3</v>
      </c>
      <c r="G3" s="9" t="s">
        <v>67</v>
      </c>
      <c r="H3" s="9" t="s">
        <v>68</v>
      </c>
      <c r="I3" s="9" t="s">
        <v>70</v>
      </c>
      <c r="J3" s="9" t="s">
        <v>69</v>
      </c>
      <c r="K3" s="9" t="s">
        <v>71</v>
      </c>
      <c r="L3" s="9" t="s">
        <v>72</v>
      </c>
      <c r="M3" s="9" t="s">
        <v>64</v>
      </c>
      <c r="N3" s="9" t="s">
        <v>89</v>
      </c>
      <c r="O3" s="9" t="s">
        <v>90</v>
      </c>
      <c r="P3" s="9" t="s">
        <v>66</v>
      </c>
      <c r="Q3" s="9" t="s">
        <v>6</v>
      </c>
      <c r="R3" s="9" t="s">
        <v>7</v>
      </c>
      <c r="S3" s="9" t="s">
        <v>19</v>
      </c>
      <c r="T3" s="9" t="s">
        <v>18</v>
      </c>
      <c r="U3" s="9" t="s">
        <v>47</v>
      </c>
      <c r="V3" s="9" t="s">
        <v>48</v>
      </c>
      <c r="W3" s="9" t="s">
        <v>52</v>
      </c>
      <c r="X3" s="9" t="s">
        <v>42</v>
      </c>
      <c r="Y3" s="9" t="s">
        <v>46</v>
      </c>
      <c r="Z3" s="9" t="s">
        <v>45</v>
      </c>
      <c r="AA3" s="9" t="s">
        <v>44</v>
      </c>
      <c r="AB3" s="9" t="s">
        <v>43</v>
      </c>
      <c r="AC3" s="9" t="s">
        <v>50</v>
      </c>
      <c r="AD3" s="9" t="s">
        <v>49</v>
      </c>
      <c r="AE3" s="9" t="s">
        <v>53</v>
      </c>
      <c r="AF3" s="9" t="s">
        <v>57</v>
      </c>
      <c r="AH3" t="s">
        <v>10</v>
      </c>
      <c r="AI3">
        <v>10</v>
      </c>
      <c r="AK3" t="s">
        <v>10</v>
      </c>
      <c r="AL3">
        <v>9</v>
      </c>
    </row>
    <row r="4" spans="1:38" x14ac:dyDescent="0.25">
      <c r="A4" s="3"/>
      <c r="B4" s="3" t="s">
        <v>79</v>
      </c>
      <c r="C4" s="3">
        <v>8</v>
      </c>
      <c r="D4" s="3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6" t="s">
        <v>20</v>
      </c>
      <c r="R4" s="5">
        <f>(C4/20)*IF($AL$5=1,IF(F4="X",1,0.5),1)</f>
        <v>0.4</v>
      </c>
      <c r="S4" s="5">
        <f>(IF(( K4="X"),0,($AI$5+H4))/20)</f>
        <v>0.1</v>
      </c>
      <c r="T4" s="5">
        <f t="shared" ref="T4:T10" si="0">(($AL$4-IF(L4="X",5,0)-IF(M4="X",5,0))/20)*(1-($AI$4/20))</f>
        <v>0.22500000000000001</v>
      </c>
      <c r="U4" s="8">
        <f>1*R4*(1-T4)*(1+S4)*D4</f>
        <v>0.68200000000000016</v>
      </c>
      <c r="V4" s="5">
        <f>U4/$U$4</f>
        <v>1</v>
      </c>
      <c r="W4" s="10">
        <f>$AL$9/Table14[[#This Row],[WoundsÆ]]/2</f>
        <v>2.932551319648093</v>
      </c>
      <c r="X4" s="6"/>
      <c r="Y4" s="6" t="s">
        <v>20</v>
      </c>
      <c r="Z4" s="5">
        <f>(C4/20)*IF($AL$12=1,IF(F4="X",1,0.5),1)</f>
        <v>0.2</v>
      </c>
      <c r="AA4" s="5">
        <f t="shared" ref="AA4:AA10" si="1">(IF((OR(J4="X", K4="X")),0,($AI$5+H4))/20)</f>
        <v>0.1</v>
      </c>
      <c r="AB4" s="5">
        <f t="shared" ref="AB4:AB10" si="2">(($AL$11-IF(L4="X",5,0)-IF(M4="X",5,0))/20)*(1-($AI$4/20))</f>
        <v>0.22500000000000001</v>
      </c>
      <c r="AC4" s="8">
        <f t="shared" ref="AC4:AC10" si="3">1*Z4*(1-AB4)*(1+AA4)*D4</f>
        <v>0.34100000000000008</v>
      </c>
      <c r="AD4" s="5">
        <f>AC4/$AC$4</f>
        <v>1</v>
      </c>
      <c r="AE4" s="10">
        <f>$AL$9/Table14[[#This Row],[WoundÆ]]/2</f>
        <v>5.865102639296186</v>
      </c>
      <c r="AF4" s="5">
        <f>(Table14[[#This Row],[% Base]]+Table14[[#This Row],[% Base2]])/2</f>
        <v>1</v>
      </c>
      <c r="AH4" t="s">
        <v>11</v>
      </c>
      <c r="AI4">
        <v>10</v>
      </c>
      <c r="AK4" t="s">
        <v>11</v>
      </c>
      <c r="AL4">
        <v>9</v>
      </c>
    </row>
    <row r="5" spans="1:38" x14ac:dyDescent="0.25">
      <c r="A5" s="3"/>
      <c r="B5" s="3" t="s">
        <v>80</v>
      </c>
      <c r="C5" s="3">
        <v>9</v>
      </c>
      <c r="D5" s="3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6" t="s">
        <v>20</v>
      </c>
      <c r="R5" s="5">
        <f t="shared" ref="R5:R10" si="4">(C5/20)*IF($AL$5=1,IF(F5="X",1,0.5),1)</f>
        <v>0.45</v>
      </c>
      <c r="S5" s="5">
        <f t="shared" ref="S5:S10" si="5">(IF(( K5="X"),0,($AI$5+H5))/20)</f>
        <v>0.1</v>
      </c>
      <c r="T5" s="5">
        <f t="shared" si="0"/>
        <v>0.22500000000000001</v>
      </c>
      <c r="U5" s="8">
        <f t="shared" ref="U5:U10" si="6">1*R5*(1-T5)*(1+S5)*D5</f>
        <v>0.7672500000000001</v>
      </c>
      <c r="V5" s="5">
        <f t="shared" ref="V5:V10" si="7">U5/$U$4</f>
        <v>1.1249999999999998</v>
      </c>
      <c r="W5" s="10">
        <f>$AL$9/Table14[[#This Row],[WoundsÆ]]/2</f>
        <v>2.6067122841316386</v>
      </c>
      <c r="X5" s="6"/>
      <c r="Y5" s="6" t="s">
        <v>20</v>
      </c>
      <c r="Z5" s="5">
        <f t="shared" ref="Z5:Z10" si="8">(C5/20)*IF($AL$12=1,IF(F5="X",1,0.5),1)</f>
        <v>0.22500000000000001</v>
      </c>
      <c r="AA5" s="5">
        <f t="shared" si="1"/>
        <v>0.1</v>
      </c>
      <c r="AB5" s="5">
        <f t="shared" si="2"/>
        <v>0.22500000000000001</v>
      </c>
      <c r="AC5" s="8">
        <f t="shared" si="3"/>
        <v>0.38362500000000005</v>
      </c>
      <c r="AD5" s="5">
        <f t="shared" ref="AD5:AD10" si="9">AC5/$AC$4</f>
        <v>1.1249999999999998</v>
      </c>
      <c r="AE5" s="10">
        <f>$AL$9/Table14[[#This Row],[WoundÆ]]/2</f>
        <v>5.2134245682632772</v>
      </c>
      <c r="AF5" s="5">
        <f>(Table14[[#This Row],[% Base]]+Table14[[#This Row],[% Base2]])/2</f>
        <v>1.1249999999999998</v>
      </c>
      <c r="AH5" t="s">
        <v>21</v>
      </c>
      <c r="AI5">
        <v>2</v>
      </c>
      <c r="AK5" t="s">
        <v>12</v>
      </c>
      <c r="AL5">
        <v>0</v>
      </c>
    </row>
    <row r="6" spans="1:38" x14ac:dyDescent="0.25">
      <c r="A6" s="3"/>
      <c r="B6" s="3" t="s">
        <v>81</v>
      </c>
      <c r="C6" s="3">
        <v>8</v>
      </c>
      <c r="D6" s="3">
        <v>2</v>
      </c>
      <c r="E6" s="3" t="s">
        <v>78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6" t="s">
        <v>20</v>
      </c>
      <c r="R6" s="5">
        <f t="shared" si="4"/>
        <v>0.4</v>
      </c>
      <c r="S6" s="5">
        <f t="shared" si="5"/>
        <v>0.1</v>
      </c>
      <c r="T6" s="5">
        <f t="shared" si="0"/>
        <v>0.22500000000000001</v>
      </c>
      <c r="U6" s="8">
        <f t="shared" si="6"/>
        <v>0.68200000000000016</v>
      </c>
      <c r="V6" s="5">
        <f t="shared" si="7"/>
        <v>1</v>
      </c>
      <c r="W6" s="10">
        <f>$AL$9/Table14[[#This Row],[WoundsÆ]]/2</f>
        <v>2.932551319648093</v>
      </c>
      <c r="X6" s="6"/>
      <c r="Y6" s="6" t="s">
        <v>20</v>
      </c>
      <c r="Z6" s="5">
        <f t="shared" si="8"/>
        <v>0.2</v>
      </c>
      <c r="AA6" s="5">
        <f t="shared" si="1"/>
        <v>0.1</v>
      </c>
      <c r="AB6" s="5">
        <f t="shared" si="2"/>
        <v>0.22500000000000001</v>
      </c>
      <c r="AC6" s="8">
        <f t="shared" si="3"/>
        <v>0.34100000000000008</v>
      </c>
      <c r="AD6" s="5">
        <f t="shared" si="9"/>
        <v>1</v>
      </c>
      <c r="AE6" s="10">
        <f>$AL$9/Table14[[#This Row],[WoundÆ]]/2</f>
        <v>5.865102639296186</v>
      </c>
      <c r="AF6" s="5">
        <f>(Table14[[#This Row],[% Base]]+Table14[[#This Row],[% Base2]])/2</f>
        <v>1</v>
      </c>
    </row>
    <row r="7" spans="1:38" x14ac:dyDescent="0.25">
      <c r="A7" s="3"/>
      <c r="B7" s="3" t="s">
        <v>17</v>
      </c>
      <c r="C7" s="3">
        <v>12</v>
      </c>
      <c r="D7" s="3">
        <v>1</v>
      </c>
      <c r="E7" s="3"/>
      <c r="F7" s="3"/>
      <c r="G7" s="3"/>
      <c r="H7" s="3"/>
      <c r="I7" s="3"/>
      <c r="J7" s="3"/>
      <c r="K7" s="3"/>
      <c r="L7" s="3" t="s">
        <v>63</v>
      </c>
      <c r="M7" s="3" t="s">
        <v>63</v>
      </c>
      <c r="N7" s="3"/>
      <c r="O7" s="3"/>
      <c r="P7" s="3"/>
      <c r="Q7" s="6" t="s">
        <v>20</v>
      </c>
      <c r="R7" s="5">
        <f t="shared" si="4"/>
        <v>0.6</v>
      </c>
      <c r="S7" s="5">
        <f t="shared" si="5"/>
        <v>0.1</v>
      </c>
      <c r="T7" s="5">
        <f t="shared" si="0"/>
        <v>-2.5000000000000001E-2</v>
      </c>
      <c r="U7" s="8">
        <f t="shared" si="6"/>
        <v>0.67649999999999988</v>
      </c>
      <c r="V7" s="5">
        <f t="shared" si="7"/>
        <v>0.99193548387096731</v>
      </c>
      <c r="W7" s="10">
        <f>$AL$9/Table14[[#This Row],[WoundsÆ]]/2</f>
        <v>2.9563932002956399</v>
      </c>
      <c r="X7" s="6"/>
      <c r="Y7" s="6" t="s">
        <v>20</v>
      </c>
      <c r="Z7" s="5">
        <f t="shared" si="8"/>
        <v>0.3</v>
      </c>
      <c r="AA7" s="5">
        <f t="shared" si="1"/>
        <v>0.1</v>
      </c>
      <c r="AB7" s="5">
        <f t="shared" si="2"/>
        <v>-2.5000000000000001E-2</v>
      </c>
      <c r="AC7" s="8">
        <f t="shared" si="3"/>
        <v>0.33824999999999994</v>
      </c>
      <c r="AD7" s="5">
        <f t="shared" si="9"/>
        <v>0.99193548387096731</v>
      </c>
      <c r="AE7" s="10">
        <f>$AL$9/Table14[[#This Row],[WoundÆ]]/2</f>
        <v>5.9127864005912798</v>
      </c>
      <c r="AF7" s="5">
        <f>(Table14[[#This Row],[% Base]]+Table14[[#This Row],[% Base2]])/2</f>
        <v>0.99193548387096731</v>
      </c>
    </row>
    <row r="8" spans="1:38" x14ac:dyDescent="0.25">
      <c r="A8" s="3"/>
      <c r="B8" s="3" t="s">
        <v>82</v>
      </c>
      <c r="C8" s="3">
        <v>8</v>
      </c>
      <c r="D8" s="3">
        <v>2</v>
      </c>
      <c r="E8" s="3"/>
      <c r="F8" s="3" t="s">
        <v>63</v>
      </c>
      <c r="G8" s="3"/>
      <c r="H8" s="3"/>
      <c r="I8" s="3"/>
      <c r="J8" s="3"/>
      <c r="K8" s="3"/>
      <c r="L8" s="3"/>
      <c r="M8" s="3"/>
      <c r="N8" s="3"/>
      <c r="O8" s="3"/>
      <c r="P8" s="3"/>
      <c r="Q8" s="6" t="s">
        <v>20</v>
      </c>
      <c r="R8" s="5">
        <f t="shared" si="4"/>
        <v>0.4</v>
      </c>
      <c r="S8" s="5">
        <f t="shared" si="5"/>
        <v>0.1</v>
      </c>
      <c r="T8" s="5">
        <f t="shared" si="0"/>
        <v>0.22500000000000001</v>
      </c>
      <c r="U8" s="8">
        <f t="shared" si="6"/>
        <v>0.68200000000000016</v>
      </c>
      <c r="V8" s="5">
        <f t="shared" si="7"/>
        <v>1</v>
      </c>
      <c r="W8" s="10">
        <f>$AL$9/Table14[[#This Row],[WoundsÆ]]/2</f>
        <v>2.932551319648093</v>
      </c>
      <c r="X8" s="6"/>
      <c r="Y8" s="6" t="s">
        <v>20</v>
      </c>
      <c r="Z8" s="5">
        <f t="shared" si="8"/>
        <v>0.4</v>
      </c>
      <c r="AA8" s="5">
        <f t="shared" si="1"/>
        <v>0.1</v>
      </c>
      <c r="AB8" s="5">
        <f t="shared" si="2"/>
        <v>0.22500000000000001</v>
      </c>
      <c r="AC8" s="8">
        <f t="shared" si="3"/>
        <v>0.68200000000000016</v>
      </c>
      <c r="AD8" s="5">
        <f t="shared" si="9"/>
        <v>2</v>
      </c>
      <c r="AE8" s="10">
        <f>$AL$9/Table14[[#This Row],[WoundÆ]]/2</f>
        <v>2.932551319648093</v>
      </c>
      <c r="AF8" s="5">
        <f>(Table14[[#This Row],[% Base]]+Table14[[#This Row],[% Base2]])/2</f>
        <v>1.5</v>
      </c>
      <c r="AK8" t="s">
        <v>9</v>
      </c>
    </row>
    <row r="9" spans="1:38" x14ac:dyDescent="0.25">
      <c r="A9" s="3"/>
      <c r="B9" s="3" t="s">
        <v>83</v>
      </c>
      <c r="C9" s="3">
        <v>8</v>
      </c>
      <c r="D9" s="3">
        <v>2.5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6" t="s">
        <v>20</v>
      </c>
      <c r="R9" s="5">
        <f t="shared" si="4"/>
        <v>0.4</v>
      </c>
      <c r="S9" s="5">
        <f t="shared" si="5"/>
        <v>0.1</v>
      </c>
      <c r="T9" s="5">
        <f t="shared" si="0"/>
        <v>0.22500000000000001</v>
      </c>
      <c r="U9" s="8">
        <f t="shared" si="6"/>
        <v>0.85250000000000026</v>
      </c>
      <c r="V9" s="5">
        <f t="shared" si="7"/>
        <v>1.25</v>
      </c>
      <c r="W9" s="10">
        <f>$AL$9/Table14[[#This Row],[WoundsÆ]]/2</f>
        <v>2.3460410557184743</v>
      </c>
      <c r="X9" s="6"/>
      <c r="Y9" s="6" t="s">
        <v>20</v>
      </c>
      <c r="Z9" s="5">
        <f t="shared" si="8"/>
        <v>0.2</v>
      </c>
      <c r="AA9" s="5">
        <f t="shared" si="1"/>
        <v>0.1</v>
      </c>
      <c r="AB9" s="5">
        <f t="shared" si="2"/>
        <v>0.22500000000000001</v>
      </c>
      <c r="AC9" s="8">
        <f t="shared" si="3"/>
        <v>0.42625000000000013</v>
      </c>
      <c r="AD9" s="5">
        <f t="shared" si="9"/>
        <v>1.25</v>
      </c>
      <c r="AE9" s="10">
        <f>$AL$9/Table14[[#This Row],[WoundÆ]]/2</f>
        <v>4.6920821114369486</v>
      </c>
      <c r="AF9" s="5">
        <f>(Table14[[#This Row],[% Base]]+Table14[[#This Row],[% Base2]])/2</f>
        <v>1.25</v>
      </c>
      <c r="AK9" t="s">
        <v>51</v>
      </c>
      <c r="AL9">
        <v>4</v>
      </c>
    </row>
    <row r="10" spans="1:38" x14ac:dyDescent="0.25">
      <c r="A10" s="3"/>
      <c r="B10" s="3" t="s">
        <v>84</v>
      </c>
      <c r="C10" s="3">
        <v>10</v>
      </c>
      <c r="D10" s="3">
        <v>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6" t="s">
        <v>20</v>
      </c>
      <c r="R10" s="5">
        <f t="shared" si="4"/>
        <v>0.5</v>
      </c>
      <c r="S10" s="5">
        <f t="shared" si="5"/>
        <v>0.1</v>
      </c>
      <c r="T10" s="5">
        <f t="shared" si="0"/>
        <v>0.22500000000000001</v>
      </c>
      <c r="U10" s="8">
        <f t="shared" si="6"/>
        <v>0.85250000000000015</v>
      </c>
      <c r="V10" s="5">
        <f t="shared" si="7"/>
        <v>1.25</v>
      </c>
      <c r="W10" s="10">
        <f>$AL$9/Table14[[#This Row],[WoundsÆ]]/2</f>
        <v>2.3460410557184748</v>
      </c>
      <c r="X10" s="6"/>
      <c r="Y10" s="6" t="s">
        <v>20</v>
      </c>
      <c r="Z10" s="5">
        <f t="shared" si="8"/>
        <v>0.25</v>
      </c>
      <c r="AA10" s="5">
        <f t="shared" si="1"/>
        <v>0.1</v>
      </c>
      <c r="AB10" s="5">
        <f t="shared" si="2"/>
        <v>0.22500000000000001</v>
      </c>
      <c r="AC10" s="8">
        <f t="shared" si="3"/>
        <v>0.42625000000000007</v>
      </c>
      <c r="AD10" s="5">
        <f t="shared" si="9"/>
        <v>1.25</v>
      </c>
      <c r="AE10" s="10">
        <f>$AL$9/Table14[[#This Row],[WoundÆ]]/2</f>
        <v>4.6920821114369495</v>
      </c>
      <c r="AF10" s="5">
        <f>(Table14[[#This Row],[% Base]]+Table14[[#This Row],[% Base2]])/2</f>
        <v>1.25</v>
      </c>
      <c r="AK10" t="s">
        <v>10</v>
      </c>
      <c r="AL10">
        <v>9</v>
      </c>
    </row>
    <row r="11" spans="1:38" ht="15.75" x14ac:dyDescent="0.25">
      <c r="A11" s="3"/>
      <c r="B11" s="27" t="s">
        <v>85</v>
      </c>
      <c r="C11" s="4">
        <v>12</v>
      </c>
      <c r="D11" s="3">
        <v>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6" t="s">
        <v>20</v>
      </c>
      <c r="R11" s="5">
        <f t="shared" ref="R11" si="10">(C11/20)*IF($AL$5=1,IF(F11="X",1,0.5),1)</f>
        <v>0.6</v>
      </c>
      <c r="S11" s="5">
        <f t="shared" ref="S11" si="11">(IF(( K11="X"),0,($AI$5+H11))/20)</f>
        <v>0.1</v>
      </c>
      <c r="T11" s="5">
        <f t="shared" ref="T11" si="12">(($AL$4-IF(L11="X",5,0)-IF(M11="X",5,0))/20)*(1-($AI$4/20))</f>
        <v>0.22500000000000001</v>
      </c>
      <c r="U11" s="8">
        <f t="shared" ref="U11" si="13">1*R11*(1-T11)*(1+S11)*D11</f>
        <v>1.0229999999999999</v>
      </c>
      <c r="V11" s="5">
        <f t="shared" ref="V11" si="14">U11/$U$4</f>
        <v>1.4999999999999996</v>
      </c>
      <c r="W11" s="10">
        <f>$AL$9/Table14[[#This Row],[WoundsÆ]]/2</f>
        <v>1.9550342130987295</v>
      </c>
      <c r="X11" s="6"/>
      <c r="Y11" s="6" t="s">
        <v>20</v>
      </c>
      <c r="Z11" s="5">
        <f t="shared" ref="Z11" si="15">(C11/20)*IF($AL$12=1,IF(F11="X",1,0.5),1)</f>
        <v>0.3</v>
      </c>
      <c r="AA11" s="5">
        <f t="shared" ref="AA11" si="16">(IF((OR(J11="X", K11="X")),0,($AI$5+H11))/20)</f>
        <v>0.1</v>
      </c>
      <c r="AB11" s="5">
        <f t="shared" ref="AB11" si="17">(($AL$11-IF(L11="X",5,0)-IF(M11="X",5,0))/20)*(1-($AI$4/20))</f>
        <v>0.22500000000000001</v>
      </c>
      <c r="AC11" s="8">
        <f t="shared" ref="AC11" si="18">1*Z11*(1-AB11)*(1+AA11)*D11</f>
        <v>0.51149999999999995</v>
      </c>
      <c r="AD11" s="5">
        <f t="shared" ref="AD11" si="19">AC11/$AC$4</f>
        <v>1.4999999999999996</v>
      </c>
      <c r="AE11" s="10">
        <f>$AL$9/Table14[[#This Row],[WoundÆ]]/2</f>
        <v>3.910068426197459</v>
      </c>
      <c r="AF11" s="5">
        <f>(Table14[[#This Row],[% Base]]+Table14[[#This Row],[% Base2]])/2</f>
        <v>1.4999999999999996</v>
      </c>
      <c r="AK11" t="s">
        <v>11</v>
      </c>
      <c r="AL11">
        <v>9</v>
      </c>
    </row>
    <row r="12" spans="1:38" ht="15.75" x14ac:dyDescent="0.25">
      <c r="A12" s="3"/>
      <c r="B12" s="3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5"/>
      <c r="R12" s="5"/>
      <c r="S12" s="5"/>
      <c r="T12" s="5"/>
      <c r="U12" s="8"/>
      <c r="V12" s="5"/>
      <c r="W12" s="23"/>
      <c r="X12" s="6"/>
      <c r="Y12" s="5"/>
      <c r="Z12" s="5"/>
      <c r="AA12" s="5"/>
      <c r="AB12" s="5"/>
      <c r="AC12" s="8"/>
      <c r="AD12" s="5"/>
      <c r="AE12" s="24"/>
      <c r="AF12" s="23"/>
      <c r="AK12" t="s">
        <v>12</v>
      </c>
      <c r="AL12">
        <v>1</v>
      </c>
    </row>
    <row r="13" spans="1:38" ht="15.75" x14ac:dyDescent="0.25">
      <c r="A13" s="3"/>
      <c r="B13" s="3" t="s">
        <v>24</v>
      </c>
      <c r="C13" s="4">
        <v>8</v>
      </c>
      <c r="D13" s="3">
        <v>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5">
        <f t="shared" ref="Q13:Q20" si="20">IF(J13="X",1,($AI$3+G13)/20)</f>
        <v>0.5</v>
      </c>
      <c r="R13" s="5">
        <f>(C13/20)*IF($AL$5=1,IF(F13="X",1,0.5),1)</f>
        <v>0.4</v>
      </c>
      <c r="S13" s="5">
        <f t="shared" ref="S13:S18" si="21">(IF(( K13="X"),0,($AI$5+H13))/20)</f>
        <v>0.1</v>
      </c>
      <c r="T13" s="5" t="s">
        <v>20</v>
      </c>
      <c r="U13" s="8">
        <f>((1*R13*(Q13)*D13   +   (IF(I13="X",2,1)*S13*D13)      + IF(O13="X",D13*Q13*0.25,0)     ) * IF(N13="X",1.5,1) ) *      IF($AL$5="1",0.5,1)</f>
        <v>0.60000000000000009</v>
      </c>
      <c r="V13" s="5">
        <f t="shared" ref="V13:V18" si="22">U13/$U$13</f>
        <v>1</v>
      </c>
      <c r="W13" s="10">
        <f>$AL$9/Table14[[#This Row],[WoundsÆ]]/2</f>
        <v>3.333333333333333</v>
      </c>
      <c r="X13" s="6"/>
      <c r="Y13" s="5">
        <f t="shared" ref="Y13:Y18" si="23">IF(J13="X",1,($AI$3+IF(F13="X",2,0)+G13)/20)</f>
        <v>0.5</v>
      </c>
      <c r="Z13" s="5">
        <f t="shared" ref="Z13:Z18" si="24">(C13/20)*IF($AL$12=1,IF(F13="X",1,0.5),1)</f>
        <v>0.2</v>
      </c>
      <c r="AA13" s="5">
        <f t="shared" ref="AA13:AA18" si="25">(IF((OR(J13="X", K13="X")),0,($AI$5+H13))/20)</f>
        <v>0.1</v>
      </c>
      <c r="AB13" s="5" t="s">
        <v>20</v>
      </c>
      <c r="AC13" s="8">
        <f>((1*R13*(Q13)*D13   +   (IF(I13="X",2,1)*S13*D13)      + IF(O13="X",D13*Q13*0.5,0)     ) * IF(N13="X",1.5,1) ) *      IF($AL$12=1,IF(F13="X",1,0.5),1)</f>
        <v>0.30000000000000004</v>
      </c>
      <c r="AD13" s="5">
        <f t="shared" ref="AD13:AD18" si="26">AC13/$AC$13</f>
        <v>1</v>
      </c>
      <c r="AE13" s="24">
        <f>$AL$9/Table14[[#This Row],[WoundÆ]]/2</f>
        <v>6.6666666666666661</v>
      </c>
      <c r="AF13" s="23">
        <f>(Table14[[#This Row],[% Base]]+Table14[[#This Row],[% Base2]])/2</f>
        <v>1</v>
      </c>
    </row>
    <row r="14" spans="1:38" ht="15.75" x14ac:dyDescent="0.25">
      <c r="A14" s="3"/>
      <c r="B14" s="3" t="s">
        <v>40</v>
      </c>
      <c r="C14" s="4">
        <v>7</v>
      </c>
      <c r="D14" s="3">
        <v>2</v>
      </c>
      <c r="E14" s="3"/>
      <c r="F14" s="3" t="s">
        <v>63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5">
        <f t="shared" si="20"/>
        <v>0.5</v>
      </c>
      <c r="R14" s="5">
        <f>(C14/20)*IF($AL$5=1,IF(F14="X",1,0.5),1)</f>
        <v>0.35</v>
      </c>
      <c r="S14" s="5">
        <f t="shared" si="21"/>
        <v>0.1</v>
      </c>
      <c r="T14" s="5" t="s">
        <v>20</v>
      </c>
      <c r="U14" s="8">
        <f t="shared" ref="U14:U35" si="27">((1*R14*(Q14)*D14   +   (IF(I14="X",2,1)*S14*D14)      + IF(O14="X",D14*Q14*0.25,0)     ) * IF(N14="X",1.5,1) ) *      IF($AL$5="1",0.5,1)</f>
        <v>0.55000000000000004</v>
      </c>
      <c r="V14" s="5">
        <f t="shared" si="22"/>
        <v>0.91666666666666663</v>
      </c>
      <c r="W14" s="10">
        <f>$AL$9/Table14[[#This Row],[WoundsÆ]]/2</f>
        <v>3.6363636363636362</v>
      </c>
      <c r="X14" s="6"/>
      <c r="Y14" s="5">
        <f t="shared" si="23"/>
        <v>0.6</v>
      </c>
      <c r="Z14" s="5">
        <f t="shared" si="24"/>
        <v>0.35</v>
      </c>
      <c r="AA14" s="5">
        <f t="shared" si="25"/>
        <v>0.1</v>
      </c>
      <c r="AB14" s="5" t="s">
        <v>20</v>
      </c>
      <c r="AC14" s="8">
        <f t="shared" ref="AC14:AC35" si="28">((1*R14*(Q14)*D14   +   (IF(I14="X",2,1)*S14*D14)      + IF(O14="X",D14*Q14*0.5,0)     ) * IF(N14="X",1.5,1) ) *      IF($AL$12=1,IF(F14="X",1,0.5),1)</f>
        <v>0.55000000000000004</v>
      </c>
      <c r="AD14" s="5">
        <f t="shared" si="26"/>
        <v>1.8333333333333333</v>
      </c>
      <c r="AE14" s="24">
        <f>$AL$9/Table14[[#This Row],[WoundÆ]]/2</f>
        <v>3.6363636363636362</v>
      </c>
      <c r="AF14" s="23">
        <f>(Table14[[#This Row],[% Base]]+Table14[[#This Row],[% Base2]])/2</f>
        <v>1.375</v>
      </c>
    </row>
    <row r="15" spans="1:38" ht="15.75" x14ac:dyDescent="0.25">
      <c r="A15" s="3"/>
      <c r="B15" s="3" t="s">
        <v>25</v>
      </c>
      <c r="C15" s="4">
        <v>8</v>
      </c>
      <c r="D15" s="3">
        <v>4</v>
      </c>
      <c r="E15" s="3"/>
      <c r="F15" s="3"/>
      <c r="G15" s="3"/>
      <c r="H15" s="3"/>
      <c r="I15" s="3"/>
      <c r="J15" s="3"/>
      <c r="K15" s="3" t="s">
        <v>63</v>
      </c>
      <c r="L15" s="3"/>
      <c r="M15" s="3"/>
      <c r="N15" s="3"/>
      <c r="O15" s="3"/>
      <c r="P15" s="3"/>
      <c r="Q15" s="5">
        <f t="shared" si="20"/>
        <v>0.5</v>
      </c>
      <c r="R15" s="5">
        <f>(C15/20)*IF($AL$5=1,0.5,1)</f>
        <v>0.4</v>
      </c>
      <c r="S15" s="5">
        <f t="shared" si="21"/>
        <v>0</v>
      </c>
      <c r="T15" s="5" t="s">
        <v>20</v>
      </c>
      <c r="U15" s="8">
        <f t="shared" si="27"/>
        <v>0.8</v>
      </c>
      <c r="V15" s="5">
        <f t="shared" si="22"/>
        <v>1.3333333333333333</v>
      </c>
      <c r="W15" s="10">
        <f>$AL$9/Table14[[#This Row],[WoundsÆ]]/2</f>
        <v>2.5</v>
      </c>
      <c r="X15" s="6"/>
      <c r="Y15" s="5">
        <f t="shared" si="23"/>
        <v>0.5</v>
      </c>
      <c r="Z15" s="5">
        <f t="shared" si="24"/>
        <v>0.2</v>
      </c>
      <c r="AA15" s="5">
        <f t="shared" si="25"/>
        <v>0</v>
      </c>
      <c r="AB15" s="5" t="s">
        <v>20</v>
      </c>
      <c r="AC15" s="8">
        <f t="shared" si="28"/>
        <v>0.4</v>
      </c>
      <c r="AD15" s="5">
        <f t="shared" si="26"/>
        <v>1.3333333333333333</v>
      </c>
      <c r="AE15" s="24">
        <f>$AL$9/Table14[[#This Row],[WoundÆ]]/2</f>
        <v>5</v>
      </c>
      <c r="AF15" s="23">
        <f>(Table14[[#This Row],[% Base]]+Table14[[#This Row],[% Base2]])/2</f>
        <v>1.3333333333333333</v>
      </c>
    </row>
    <row r="16" spans="1:38" ht="15.75" x14ac:dyDescent="0.25">
      <c r="A16" s="3"/>
      <c r="B16" s="3" t="s">
        <v>86</v>
      </c>
      <c r="C16" s="4">
        <v>8</v>
      </c>
      <c r="D16" s="3">
        <v>2</v>
      </c>
      <c r="E16" s="3"/>
      <c r="F16" s="3" t="s">
        <v>63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5">
        <f t="shared" si="20"/>
        <v>0.5</v>
      </c>
      <c r="R16" s="5">
        <f>(C16/20)*IF($AL$5=1,0.5,1)</f>
        <v>0.4</v>
      </c>
      <c r="S16" s="5">
        <f t="shared" si="21"/>
        <v>0.1</v>
      </c>
      <c r="T16" s="5" t="s">
        <v>20</v>
      </c>
      <c r="U16" s="8">
        <f t="shared" si="27"/>
        <v>0.60000000000000009</v>
      </c>
      <c r="V16" s="5">
        <f t="shared" si="22"/>
        <v>1</v>
      </c>
      <c r="W16" s="10">
        <f>$AL$9/Table14[[#This Row],[WoundsÆ]]/2</f>
        <v>3.333333333333333</v>
      </c>
      <c r="X16" s="6"/>
      <c r="Y16" s="5">
        <f t="shared" si="23"/>
        <v>0.6</v>
      </c>
      <c r="Z16" s="5">
        <f t="shared" si="24"/>
        <v>0.4</v>
      </c>
      <c r="AA16" s="5">
        <f t="shared" si="25"/>
        <v>0.1</v>
      </c>
      <c r="AB16" s="5" t="s">
        <v>20</v>
      </c>
      <c r="AC16" s="8">
        <f t="shared" si="28"/>
        <v>0.60000000000000009</v>
      </c>
      <c r="AD16" s="5">
        <f t="shared" si="26"/>
        <v>2</v>
      </c>
      <c r="AE16" s="24">
        <f>$AL$9/Table14[[#This Row],[WoundÆ]]/2</f>
        <v>3.333333333333333</v>
      </c>
      <c r="AF16" s="23">
        <f>(Table14[[#This Row],[% Base]]+Table14[[#This Row],[% Base2]])/2</f>
        <v>1.5</v>
      </c>
    </row>
    <row r="17" spans="1:32" ht="15.75" x14ac:dyDescent="0.25">
      <c r="A17" s="3"/>
      <c r="B17" s="3" t="s">
        <v>87</v>
      </c>
      <c r="C17" s="4">
        <v>8</v>
      </c>
      <c r="D17" s="3">
        <v>3</v>
      </c>
      <c r="E17" s="3"/>
      <c r="F17" s="3"/>
      <c r="G17" s="3"/>
      <c r="H17" s="3"/>
      <c r="I17" s="3"/>
      <c r="J17" s="3"/>
      <c r="K17" s="3" t="s">
        <v>63</v>
      </c>
      <c r="L17" s="3"/>
      <c r="M17" s="3"/>
      <c r="N17" s="3" t="s">
        <v>63</v>
      </c>
      <c r="O17" s="3"/>
      <c r="P17" s="3"/>
      <c r="Q17" s="5">
        <f t="shared" si="20"/>
        <v>0.5</v>
      </c>
      <c r="R17" s="5">
        <f>(C17/20)*IF($AL$5=1,0.5,1)</f>
        <v>0.4</v>
      </c>
      <c r="S17" s="5">
        <f t="shared" si="21"/>
        <v>0</v>
      </c>
      <c r="T17" s="5" t="s">
        <v>20</v>
      </c>
      <c r="U17" s="8">
        <f t="shared" si="27"/>
        <v>0.90000000000000013</v>
      </c>
      <c r="V17" s="5">
        <f t="shared" si="22"/>
        <v>1.5</v>
      </c>
      <c r="W17" s="10">
        <f>$AL$9/Table14[[#This Row],[WoundsÆ]]/2</f>
        <v>2.2222222222222219</v>
      </c>
      <c r="X17" s="6"/>
      <c r="Y17" s="5">
        <f t="shared" si="23"/>
        <v>0.5</v>
      </c>
      <c r="Z17" s="5">
        <f t="shared" si="24"/>
        <v>0.2</v>
      </c>
      <c r="AA17" s="5">
        <f t="shared" si="25"/>
        <v>0</v>
      </c>
      <c r="AB17" s="7" t="s">
        <v>20</v>
      </c>
      <c r="AC17" s="8">
        <f t="shared" si="28"/>
        <v>0.45000000000000007</v>
      </c>
      <c r="AD17" s="5">
        <f t="shared" si="26"/>
        <v>1.5</v>
      </c>
      <c r="AE17" s="24">
        <f>$AL$9/Table14[[#This Row],[WoundÆ]]/2</f>
        <v>4.4444444444444438</v>
      </c>
      <c r="AF17" s="23">
        <f>(Table14[[#This Row],[% Base]]+Table14[[#This Row],[% Base2]])/2</f>
        <v>1.5</v>
      </c>
    </row>
    <row r="18" spans="1:32" ht="15.75" x14ac:dyDescent="0.25">
      <c r="A18" s="3"/>
      <c r="B18" s="3" t="s">
        <v>88</v>
      </c>
      <c r="C18" s="4">
        <v>8</v>
      </c>
      <c r="D18" s="3">
        <v>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 t="s">
        <v>63</v>
      </c>
      <c r="P18" s="3"/>
      <c r="Q18" s="5">
        <f t="shared" si="20"/>
        <v>0.5</v>
      </c>
      <c r="R18" s="5">
        <f>(C18/20)*IF($AL$5=1,0.5,1)</f>
        <v>0.4</v>
      </c>
      <c r="S18" s="5">
        <f t="shared" si="21"/>
        <v>0.1</v>
      </c>
      <c r="T18" s="5" t="s">
        <v>20</v>
      </c>
      <c r="U18" s="8">
        <f t="shared" si="27"/>
        <v>0.85000000000000009</v>
      </c>
      <c r="V18" s="5">
        <f t="shared" si="22"/>
        <v>1.4166666666666665</v>
      </c>
      <c r="W18" s="10">
        <f>$AL$9/Table14[[#This Row],[WoundsÆ]]/2</f>
        <v>2.3529411764705879</v>
      </c>
      <c r="X18" s="6"/>
      <c r="Y18" s="5">
        <f t="shared" si="23"/>
        <v>0.5</v>
      </c>
      <c r="Z18" s="5">
        <f t="shared" si="24"/>
        <v>0.2</v>
      </c>
      <c r="AA18" s="5">
        <f t="shared" si="25"/>
        <v>0.1</v>
      </c>
      <c r="AB18" s="7" t="s">
        <v>20</v>
      </c>
      <c r="AC18" s="8">
        <f t="shared" si="28"/>
        <v>0.55000000000000004</v>
      </c>
      <c r="AD18" s="5">
        <f t="shared" si="26"/>
        <v>1.8333333333333333</v>
      </c>
      <c r="AE18" s="24">
        <f>$AL$9/Table14[[#This Row],[WoundÆ]]/2</f>
        <v>3.6363636363636362</v>
      </c>
      <c r="AF18" s="23">
        <f>(Table14[[#This Row],[% Base]]+Table14[[#This Row],[% Base2]])/2</f>
        <v>1.625</v>
      </c>
    </row>
    <row r="19" spans="1:32" ht="15.75" x14ac:dyDescent="0.25">
      <c r="A19" s="3"/>
      <c r="B19" s="3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5"/>
      <c r="R19" s="5"/>
      <c r="S19" s="5"/>
      <c r="T19" s="5"/>
      <c r="U19" s="8"/>
      <c r="V19" s="5"/>
      <c r="W19" s="10"/>
      <c r="X19" s="6"/>
      <c r="Y19" s="5"/>
      <c r="Z19" s="5"/>
      <c r="AA19" s="5"/>
      <c r="AB19" s="5"/>
      <c r="AC19" s="8"/>
      <c r="AD19" s="5"/>
      <c r="AE19" s="24"/>
      <c r="AF19" s="23"/>
    </row>
    <row r="20" spans="1:32" ht="15.75" x14ac:dyDescent="0.25">
      <c r="A20" s="3"/>
      <c r="B20" s="3" t="s">
        <v>27</v>
      </c>
      <c r="C20" s="4">
        <v>10</v>
      </c>
      <c r="D20" s="3">
        <v>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5">
        <f t="shared" si="20"/>
        <v>0.5</v>
      </c>
      <c r="R20" s="5">
        <f t="shared" ref="R20:R26" si="29">(C20/20)*IF($AL$5=1,0.5,1)</f>
        <v>0.5</v>
      </c>
      <c r="S20" s="5">
        <f t="shared" ref="S20:S26" si="30">(IF(( K20="X"),0,($AI$5+H20))/20)</f>
        <v>0.1</v>
      </c>
      <c r="T20" s="5" t="s">
        <v>20</v>
      </c>
      <c r="U20" s="8">
        <f t="shared" si="27"/>
        <v>1.05</v>
      </c>
      <c r="V20" s="5">
        <f>U20/$U$20</f>
        <v>1</v>
      </c>
      <c r="W20" s="10">
        <f>$AL$9/Table14[[#This Row],[WoundsÆ]]</f>
        <v>3.8095238095238093</v>
      </c>
      <c r="X20" s="6"/>
      <c r="Y20" s="5">
        <f t="shared" ref="Y20:Y26" si="31">IF(J20="X",1,($AI$3+IF(F20="X",2,0)+G20)/20)</f>
        <v>0.5</v>
      </c>
      <c r="Z20" s="5">
        <f t="shared" ref="Z20:Z26" si="32">(C20/20)*IF($AL$12=1,IF(F20="X",1,0.5),1)</f>
        <v>0.25</v>
      </c>
      <c r="AA20" s="5">
        <f t="shared" ref="AA20:AA26" si="33">(IF((OR(J20="X", K20="X")),0,($AI$5+H20))/20)</f>
        <v>0.1</v>
      </c>
      <c r="AB20" s="5" t="s">
        <v>20</v>
      </c>
      <c r="AC20" s="8">
        <f t="shared" si="28"/>
        <v>0.52500000000000002</v>
      </c>
      <c r="AD20" s="5">
        <f>AC20/$AC$20</f>
        <v>1</v>
      </c>
      <c r="AE20" s="24">
        <f>$AL$9/Table14[[#This Row],[WoundÆ]]</f>
        <v>7.6190476190476186</v>
      </c>
      <c r="AF20" s="23">
        <f>(Table14[[#This Row],[% Base]]+Table14[[#This Row],[% Base2]])/2</f>
        <v>1</v>
      </c>
    </row>
    <row r="21" spans="1:32" ht="15.75" x14ac:dyDescent="0.25">
      <c r="A21" s="3"/>
      <c r="B21" s="3" t="s">
        <v>29</v>
      </c>
      <c r="C21" s="4">
        <v>8</v>
      </c>
      <c r="D21" s="3">
        <v>3</v>
      </c>
      <c r="E21" s="3"/>
      <c r="F21" s="3" t="s">
        <v>63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5">
        <f>IF(J21="X",1,($AI$3+G21)/20)</f>
        <v>0.5</v>
      </c>
      <c r="R21" s="5">
        <f t="shared" si="29"/>
        <v>0.4</v>
      </c>
      <c r="S21" s="5">
        <f t="shared" si="30"/>
        <v>0.1</v>
      </c>
      <c r="T21" s="5" t="s">
        <v>20</v>
      </c>
      <c r="U21" s="8">
        <f t="shared" si="27"/>
        <v>0.90000000000000013</v>
      </c>
      <c r="V21" s="5">
        <f t="shared" ref="V21:V26" si="34">U21/$U$20</f>
        <v>0.85714285714285721</v>
      </c>
      <c r="W21" s="10">
        <f>$AL$9/Table14[[#This Row],[WoundsÆ]]</f>
        <v>4.4444444444444438</v>
      </c>
      <c r="X21" s="6"/>
      <c r="Y21" s="5">
        <f t="shared" si="31"/>
        <v>0.6</v>
      </c>
      <c r="Z21" s="5">
        <f t="shared" si="32"/>
        <v>0.4</v>
      </c>
      <c r="AA21" s="5">
        <f t="shared" si="33"/>
        <v>0.1</v>
      </c>
      <c r="AB21" s="5" t="s">
        <v>20</v>
      </c>
      <c r="AC21" s="8">
        <f t="shared" si="28"/>
        <v>0.90000000000000013</v>
      </c>
      <c r="AD21" s="5">
        <f t="shared" ref="AD21:AD26" si="35">AC21/$AC$20</f>
        <v>1.7142857142857144</v>
      </c>
      <c r="AE21" s="24">
        <f>$AL$9/Table14[[#This Row],[WoundÆ]]</f>
        <v>4.4444444444444438</v>
      </c>
      <c r="AF21" s="23">
        <f>(Table14[[#This Row],[% Base]]+Table14[[#This Row],[% Base2]])/2</f>
        <v>1.2857142857142858</v>
      </c>
    </row>
    <row r="22" spans="1:32" ht="15.75" x14ac:dyDescent="0.25">
      <c r="A22" s="3"/>
      <c r="B22" s="3" t="s">
        <v>30</v>
      </c>
      <c r="C22" s="4">
        <v>10</v>
      </c>
      <c r="D22" s="3">
        <v>2</v>
      </c>
      <c r="E22" s="3"/>
      <c r="F22" s="3"/>
      <c r="G22" s="3"/>
      <c r="H22" s="3"/>
      <c r="I22" s="3"/>
      <c r="J22" s="3" t="s">
        <v>63</v>
      </c>
      <c r="K22" s="3"/>
      <c r="L22" s="3"/>
      <c r="M22" s="3"/>
      <c r="N22" s="3"/>
      <c r="O22" s="3"/>
      <c r="P22" s="3"/>
      <c r="Q22" s="5">
        <f t="shared" ref="Q22:Q35" si="36">IF(J22="X",1,($AI$3+G22)/20)</f>
        <v>1</v>
      </c>
      <c r="R22" s="5">
        <f t="shared" si="29"/>
        <v>0.5</v>
      </c>
      <c r="S22" s="5">
        <f t="shared" si="30"/>
        <v>0.1</v>
      </c>
      <c r="T22" s="5" t="s">
        <v>20</v>
      </c>
      <c r="U22" s="8">
        <f t="shared" si="27"/>
        <v>1.2</v>
      </c>
      <c r="V22" s="5">
        <f t="shared" si="34"/>
        <v>1.1428571428571428</v>
      </c>
      <c r="W22" s="10">
        <f>$AL$9/Table14[[#This Row],[WoundsÆ]]</f>
        <v>3.3333333333333335</v>
      </c>
      <c r="X22" s="6"/>
      <c r="Y22" s="5">
        <f t="shared" si="31"/>
        <v>1</v>
      </c>
      <c r="Z22" s="5">
        <f t="shared" si="32"/>
        <v>0.25</v>
      </c>
      <c r="AA22" s="5">
        <f t="shared" si="33"/>
        <v>0</v>
      </c>
      <c r="AB22" s="5" t="s">
        <v>20</v>
      </c>
      <c r="AC22" s="8">
        <f t="shared" si="28"/>
        <v>0.6</v>
      </c>
      <c r="AD22" s="5">
        <f t="shared" si="35"/>
        <v>1.1428571428571428</v>
      </c>
      <c r="AE22" s="24">
        <f>$AL$9/Table14[[#This Row],[WoundÆ]]</f>
        <v>6.666666666666667</v>
      </c>
      <c r="AF22" s="23">
        <f>(Table14[[#This Row],[% Base]]+Table14[[#This Row],[% Base2]])/2</f>
        <v>1.1428571428571428</v>
      </c>
    </row>
    <row r="23" spans="1:32" ht="15.75" x14ac:dyDescent="0.25">
      <c r="A23" s="3"/>
      <c r="B23" s="3" t="s">
        <v>91</v>
      </c>
      <c r="C23" s="4">
        <v>12</v>
      </c>
      <c r="D23" s="3">
        <v>2</v>
      </c>
      <c r="E23" s="3"/>
      <c r="F23" s="3" t="s">
        <v>63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5">
        <f t="shared" si="36"/>
        <v>0.5</v>
      </c>
      <c r="R23" s="5">
        <f t="shared" si="29"/>
        <v>0.6</v>
      </c>
      <c r="S23" s="5">
        <f t="shared" si="30"/>
        <v>0.1</v>
      </c>
      <c r="T23" s="5" t="s">
        <v>20</v>
      </c>
      <c r="U23" s="8">
        <f t="shared" si="27"/>
        <v>0.8</v>
      </c>
      <c r="V23" s="5">
        <f t="shared" si="34"/>
        <v>0.76190476190476186</v>
      </c>
      <c r="W23" s="10">
        <f>$AL$9/Table14[[#This Row],[WoundsÆ]]</f>
        <v>5</v>
      </c>
      <c r="X23" s="6"/>
      <c r="Y23" s="5">
        <f t="shared" si="31"/>
        <v>0.6</v>
      </c>
      <c r="Z23" s="5">
        <f t="shared" si="32"/>
        <v>0.6</v>
      </c>
      <c r="AA23" s="5">
        <f t="shared" si="33"/>
        <v>0.1</v>
      </c>
      <c r="AB23" s="5" t="s">
        <v>20</v>
      </c>
      <c r="AC23" s="8">
        <f t="shared" si="28"/>
        <v>0.8</v>
      </c>
      <c r="AD23" s="5">
        <f t="shared" si="35"/>
        <v>1.5238095238095237</v>
      </c>
      <c r="AE23" s="24">
        <f>$AL$9/Table14[[#This Row],[WoundÆ]]</f>
        <v>5</v>
      </c>
      <c r="AF23" s="23">
        <f>(Table14[[#This Row],[% Base]]+Table14[[#This Row],[% Base2]])/2</f>
        <v>1.1428571428571428</v>
      </c>
    </row>
    <row r="24" spans="1:32" ht="15.75" x14ac:dyDescent="0.25">
      <c r="A24" s="3"/>
      <c r="B24" s="3" t="s">
        <v>92</v>
      </c>
      <c r="C24" s="4">
        <v>10</v>
      </c>
      <c r="D24" s="3">
        <v>4</v>
      </c>
      <c r="E24" s="3"/>
      <c r="F24" s="3"/>
      <c r="G24" s="3"/>
      <c r="H24" s="3"/>
      <c r="I24" s="3"/>
      <c r="J24" s="3"/>
      <c r="K24" s="3" t="s">
        <v>63</v>
      </c>
      <c r="L24" s="3"/>
      <c r="M24" s="3"/>
      <c r="N24" s="3" t="s">
        <v>63</v>
      </c>
      <c r="O24" s="3"/>
      <c r="P24" s="3"/>
      <c r="Q24" s="5">
        <f t="shared" si="36"/>
        <v>0.5</v>
      </c>
      <c r="R24" s="5">
        <f t="shared" si="29"/>
        <v>0.5</v>
      </c>
      <c r="S24" s="5">
        <f t="shared" si="30"/>
        <v>0</v>
      </c>
      <c r="T24" s="5" t="s">
        <v>20</v>
      </c>
      <c r="U24" s="8">
        <f t="shared" si="27"/>
        <v>1.5</v>
      </c>
      <c r="V24" s="5">
        <f t="shared" si="34"/>
        <v>1.4285714285714286</v>
      </c>
      <c r="W24" s="10">
        <f>$AL$9/Table14[[#This Row],[WoundsÆ]]</f>
        <v>2.6666666666666665</v>
      </c>
      <c r="X24" s="6"/>
      <c r="Y24" s="5">
        <f t="shared" si="31"/>
        <v>0.5</v>
      </c>
      <c r="Z24" s="5">
        <f t="shared" si="32"/>
        <v>0.25</v>
      </c>
      <c r="AA24" s="5">
        <f t="shared" si="33"/>
        <v>0</v>
      </c>
      <c r="AB24" s="5" t="s">
        <v>20</v>
      </c>
      <c r="AC24" s="8">
        <f t="shared" si="28"/>
        <v>0.75</v>
      </c>
      <c r="AD24" s="5">
        <f t="shared" si="35"/>
        <v>1.4285714285714286</v>
      </c>
      <c r="AE24" s="24">
        <f>$AL$9/Table14[[#This Row],[WoundÆ]]</f>
        <v>5.333333333333333</v>
      </c>
      <c r="AF24" s="23">
        <f>(Table14[[#This Row],[% Base]]+Table14[[#This Row],[% Base2]])/2</f>
        <v>1.4285714285714286</v>
      </c>
    </row>
    <row r="25" spans="1:32" ht="15.75" x14ac:dyDescent="0.25">
      <c r="A25" s="3"/>
      <c r="B25" s="3" t="s">
        <v>93</v>
      </c>
      <c r="C25" s="4">
        <v>12</v>
      </c>
      <c r="D25" s="3">
        <v>3</v>
      </c>
      <c r="E25" s="3"/>
      <c r="F25" s="3" t="s">
        <v>63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5">
        <f t="shared" si="36"/>
        <v>0.5</v>
      </c>
      <c r="R25" s="5">
        <f t="shared" si="29"/>
        <v>0.6</v>
      </c>
      <c r="S25" s="5">
        <f t="shared" si="30"/>
        <v>0.1</v>
      </c>
      <c r="T25" s="5" t="s">
        <v>20</v>
      </c>
      <c r="U25" s="8">
        <f t="shared" si="27"/>
        <v>1.2</v>
      </c>
      <c r="V25" s="5">
        <f t="shared" si="34"/>
        <v>1.1428571428571428</v>
      </c>
      <c r="W25" s="10">
        <f>$AL$9/Table14[[#This Row],[WoundsÆ]]</f>
        <v>3.3333333333333335</v>
      </c>
      <c r="X25" s="6"/>
      <c r="Y25" s="5">
        <f t="shared" si="31"/>
        <v>0.6</v>
      </c>
      <c r="Z25" s="5">
        <f t="shared" si="32"/>
        <v>0.6</v>
      </c>
      <c r="AA25" s="5">
        <f t="shared" si="33"/>
        <v>0.1</v>
      </c>
      <c r="AB25" s="5" t="s">
        <v>20</v>
      </c>
      <c r="AC25" s="8">
        <f t="shared" si="28"/>
        <v>1.2</v>
      </c>
      <c r="AD25" s="5">
        <f t="shared" si="35"/>
        <v>2.2857142857142856</v>
      </c>
      <c r="AE25" s="24">
        <f>$AL$9/Table14[[#This Row],[WoundÆ]]</f>
        <v>3.3333333333333335</v>
      </c>
      <c r="AF25" s="23">
        <f>(Table14[[#This Row],[% Base]]+Table14[[#This Row],[% Base2]])/2</f>
        <v>1.7142857142857142</v>
      </c>
    </row>
    <row r="26" spans="1:32" ht="15.75" x14ac:dyDescent="0.25">
      <c r="A26" s="3"/>
      <c r="B26" s="3" t="s">
        <v>94</v>
      </c>
      <c r="C26" s="4">
        <v>10</v>
      </c>
      <c r="D26" s="3">
        <v>2</v>
      </c>
      <c r="E26" s="3"/>
      <c r="F26" s="3"/>
      <c r="G26" s="3"/>
      <c r="H26" s="3"/>
      <c r="I26" s="3"/>
      <c r="J26" s="3" t="s">
        <v>63</v>
      </c>
      <c r="K26" s="3"/>
      <c r="L26" s="3"/>
      <c r="M26" s="3"/>
      <c r="N26" s="3"/>
      <c r="O26" s="3" t="s">
        <v>63</v>
      </c>
      <c r="P26" s="3"/>
      <c r="Q26" s="5">
        <f t="shared" si="36"/>
        <v>1</v>
      </c>
      <c r="R26" s="5">
        <f t="shared" si="29"/>
        <v>0.5</v>
      </c>
      <c r="S26" s="5">
        <f t="shared" si="30"/>
        <v>0.1</v>
      </c>
      <c r="T26" s="5" t="s">
        <v>20</v>
      </c>
      <c r="U26" s="8">
        <f t="shared" si="27"/>
        <v>1.7</v>
      </c>
      <c r="V26" s="5">
        <f t="shared" si="34"/>
        <v>1.6190476190476188</v>
      </c>
      <c r="W26" s="10">
        <f>$AL$9/Table14[[#This Row],[WoundsÆ]]</f>
        <v>2.3529411764705883</v>
      </c>
      <c r="X26" s="6"/>
      <c r="Y26" s="5">
        <f t="shared" si="31"/>
        <v>1</v>
      </c>
      <c r="Z26" s="5">
        <f t="shared" si="32"/>
        <v>0.25</v>
      </c>
      <c r="AA26" s="5">
        <f t="shared" si="33"/>
        <v>0</v>
      </c>
      <c r="AB26" s="5" t="s">
        <v>20</v>
      </c>
      <c r="AC26" s="8">
        <f t="shared" si="28"/>
        <v>1.1000000000000001</v>
      </c>
      <c r="AD26" s="5">
        <f t="shared" si="35"/>
        <v>2.0952380952380953</v>
      </c>
      <c r="AE26" s="24">
        <f>$AL$9/Table14[[#This Row],[WoundÆ]]</f>
        <v>3.6363636363636362</v>
      </c>
      <c r="AF26" s="23">
        <f>(Table14[[#This Row],[% Base]]+Table14[[#This Row],[% Base2]])/2</f>
        <v>1.8571428571428572</v>
      </c>
    </row>
    <row r="27" spans="1:32" ht="15.75" x14ac:dyDescent="0.25">
      <c r="A27" s="3"/>
      <c r="B27" s="3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5"/>
      <c r="R27" s="5"/>
      <c r="S27" s="5"/>
      <c r="T27" s="5"/>
      <c r="U27" s="8"/>
      <c r="V27" s="5"/>
      <c r="W27" s="10"/>
      <c r="X27" s="6"/>
      <c r="Y27" s="5"/>
      <c r="Z27" s="5"/>
      <c r="AA27" s="5"/>
      <c r="AB27" s="5"/>
      <c r="AC27" s="8"/>
      <c r="AD27" s="5"/>
      <c r="AE27" s="24"/>
      <c r="AF27" s="23"/>
    </row>
    <row r="28" spans="1:32" ht="15.75" x14ac:dyDescent="0.25">
      <c r="A28" s="3"/>
      <c r="B28" s="3" t="s">
        <v>34</v>
      </c>
      <c r="C28" s="4">
        <v>12</v>
      </c>
      <c r="D28" s="3">
        <v>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5">
        <f t="shared" si="36"/>
        <v>0.5</v>
      </c>
      <c r="R28" s="5">
        <f t="shared" ref="R28:R35" si="37">(C28/20)*IF($AL$5=1,0.5,1)</f>
        <v>0.6</v>
      </c>
      <c r="S28" s="5">
        <f t="shared" ref="S28:S35" si="38">(IF(( K28="X"),0,($AI$5+H28))/20)</f>
        <v>0.1</v>
      </c>
      <c r="T28" s="5" t="s">
        <v>20</v>
      </c>
      <c r="U28" s="8">
        <f t="shared" si="27"/>
        <v>1.6</v>
      </c>
      <c r="V28" s="5">
        <f t="shared" ref="V28:V35" si="39">U28/$U$28</f>
        <v>1</v>
      </c>
      <c r="W28" s="10">
        <f>$AL$9/Table14[[#This Row],[WoundsÆ]]</f>
        <v>2.5</v>
      </c>
      <c r="X28" s="6"/>
      <c r="Y28" s="5">
        <f t="shared" ref="Y28:Y35" si="40">IF(J28="X",1,($AI$3+IF(F28="X",2,0)+G28)/20)</f>
        <v>0.5</v>
      </c>
      <c r="Z28" s="5">
        <f t="shared" ref="Z28:Z35" si="41">(C28/20)*IF($AL$12=1,IF(F28="X",1,0.5),1)</f>
        <v>0.3</v>
      </c>
      <c r="AA28" s="5">
        <f t="shared" ref="AA28:AA35" si="42">(IF((OR(J28="X", K28="X")),0,($AI$5+H28))/20)</f>
        <v>0.1</v>
      </c>
      <c r="AB28" s="5" t="s">
        <v>20</v>
      </c>
      <c r="AC28" s="8">
        <f t="shared" si="28"/>
        <v>0.8</v>
      </c>
      <c r="AD28" s="5">
        <f t="shared" ref="AD28:AD35" si="43">AC28/$AC$28</f>
        <v>1</v>
      </c>
      <c r="AE28" s="24">
        <f>$AL$9/Table14[[#This Row],[WoundÆ]]</f>
        <v>5</v>
      </c>
      <c r="AF28" s="23">
        <f>(Table14[[#This Row],[% Base]]+Table14[[#This Row],[% Base2]])/2</f>
        <v>1</v>
      </c>
    </row>
    <row r="29" spans="1:32" ht="15.75" x14ac:dyDescent="0.25">
      <c r="A29" s="3"/>
      <c r="B29" s="3" t="s">
        <v>36</v>
      </c>
      <c r="C29" s="4">
        <v>14</v>
      </c>
      <c r="D29" s="3">
        <v>3</v>
      </c>
      <c r="E29" s="3"/>
      <c r="F29" s="3" t="s">
        <v>63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5">
        <f t="shared" si="36"/>
        <v>0.5</v>
      </c>
      <c r="R29" s="5">
        <f t="shared" si="37"/>
        <v>0.7</v>
      </c>
      <c r="S29" s="5">
        <f t="shared" si="38"/>
        <v>0.1</v>
      </c>
      <c r="T29" s="5" t="s">
        <v>20</v>
      </c>
      <c r="U29" s="8">
        <f t="shared" si="27"/>
        <v>1.3499999999999999</v>
      </c>
      <c r="V29" s="5">
        <f t="shared" si="39"/>
        <v>0.84374999999999989</v>
      </c>
      <c r="W29" s="10">
        <f>$AL$9/Table14[[#This Row],[WoundsÆ]]</f>
        <v>2.9629629629629632</v>
      </c>
      <c r="X29" s="6"/>
      <c r="Y29" s="5">
        <f t="shared" si="40"/>
        <v>0.6</v>
      </c>
      <c r="Z29" s="5">
        <f t="shared" si="41"/>
        <v>0.7</v>
      </c>
      <c r="AA29" s="5">
        <f t="shared" si="42"/>
        <v>0.1</v>
      </c>
      <c r="AB29" s="5" t="s">
        <v>20</v>
      </c>
      <c r="AC29" s="8">
        <f t="shared" si="28"/>
        <v>1.3499999999999999</v>
      </c>
      <c r="AD29" s="5">
        <f t="shared" si="43"/>
        <v>1.6874999999999998</v>
      </c>
      <c r="AE29" s="24">
        <f>$AL$9/Table14[[#This Row],[WoundÆ]]</f>
        <v>2.9629629629629632</v>
      </c>
      <c r="AF29" s="23">
        <f>(Table14[[#This Row],[% Base]]+Table14[[#This Row],[% Base2]])/2</f>
        <v>1.2656249999999998</v>
      </c>
    </row>
    <row r="30" spans="1:32" ht="15.75" x14ac:dyDescent="0.25">
      <c r="A30" s="3"/>
      <c r="B30" s="3" t="s">
        <v>35</v>
      </c>
      <c r="C30" s="4">
        <v>12</v>
      </c>
      <c r="D30" s="3">
        <v>2</v>
      </c>
      <c r="E30" s="3"/>
      <c r="F30" s="3"/>
      <c r="G30" s="3"/>
      <c r="H30" s="3"/>
      <c r="I30" s="3"/>
      <c r="J30" s="3" t="s">
        <v>63</v>
      </c>
      <c r="K30" s="3"/>
      <c r="L30" s="3"/>
      <c r="M30" s="3"/>
      <c r="N30" s="3"/>
      <c r="O30" s="3"/>
      <c r="P30" s="3"/>
      <c r="Q30" s="5">
        <f t="shared" si="36"/>
        <v>1</v>
      </c>
      <c r="R30" s="5">
        <f t="shared" si="37"/>
        <v>0.6</v>
      </c>
      <c r="S30" s="5">
        <f t="shared" si="38"/>
        <v>0.1</v>
      </c>
      <c r="T30" s="5" t="s">
        <v>20</v>
      </c>
      <c r="U30" s="8">
        <f t="shared" si="27"/>
        <v>1.4</v>
      </c>
      <c r="V30" s="5">
        <f t="shared" si="39"/>
        <v>0.87499999999999989</v>
      </c>
      <c r="W30" s="10">
        <f>$AL$9/Table14[[#This Row],[WoundsÆ]]</f>
        <v>2.8571428571428572</v>
      </c>
      <c r="X30" s="6"/>
      <c r="Y30" s="5">
        <f t="shared" si="40"/>
        <v>1</v>
      </c>
      <c r="Z30" s="5">
        <f t="shared" si="41"/>
        <v>0.3</v>
      </c>
      <c r="AA30" s="5">
        <f t="shared" si="42"/>
        <v>0</v>
      </c>
      <c r="AB30" s="5" t="s">
        <v>20</v>
      </c>
      <c r="AC30" s="8">
        <f t="shared" si="28"/>
        <v>0.7</v>
      </c>
      <c r="AD30" s="5">
        <f t="shared" si="43"/>
        <v>0.87499999999999989</v>
      </c>
      <c r="AE30" s="24">
        <f>$AL$9/Table14[[#This Row],[WoundÆ]]</f>
        <v>5.7142857142857144</v>
      </c>
      <c r="AF30" s="23">
        <f>(Table14[[#This Row],[% Base]]+Table14[[#This Row],[% Base2]])/2</f>
        <v>0.87499999999999989</v>
      </c>
    </row>
    <row r="31" spans="1:32" ht="15.75" x14ac:dyDescent="0.25">
      <c r="A31" s="3"/>
      <c r="B31" s="3" t="s">
        <v>37</v>
      </c>
      <c r="C31" s="4">
        <v>12</v>
      </c>
      <c r="D31" s="3">
        <v>2</v>
      </c>
      <c r="E31" s="3"/>
      <c r="F31" s="3"/>
      <c r="G31" s="3"/>
      <c r="H31" s="3"/>
      <c r="I31" s="3"/>
      <c r="J31" s="3" t="s">
        <v>63</v>
      </c>
      <c r="K31" s="3"/>
      <c r="L31" s="3"/>
      <c r="M31" s="3"/>
      <c r="N31" s="3"/>
      <c r="O31" s="3"/>
      <c r="P31" s="3"/>
      <c r="Q31" s="5">
        <f t="shared" si="36"/>
        <v>1</v>
      </c>
      <c r="R31" s="5">
        <f t="shared" si="37"/>
        <v>0.6</v>
      </c>
      <c r="S31" s="5">
        <f t="shared" si="38"/>
        <v>0.1</v>
      </c>
      <c r="T31" s="5" t="s">
        <v>20</v>
      </c>
      <c r="U31" s="8">
        <f t="shared" si="27"/>
        <v>1.4</v>
      </c>
      <c r="V31" s="5">
        <f t="shared" si="39"/>
        <v>0.87499999999999989</v>
      </c>
      <c r="W31" s="10">
        <f>$AL$9/Table14[[#This Row],[WoundsÆ]]</f>
        <v>2.8571428571428572</v>
      </c>
      <c r="X31" s="6"/>
      <c r="Y31" s="5">
        <f t="shared" si="40"/>
        <v>1</v>
      </c>
      <c r="Z31" s="5">
        <f t="shared" si="41"/>
        <v>0.3</v>
      </c>
      <c r="AA31" s="5">
        <f t="shared" si="42"/>
        <v>0</v>
      </c>
      <c r="AB31" s="5" t="s">
        <v>20</v>
      </c>
      <c r="AC31" s="8">
        <f t="shared" si="28"/>
        <v>0.7</v>
      </c>
      <c r="AD31" s="5">
        <f t="shared" si="43"/>
        <v>0.87499999999999989</v>
      </c>
      <c r="AE31" s="24">
        <f>$AL$9/Table14[[#This Row],[WoundÆ]]</f>
        <v>5.7142857142857144</v>
      </c>
      <c r="AF31" s="23">
        <f>(Table14[[#This Row],[% Base]]+Table14[[#This Row],[% Base2]])/2</f>
        <v>0.87499999999999989</v>
      </c>
    </row>
    <row r="32" spans="1:32" ht="15.75" x14ac:dyDescent="0.25">
      <c r="A32" s="3"/>
      <c r="B32" s="3" t="s">
        <v>95</v>
      </c>
      <c r="C32" s="4">
        <v>10</v>
      </c>
      <c r="D32" s="3">
        <v>2</v>
      </c>
      <c r="E32" s="3"/>
      <c r="F32" s="3" t="s">
        <v>63</v>
      </c>
      <c r="G32" s="3"/>
      <c r="H32" s="3"/>
      <c r="I32" s="3"/>
      <c r="J32" s="3" t="s">
        <v>63</v>
      </c>
      <c r="K32" s="3"/>
      <c r="L32" s="3"/>
      <c r="M32" s="3"/>
      <c r="N32" s="3"/>
      <c r="O32" s="3"/>
      <c r="P32" s="3"/>
      <c r="Q32" s="5">
        <f t="shared" si="36"/>
        <v>1</v>
      </c>
      <c r="R32" s="5">
        <f t="shared" si="37"/>
        <v>0.5</v>
      </c>
      <c r="S32" s="5">
        <f t="shared" si="38"/>
        <v>0.1</v>
      </c>
      <c r="T32" s="5" t="s">
        <v>20</v>
      </c>
      <c r="U32" s="8">
        <f t="shared" si="27"/>
        <v>1.2</v>
      </c>
      <c r="V32" s="5">
        <f t="shared" si="39"/>
        <v>0.74999999999999989</v>
      </c>
      <c r="W32" s="10">
        <f>$AL$9/Table14[[#This Row],[WoundsÆ]]</f>
        <v>3.3333333333333335</v>
      </c>
      <c r="X32" s="6"/>
      <c r="Y32" s="5">
        <f t="shared" si="40"/>
        <v>1</v>
      </c>
      <c r="Z32" s="5">
        <f t="shared" si="41"/>
        <v>0.5</v>
      </c>
      <c r="AA32" s="5">
        <f t="shared" si="42"/>
        <v>0</v>
      </c>
      <c r="AB32" s="5" t="s">
        <v>20</v>
      </c>
      <c r="AC32" s="8">
        <f t="shared" si="28"/>
        <v>1.2</v>
      </c>
      <c r="AD32" s="5">
        <f t="shared" si="43"/>
        <v>1.4999999999999998</v>
      </c>
      <c r="AE32" s="24">
        <f>$AL$9/Table14[[#This Row],[WoundÆ]]</f>
        <v>3.3333333333333335</v>
      </c>
      <c r="AF32" s="23">
        <f>(Table14[[#This Row],[% Base]]+Table14[[#This Row],[% Base2]])/2</f>
        <v>1.1249999999999998</v>
      </c>
    </row>
    <row r="33" spans="1:33" ht="15.75" x14ac:dyDescent="0.25">
      <c r="A33" s="3"/>
      <c r="B33" s="3" t="s">
        <v>96</v>
      </c>
      <c r="C33" s="4">
        <v>12</v>
      </c>
      <c r="D33" s="3">
        <v>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5">
        <f t="shared" si="36"/>
        <v>0.5</v>
      </c>
      <c r="R33" s="5">
        <f t="shared" si="37"/>
        <v>0.6</v>
      </c>
      <c r="S33" s="5">
        <f t="shared" si="38"/>
        <v>0.1</v>
      </c>
      <c r="T33" s="5" t="s">
        <v>20</v>
      </c>
      <c r="U33" s="8">
        <f t="shared" si="27"/>
        <v>2.4</v>
      </c>
      <c r="V33" s="5">
        <f t="shared" si="39"/>
        <v>1.4999999999999998</v>
      </c>
      <c r="W33" s="10">
        <f>$AL$9/Table14[[#This Row],[WoundsÆ]]</f>
        <v>1.6666666666666667</v>
      </c>
      <c r="X33" s="6"/>
      <c r="Y33" s="5">
        <f t="shared" si="40"/>
        <v>0.5</v>
      </c>
      <c r="Z33" s="5">
        <f t="shared" si="41"/>
        <v>0.3</v>
      </c>
      <c r="AA33" s="5">
        <f t="shared" si="42"/>
        <v>0.1</v>
      </c>
      <c r="AB33" s="5" t="s">
        <v>20</v>
      </c>
      <c r="AC33" s="8">
        <f t="shared" si="28"/>
        <v>1.2</v>
      </c>
      <c r="AD33" s="5">
        <f t="shared" si="43"/>
        <v>1.4999999999999998</v>
      </c>
      <c r="AE33" s="24">
        <f>$AL$9/Table14[[#This Row],[WoundÆ]]</f>
        <v>3.3333333333333335</v>
      </c>
      <c r="AF33" s="23">
        <f>(Table14[[#This Row],[% Base]]+Table14[[#This Row],[% Base2]])/2</f>
        <v>1.4999999999999998</v>
      </c>
      <c r="AG33" s="18"/>
    </row>
    <row r="34" spans="1:33" ht="15.75" x14ac:dyDescent="0.25">
      <c r="A34" s="11"/>
      <c r="B34" s="3" t="s">
        <v>97</v>
      </c>
      <c r="C34" s="4">
        <v>12</v>
      </c>
      <c r="D34" s="3">
        <v>2</v>
      </c>
      <c r="E34" s="3"/>
      <c r="F34" s="3" t="s">
        <v>63</v>
      </c>
      <c r="G34" s="3"/>
      <c r="H34" s="3"/>
      <c r="I34" s="3"/>
      <c r="J34" s="3" t="s">
        <v>63</v>
      </c>
      <c r="K34" s="3"/>
      <c r="L34" s="3"/>
      <c r="M34" s="3"/>
      <c r="N34" s="3"/>
      <c r="O34" s="3"/>
      <c r="P34" s="3"/>
      <c r="Q34" s="5">
        <f t="shared" si="36"/>
        <v>1</v>
      </c>
      <c r="R34" s="5">
        <f t="shared" si="37"/>
        <v>0.6</v>
      </c>
      <c r="S34" s="5">
        <f t="shared" si="38"/>
        <v>0.1</v>
      </c>
      <c r="T34" s="5" t="s">
        <v>20</v>
      </c>
      <c r="U34" s="8">
        <f t="shared" si="27"/>
        <v>1.4</v>
      </c>
      <c r="V34" s="5">
        <f t="shared" si="39"/>
        <v>0.87499999999999989</v>
      </c>
      <c r="W34" s="10">
        <f>$AL$9/Table14[[#This Row],[WoundsÆ]]</f>
        <v>2.8571428571428572</v>
      </c>
      <c r="X34" s="6"/>
      <c r="Y34" s="5">
        <f t="shared" si="40"/>
        <v>1</v>
      </c>
      <c r="Z34" s="5">
        <f t="shared" si="41"/>
        <v>0.6</v>
      </c>
      <c r="AA34" s="5">
        <f t="shared" si="42"/>
        <v>0</v>
      </c>
      <c r="AB34" s="5" t="s">
        <v>20</v>
      </c>
      <c r="AC34" s="8">
        <f t="shared" si="28"/>
        <v>1.4</v>
      </c>
      <c r="AD34" s="5">
        <f t="shared" si="43"/>
        <v>1.7499999999999998</v>
      </c>
      <c r="AE34" s="24">
        <f>$AL$9/Table14[[#This Row],[WoundÆ]]</f>
        <v>2.8571428571428572</v>
      </c>
      <c r="AF34" s="23">
        <f>(Table14[[#This Row],[% Base]]+Table14[[#This Row],[% Base2]])/2</f>
        <v>1.3124999999999998</v>
      </c>
      <c r="AG34" s="18"/>
    </row>
    <row r="35" spans="1:33" ht="15.75" x14ac:dyDescent="0.25">
      <c r="A35" s="11"/>
      <c r="B35" s="11" t="s">
        <v>98</v>
      </c>
      <c r="C35" s="12">
        <v>10</v>
      </c>
      <c r="D35" s="11">
        <v>2</v>
      </c>
      <c r="E35" s="11"/>
      <c r="F35" s="11"/>
      <c r="G35" s="11"/>
      <c r="H35" s="11"/>
      <c r="I35" s="11"/>
      <c r="J35" s="11" t="s">
        <v>63</v>
      </c>
      <c r="K35" s="11"/>
      <c r="L35" s="11"/>
      <c r="M35" s="11"/>
      <c r="N35" s="11"/>
      <c r="O35" s="11" t="s">
        <v>63</v>
      </c>
      <c r="P35" s="11"/>
      <c r="Q35" s="5">
        <f t="shared" si="36"/>
        <v>1</v>
      </c>
      <c r="R35" s="5">
        <f t="shared" si="37"/>
        <v>0.5</v>
      </c>
      <c r="S35" s="5">
        <f t="shared" si="38"/>
        <v>0.1</v>
      </c>
      <c r="T35" s="5" t="s">
        <v>20</v>
      </c>
      <c r="U35" s="8">
        <f t="shared" si="27"/>
        <v>1.7</v>
      </c>
      <c r="V35" s="5">
        <f t="shared" si="39"/>
        <v>1.0625</v>
      </c>
      <c r="W35" s="10">
        <f>$AL$9/Table14[[#This Row],[WoundsÆ]]</f>
        <v>2.3529411764705883</v>
      </c>
      <c r="X35" s="6"/>
      <c r="Y35" s="5">
        <f t="shared" si="40"/>
        <v>1</v>
      </c>
      <c r="Z35" s="5">
        <f t="shared" si="41"/>
        <v>0.25</v>
      </c>
      <c r="AA35" s="5">
        <f t="shared" si="42"/>
        <v>0</v>
      </c>
      <c r="AB35" s="5" t="s">
        <v>20</v>
      </c>
      <c r="AC35" s="8">
        <f t="shared" si="28"/>
        <v>1.1000000000000001</v>
      </c>
      <c r="AD35" s="5">
        <f t="shared" si="43"/>
        <v>1.375</v>
      </c>
      <c r="AE35" s="24">
        <f>$AL$9/Table14[[#This Row],[WoundÆ]]</f>
        <v>3.6363636363636362</v>
      </c>
      <c r="AF35" s="23">
        <f>(Table14[[#This Row],[% Base]]+Table14[[#This Row],[% Base2]])/2</f>
        <v>1.21875</v>
      </c>
      <c r="AG35" s="18"/>
    </row>
    <row r="36" spans="1:33" ht="15.75" x14ac:dyDescent="0.25">
      <c r="A36" s="11"/>
      <c r="B36" s="11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5"/>
      <c r="R36" s="5"/>
      <c r="S36" s="5"/>
      <c r="T36" s="5"/>
      <c r="U36" s="8"/>
      <c r="V36" s="5"/>
      <c r="W36" s="10"/>
      <c r="X36" s="6"/>
      <c r="Y36" s="5"/>
      <c r="Z36" s="5"/>
      <c r="AA36" s="5"/>
      <c r="AB36" s="5"/>
      <c r="AC36" s="8"/>
      <c r="AD36" s="5"/>
      <c r="AE36" s="24"/>
      <c r="AF36" s="23"/>
      <c r="AG36" s="18"/>
    </row>
    <row r="37" spans="1:33" ht="15.75" x14ac:dyDescent="0.25">
      <c r="A37" s="11"/>
      <c r="B37" s="11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5"/>
      <c r="R37" s="5"/>
      <c r="S37" s="5"/>
      <c r="T37" s="5"/>
      <c r="U37" s="8"/>
      <c r="V37" s="5"/>
      <c r="W37" s="10"/>
      <c r="X37" s="6"/>
      <c r="Y37" s="5"/>
      <c r="Z37" s="5"/>
      <c r="AA37" s="5"/>
      <c r="AB37" s="5"/>
      <c r="AC37" s="8"/>
      <c r="AD37" s="5"/>
      <c r="AE37" s="24"/>
      <c r="AF37" s="23"/>
      <c r="AG37" s="18"/>
    </row>
    <row r="38" spans="1:33" ht="15.75" x14ac:dyDescent="0.25">
      <c r="A38" s="11"/>
      <c r="B38" s="11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5"/>
      <c r="R38" s="5"/>
      <c r="S38" s="5"/>
      <c r="T38" s="5"/>
      <c r="U38" s="8"/>
      <c r="V38" s="5"/>
      <c r="W38" s="10"/>
      <c r="X38" s="6"/>
      <c r="Y38" s="5"/>
      <c r="Z38" s="5"/>
      <c r="AA38" s="5"/>
      <c r="AB38" s="5"/>
      <c r="AC38" s="8"/>
      <c r="AD38" s="5"/>
      <c r="AE38" s="24"/>
      <c r="AF38" s="23"/>
      <c r="AG38" s="18"/>
    </row>
    <row r="39" spans="1:33" ht="15.75" x14ac:dyDescent="0.25">
      <c r="A39" s="11"/>
      <c r="B39" s="11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5"/>
      <c r="R39" s="5"/>
      <c r="S39" s="5"/>
      <c r="T39" s="5"/>
      <c r="U39" s="8"/>
      <c r="V39" s="5"/>
      <c r="W39" s="10"/>
      <c r="X39" s="6"/>
      <c r="Y39" s="5"/>
      <c r="Z39" s="5"/>
      <c r="AA39" s="5"/>
      <c r="AB39" s="5"/>
      <c r="AC39" s="8"/>
      <c r="AD39" s="5"/>
      <c r="AE39" s="24"/>
      <c r="AF39" s="23"/>
    </row>
    <row r="40" spans="1:33" ht="15.75" x14ac:dyDescent="0.25">
      <c r="A40" s="11"/>
      <c r="B40" s="3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5"/>
      <c r="R40" s="5"/>
      <c r="S40" s="5"/>
      <c r="T40" s="5"/>
      <c r="U40" s="8"/>
      <c r="V40" s="5"/>
      <c r="W40" s="23"/>
      <c r="X40" s="6"/>
      <c r="Y40" s="5"/>
      <c r="Z40" s="5"/>
      <c r="AA40" s="5"/>
      <c r="AB40" s="5"/>
      <c r="AC40" s="8"/>
      <c r="AD40" s="5"/>
      <c r="AE40" s="24"/>
      <c r="AF40" s="23"/>
    </row>
    <row r="41" spans="1:33" ht="15.75" x14ac:dyDescent="0.25">
      <c r="A41" s="11"/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3"/>
      <c r="Q41" s="13"/>
      <c r="R41" s="13"/>
      <c r="S41" s="13"/>
      <c r="T41" s="14"/>
      <c r="U41" s="13"/>
      <c r="V41" s="15"/>
      <c r="W41" s="16"/>
      <c r="X41" s="13"/>
      <c r="Y41" s="13"/>
      <c r="Z41" s="13"/>
      <c r="AA41" s="13"/>
      <c r="AB41" s="14"/>
      <c r="AC41" s="13"/>
      <c r="AD41" s="15"/>
      <c r="AE41" s="13"/>
      <c r="AF41" s="18"/>
    </row>
    <row r="42" spans="1:33" ht="15.75" x14ac:dyDescent="0.25"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3"/>
      <c r="Q42" s="13"/>
      <c r="R42" s="13"/>
      <c r="S42" s="13"/>
      <c r="T42" s="14"/>
      <c r="U42" s="13"/>
      <c r="V42" s="15"/>
      <c r="W42" s="16"/>
      <c r="X42" s="13"/>
      <c r="Y42" s="13"/>
      <c r="Z42" s="13"/>
      <c r="AA42" s="13"/>
      <c r="AB42" s="14"/>
      <c r="AC42" s="13"/>
      <c r="AD42" s="15"/>
      <c r="AE42" s="13"/>
      <c r="AF42" s="18"/>
    </row>
    <row r="43" spans="1:33" ht="15.75" x14ac:dyDescent="0.25"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3"/>
      <c r="Q43" s="13"/>
      <c r="R43" s="13"/>
      <c r="S43" s="13"/>
      <c r="T43" s="14"/>
      <c r="U43" s="13"/>
      <c r="V43" s="15"/>
      <c r="W43" s="16"/>
      <c r="X43" s="13"/>
      <c r="Y43" s="13"/>
      <c r="Z43" s="13"/>
      <c r="AA43" s="13"/>
      <c r="AB43" s="14"/>
      <c r="AC43" s="13"/>
      <c r="AD43" s="15"/>
      <c r="AE43" s="13"/>
      <c r="AF43" s="18"/>
    </row>
  </sheetData>
  <mergeCells count="3">
    <mergeCell ref="B2:E2"/>
    <mergeCell ref="Q2:U2"/>
    <mergeCell ref="Y2:AC2"/>
  </mergeCells>
  <conditionalFormatting sqref="AD41:AD43 V41:V43">
    <cfRule type="colorScale" priority="6">
      <colorScale>
        <cfvo type="num" val="1"/>
        <cfvo type="num" val="2"/>
        <cfvo type="num" val="8"/>
        <color rgb="FF00B050"/>
        <color rgb="FFFFFF00"/>
        <color rgb="FFFF0000"/>
      </colorScale>
    </cfRule>
  </conditionalFormatting>
  <conditionalFormatting sqref="AC41:AC43 U41:U43">
    <cfRule type="colorScale" priority="5">
      <colorScale>
        <cfvo type="num" val="0.5"/>
        <cfvo type="num" val="1"/>
        <cfvo type="num" val="2"/>
        <color rgb="FFFF0000"/>
        <color rgb="FFFFFF00"/>
        <color rgb="FF00B050"/>
      </colorScale>
    </cfRule>
  </conditionalFormatting>
  <conditionalFormatting sqref="AE41:AE43">
    <cfRule type="colorScale" priority="4">
      <colorScale>
        <cfvo type="num" val="0.5"/>
        <cfvo type="formula" val="1"/>
        <cfvo type="num" val="2"/>
        <color rgb="FFFF0000"/>
        <color rgb="FFFFFF00"/>
        <color rgb="FF00B050"/>
      </colorScale>
    </cfRule>
  </conditionalFormatting>
  <conditionalFormatting sqref="AE4:AE11 W4:W11 AE13:AE39 W13:W39">
    <cfRule type="colorScale" priority="3">
      <colorScale>
        <cfvo type="num" val="1"/>
        <cfvo type="num" val="2"/>
        <cfvo type="num" val="8"/>
        <color rgb="FF00B050"/>
        <color rgb="FFFFFF00"/>
        <color rgb="FFFF0000"/>
      </colorScale>
    </cfRule>
  </conditionalFormatting>
  <conditionalFormatting sqref="AD4:AD11 V4:V11 V13:V39 AD13:AD39">
    <cfRule type="colorScale" priority="2">
      <colorScale>
        <cfvo type="num" val="0.5"/>
        <cfvo type="num" val="1"/>
        <cfvo type="num" val="2"/>
        <color rgb="FFFF0000"/>
        <color rgb="FFFFFF00"/>
        <color rgb="FF00B050"/>
      </colorScale>
    </cfRule>
  </conditionalFormatting>
  <conditionalFormatting sqref="AF4:AF11 AF13:AF39">
    <cfRule type="colorScale" priority="1">
      <colorScale>
        <cfvo type="num" val="0.5"/>
        <cfvo type="formula" val="1"/>
        <cfvo type="num" val="2"/>
        <color rgb="FFFF0000"/>
        <color rgb="FFFFFF00"/>
        <color rgb="FF00B050"/>
      </colorScale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66"/>
  <sheetViews>
    <sheetView tabSelected="1" topLeftCell="A10" workbookViewId="0">
      <selection activeCell="H34" sqref="H34"/>
    </sheetView>
  </sheetViews>
  <sheetFormatPr defaultRowHeight="15" x14ac:dyDescent="0.25"/>
  <cols>
    <col min="2" max="2" width="22.5703125" customWidth="1"/>
    <col min="3" max="3" width="6.7109375" customWidth="1"/>
    <col min="4" max="4" width="7.140625" customWidth="1"/>
    <col min="5" max="5" width="19" customWidth="1"/>
    <col min="6" max="15" width="2.42578125" customWidth="1"/>
    <col min="16" max="18" width="7.85546875" customWidth="1"/>
    <col min="19" max="19" width="10.42578125" customWidth="1"/>
    <col min="20" max="20" width="8" customWidth="1"/>
    <col min="21" max="21" width="6.85546875" customWidth="1"/>
    <col min="22" max="22" width="7.28515625" customWidth="1"/>
    <col min="23" max="26" width="8.28515625" customWidth="1"/>
    <col min="27" max="28" width="7.28515625" customWidth="1"/>
  </cols>
  <sheetData>
    <row r="2" spans="2:35" x14ac:dyDescent="0.25">
      <c r="B2" s="29" t="s">
        <v>4</v>
      </c>
      <c r="C2" s="29"/>
      <c r="D2" s="29"/>
      <c r="E2" s="29"/>
      <c r="P2" s="29" t="s">
        <v>5</v>
      </c>
      <c r="Q2" s="29"/>
      <c r="R2" s="29"/>
      <c r="S2" s="29"/>
      <c r="W2" s="29" t="s">
        <v>23</v>
      </c>
      <c r="X2" s="29"/>
      <c r="Y2" s="29"/>
      <c r="Z2" s="29"/>
      <c r="AA2" s="28"/>
      <c r="AB2" s="28"/>
      <c r="AE2" t="s">
        <v>8</v>
      </c>
      <c r="AH2" t="s">
        <v>9</v>
      </c>
    </row>
    <row r="3" spans="2:35" ht="54.75" customHeight="1" x14ac:dyDescent="0.25">
      <c r="AE3" t="s">
        <v>10</v>
      </c>
      <c r="AF3">
        <v>10</v>
      </c>
      <c r="AH3" t="s">
        <v>10</v>
      </c>
      <c r="AI3">
        <v>9</v>
      </c>
    </row>
    <row r="4" spans="2:35" ht="86.25" x14ac:dyDescent="0.25">
      <c r="B4" s="9" t="s">
        <v>0</v>
      </c>
      <c r="C4" s="9" t="s">
        <v>1</v>
      </c>
      <c r="D4" s="9" t="s">
        <v>2</v>
      </c>
      <c r="E4" s="9" t="s">
        <v>22</v>
      </c>
      <c r="F4" s="9" t="s">
        <v>3</v>
      </c>
      <c r="G4" s="9" t="s">
        <v>110</v>
      </c>
      <c r="H4" s="9" t="s">
        <v>67</v>
      </c>
      <c r="I4" s="9" t="s">
        <v>68</v>
      </c>
      <c r="J4" s="9" t="s">
        <v>103</v>
      </c>
      <c r="K4" s="9" t="s">
        <v>70</v>
      </c>
      <c r="L4" s="9" t="s">
        <v>69</v>
      </c>
      <c r="M4" s="9" t="s">
        <v>71</v>
      </c>
      <c r="N4" s="9" t="s">
        <v>72</v>
      </c>
      <c r="O4" s="9" t="s">
        <v>66</v>
      </c>
      <c r="P4" s="9" t="s">
        <v>6</v>
      </c>
      <c r="Q4" s="9" t="s">
        <v>7</v>
      </c>
      <c r="R4" s="9" t="s">
        <v>19</v>
      </c>
      <c r="S4" s="9" t="s">
        <v>47</v>
      </c>
      <c r="T4" s="9" t="s">
        <v>48</v>
      </c>
      <c r="U4" s="9" t="s">
        <v>52</v>
      </c>
      <c r="V4" s="9" t="s">
        <v>42</v>
      </c>
      <c r="W4" s="9" t="s">
        <v>46</v>
      </c>
      <c r="X4" s="9" t="s">
        <v>45</v>
      </c>
      <c r="Y4" s="9" t="s">
        <v>44</v>
      </c>
      <c r="Z4" s="9" t="s">
        <v>50</v>
      </c>
      <c r="AA4" s="9" t="s">
        <v>49</v>
      </c>
      <c r="AB4" s="9" t="s">
        <v>53</v>
      </c>
      <c r="AC4" s="9" t="s">
        <v>57</v>
      </c>
      <c r="AE4" t="s">
        <v>99</v>
      </c>
      <c r="AF4">
        <v>10</v>
      </c>
      <c r="AH4" t="s">
        <v>99</v>
      </c>
      <c r="AI4">
        <v>10</v>
      </c>
    </row>
    <row r="5" spans="2:35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5">
        <f>((10+$AF$4+J5-$AI$5)/20)</f>
        <v>0.5</v>
      </c>
      <c r="Q5" s="5">
        <f t="shared" ref="Q5:Q11" si="0">(C5/20)*IF($AI$6=1,IF(F5="X",1,0.5),1)</f>
        <v>0</v>
      </c>
      <c r="R5" s="5">
        <f t="shared" ref="R5:R11" si="1">(IF(( M5="X"),0,($AF$6+I5))/20)</f>
        <v>0.1</v>
      </c>
      <c r="S5" s="8">
        <f>1*Q5*Table13[[#This Row],[Hit%]]*(1+R5)*D5</f>
        <v>0</v>
      </c>
      <c r="T5" s="5" t="e">
        <f>S5/$S$5</f>
        <v>#DIV/0!</v>
      </c>
      <c r="U5" s="10" t="e">
        <f>$AI$9/Table13[[#This Row],[WoundsÆ]]/2</f>
        <v>#DIV/0!</v>
      </c>
      <c r="V5" s="6"/>
      <c r="W5" s="5">
        <f>((10+$AF$4+J5-$AI$5)/20)</f>
        <v>0.5</v>
      </c>
      <c r="X5" s="5">
        <f t="shared" ref="X5:X11" si="2">(C5/20)*IF($AI$13=1,IF(F5="X",1,0.5),1)</f>
        <v>0</v>
      </c>
      <c r="Y5" s="5">
        <f t="shared" ref="Y5:Y11" si="3">(IF((OR(L5="X", M5="X")),0,($AF$6+I5))/20)</f>
        <v>0.1</v>
      </c>
      <c r="Z5" s="8">
        <f>IF(AND(Table13[[#This Row],[Light Weapon      .]]="X",$AI$13&gt;0),0,   1*X5*W5*(1+Y5)*D5)</f>
        <v>0</v>
      </c>
      <c r="AA5" s="5" t="e">
        <f>Z5/$Z$5</f>
        <v>#DIV/0!</v>
      </c>
      <c r="AB5" s="10" t="e">
        <f>$AI$9/Table13[[#This Row],[WoundÆ]]/2</f>
        <v>#DIV/0!</v>
      </c>
      <c r="AC5" s="5" t="e">
        <f>(Table13[[#This Row],[% Base]]+Table13[[#This Row],[% Base2]])/2</f>
        <v>#DIV/0!</v>
      </c>
      <c r="AE5" t="s">
        <v>100</v>
      </c>
      <c r="AH5" t="s">
        <v>102</v>
      </c>
      <c r="AI5">
        <v>10</v>
      </c>
    </row>
    <row r="6" spans="2:35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5">
        <f t="shared" ref="P6:P11" si="4">((10+$AF$4+J6-$AI$5)/20)</f>
        <v>0.5</v>
      </c>
      <c r="Q6" s="5">
        <f t="shared" si="0"/>
        <v>0</v>
      </c>
      <c r="R6" s="5">
        <f t="shared" si="1"/>
        <v>0.1</v>
      </c>
      <c r="S6" s="8">
        <f>1*Q6*Table13[[#This Row],[Hit%]]*(1+R6)*D6</f>
        <v>0</v>
      </c>
      <c r="T6" s="5" t="e">
        <f>S6/$S$5</f>
        <v>#DIV/0!</v>
      </c>
      <c r="U6" s="10" t="e">
        <f>$AI$9/Table13[[#This Row],[WoundsÆ]]/2</f>
        <v>#DIV/0!</v>
      </c>
      <c r="V6" s="6"/>
      <c r="W6" s="5">
        <f t="shared" ref="W6:W11" si="5">((10+$AF$4+J6-$AI$5)/20)</f>
        <v>0.5</v>
      </c>
      <c r="X6" s="5">
        <f t="shared" si="2"/>
        <v>0</v>
      </c>
      <c r="Y6" s="5">
        <f t="shared" si="3"/>
        <v>0.1</v>
      </c>
      <c r="Z6" s="8">
        <f>IF(AND(Table13[[#This Row],[Light Weapon      .]]="X",$AI$13&gt;0),0,   1*X6*W6*(1+Y6)*D6)</f>
        <v>0</v>
      </c>
      <c r="AA6" s="5" t="e">
        <f>Z6/$Z$5</f>
        <v>#DIV/0!</v>
      </c>
      <c r="AB6" s="10" t="e">
        <f>$AI$9/Table13[[#This Row],[WoundÆ]]/2</f>
        <v>#DIV/0!</v>
      </c>
      <c r="AC6" s="5" t="e">
        <f>(Table13[[#This Row],[% Base]]+Table13[[#This Row],[% Base2]])/2</f>
        <v>#DIV/0!</v>
      </c>
      <c r="AE6" t="s">
        <v>21</v>
      </c>
      <c r="AF6">
        <v>2</v>
      </c>
      <c r="AH6" t="s">
        <v>101</v>
      </c>
      <c r="AI6">
        <v>0</v>
      </c>
    </row>
    <row r="7" spans="2:35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5">
        <f t="shared" si="4"/>
        <v>0.5</v>
      </c>
      <c r="Q7" s="5">
        <f t="shared" si="0"/>
        <v>0</v>
      </c>
      <c r="R7" s="5">
        <f t="shared" si="1"/>
        <v>0.1</v>
      </c>
      <c r="S7" s="8">
        <f>1*Q7*Table13[[#This Row],[Hit%]]*(1+R7)*D7</f>
        <v>0</v>
      </c>
      <c r="T7" s="5" t="e">
        <f>S7/$S$5</f>
        <v>#DIV/0!</v>
      </c>
      <c r="U7" s="10" t="e">
        <f>$AI$9/Table13[[#This Row],[WoundsÆ]]/2</f>
        <v>#DIV/0!</v>
      </c>
      <c r="V7" s="6"/>
      <c r="W7" s="5">
        <f t="shared" si="5"/>
        <v>0.5</v>
      </c>
      <c r="X7" s="5">
        <f t="shared" si="2"/>
        <v>0</v>
      </c>
      <c r="Y7" s="5">
        <f t="shared" si="3"/>
        <v>0.1</v>
      </c>
      <c r="Z7" s="8">
        <f>IF(AND(Table13[[#This Row],[Light Weapon      .]]="X",$AI$13&gt;0),0,   1*X7*W7*(1+Y7)*D7)</f>
        <v>0</v>
      </c>
      <c r="AA7" s="5" t="e">
        <f>Z7/$Z$5</f>
        <v>#DIV/0!</v>
      </c>
      <c r="AB7" s="10" t="e">
        <f>$AI$9/Table13[[#This Row],[WoundÆ]]/2</f>
        <v>#DIV/0!</v>
      </c>
      <c r="AC7" s="5" t="e">
        <f>(Table13[[#This Row],[% Base]]+Table13[[#This Row],[% Base2]])/2</f>
        <v>#DIV/0!</v>
      </c>
    </row>
    <row r="8" spans="2:35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5">
        <f t="shared" si="4"/>
        <v>0.5</v>
      </c>
      <c r="Q8" s="5">
        <f t="shared" si="0"/>
        <v>0</v>
      </c>
      <c r="R8" s="5">
        <f t="shared" si="1"/>
        <v>0.1</v>
      </c>
      <c r="S8" s="8">
        <f>1*Q8*Table13[[#This Row],[Hit%]]*(1+R8)*D8</f>
        <v>0</v>
      </c>
      <c r="T8" s="5" t="e">
        <f>S8/$S$5</f>
        <v>#DIV/0!</v>
      </c>
      <c r="U8" s="10" t="e">
        <f>$AI$9/Table13[[#This Row],[WoundsÆ]]/2</f>
        <v>#DIV/0!</v>
      </c>
      <c r="V8" s="6"/>
      <c r="W8" s="5">
        <f t="shared" si="5"/>
        <v>0.5</v>
      </c>
      <c r="X8" s="5">
        <f t="shared" si="2"/>
        <v>0</v>
      </c>
      <c r="Y8" s="5">
        <f t="shared" si="3"/>
        <v>0.1</v>
      </c>
      <c r="Z8" s="8">
        <f>IF(AND(Table13[[#This Row],[Light Weapon      .]]="X",$AI$13&gt;0),0,   1*X8*W8*(1+Y8)*D8)</f>
        <v>0</v>
      </c>
      <c r="AA8" s="5" t="e">
        <f>Z8/$Z$5</f>
        <v>#DIV/0!</v>
      </c>
      <c r="AB8" s="10" t="e">
        <f>$AI$9/Table13[[#This Row],[WoundÆ]]/2</f>
        <v>#DIV/0!</v>
      </c>
      <c r="AC8" s="5" t="e">
        <f>(Table13[[#This Row],[% Base]]+Table13[[#This Row],[% Base2]])/2</f>
        <v>#DIV/0!</v>
      </c>
      <c r="AH8" t="s">
        <v>9</v>
      </c>
    </row>
    <row r="9" spans="2:35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5">
        <f t="shared" si="4"/>
        <v>0.5</v>
      </c>
      <c r="Q9" s="5">
        <f t="shared" si="0"/>
        <v>0</v>
      </c>
      <c r="R9" s="5">
        <f t="shared" si="1"/>
        <v>0.1</v>
      </c>
      <c r="S9" s="8">
        <f>1*Q9*Table13[[#This Row],[Hit%]]*(1+R9)*D9</f>
        <v>0</v>
      </c>
      <c r="T9" s="5" t="e">
        <f>S9/$S$5</f>
        <v>#DIV/0!</v>
      </c>
      <c r="U9" s="10" t="e">
        <f>$AI$9/Table13[[#This Row],[WoundsÆ]]/2</f>
        <v>#DIV/0!</v>
      </c>
      <c r="V9" s="6"/>
      <c r="W9" s="5">
        <f t="shared" si="5"/>
        <v>0.5</v>
      </c>
      <c r="X9" s="5">
        <f t="shared" si="2"/>
        <v>0</v>
      </c>
      <c r="Y9" s="5">
        <f t="shared" si="3"/>
        <v>0.1</v>
      </c>
      <c r="Z9" s="8">
        <f>IF(AND(Table13[[#This Row],[Light Weapon      .]]="X",$AI$13&gt;0),0,   1*X9*W9*(1+Y9)*D9)</f>
        <v>0</v>
      </c>
      <c r="AA9" s="5" t="e">
        <f>Z9/$Z$5</f>
        <v>#DIV/0!</v>
      </c>
      <c r="AB9" s="10" t="e">
        <f>$AI$9/Table13[[#This Row],[WoundÆ]]/2</f>
        <v>#DIV/0!</v>
      </c>
      <c r="AC9" s="5" t="e">
        <f>(Table13[[#This Row],[% Base]]+Table13[[#This Row],[% Base2]])/2</f>
        <v>#DIV/0!</v>
      </c>
      <c r="AH9" t="s">
        <v>51</v>
      </c>
      <c r="AI9">
        <v>4</v>
      </c>
    </row>
    <row r="10" spans="2:35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5">
        <f t="shared" si="4"/>
        <v>0.5</v>
      </c>
      <c r="Q10" s="5">
        <f t="shared" si="0"/>
        <v>0</v>
      </c>
      <c r="R10" s="5">
        <f t="shared" si="1"/>
        <v>0.1</v>
      </c>
      <c r="S10" s="8">
        <f>1*Q10*Table13[[#This Row],[Hit%]]*(1+R10)*D10</f>
        <v>0</v>
      </c>
      <c r="T10" s="5" t="e">
        <f>S10/$S$5</f>
        <v>#DIV/0!</v>
      </c>
      <c r="U10" s="10" t="e">
        <f>$AI$9/Table13[[#This Row],[WoundsÆ]]/2</f>
        <v>#DIV/0!</v>
      </c>
      <c r="V10" s="6"/>
      <c r="W10" s="5">
        <f t="shared" si="5"/>
        <v>0.5</v>
      </c>
      <c r="X10" s="5">
        <f t="shared" si="2"/>
        <v>0</v>
      </c>
      <c r="Y10" s="5">
        <f t="shared" si="3"/>
        <v>0.1</v>
      </c>
      <c r="Z10" s="8">
        <f>IF(AND(Table13[[#This Row],[Light Weapon      .]]="X",$AI$13&gt;0),0,   1*X10*W10*(1+Y10)*D10)</f>
        <v>0</v>
      </c>
      <c r="AA10" s="5" t="e">
        <f>Z10/$Z$5</f>
        <v>#DIV/0!</v>
      </c>
      <c r="AB10" s="10" t="e">
        <f>$AI$9/Table13[[#This Row],[WoundÆ]]/2</f>
        <v>#DIV/0!</v>
      </c>
      <c r="AC10" s="5" t="e">
        <f>(Table13[[#This Row],[% Base]]+Table13[[#This Row],[% Base2]])/2</f>
        <v>#DIV/0!</v>
      </c>
      <c r="AH10" t="s">
        <v>10</v>
      </c>
      <c r="AI10">
        <v>9</v>
      </c>
    </row>
    <row r="11" spans="2:35" ht="14.2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5">
        <f t="shared" si="4"/>
        <v>0.5</v>
      </c>
      <c r="Q11" s="5">
        <f t="shared" si="0"/>
        <v>0</v>
      </c>
      <c r="R11" s="5">
        <f t="shared" si="1"/>
        <v>0.1</v>
      </c>
      <c r="S11" s="8">
        <f>1*Q11*Table13[[#This Row],[Hit%]]*(1+R11)*D11</f>
        <v>0</v>
      </c>
      <c r="T11" s="5" t="e">
        <f>S11/$S$5</f>
        <v>#DIV/0!</v>
      </c>
      <c r="U11" s="10" t="e">
        <f>$AI$9/Table13[[#This Row],[WoundsÆ]]/2</f>
        <v>#DIV/0!</v>
      </c>
      <c r="V11" s="6"/>
      <c r="W11" s="5">
        <f t="shared" si="5"/>
        <v>0.5</v>
      </c>
      <c r="X11" s="5">
        <f t="shared" si="2"/>
        <v>0</v>
      </c>
      <c r="Y11" s="5">
        <f t="shared" si="3"/>
        <v>0.1</v>
      </c>
      <c r="Z11" s="8">
        <f>IF(AND(Table13[[#This Row],[Light Weapon      .]]="X",$AI$13&gt;0),0,   1*X11*W11*(1+Y11)*D11)</f>
        <v>0</v>
      </c>
      <c r="AA11" s="5" t="e">
        <f>Z11/$Z$5</f>
        <v>#DIV/0!</v>
      </c>
      <c r="AB11" s="10" t="e">
        <f>$AI$9/Table13[[#This Row],[WoundÆ]]/2</f>
        <v>#DIV/0!</v>
      </c>
      <c r="AC11" s="5" t="e">
        <f>(Table13[[#This Row],[% Base]]+Table13[[#This Row],[% Base2]])/2</f>
        <v>#DIV/0!</v>
      </c>
      <c r="AH11" t="s">
        <v>99</v>
      </c>
      <c r="AI11">
        <v>10</v>
      </c>
    </row>
    <row r="12" spans="2:35" ht="14.25" customHeight="1" x14ac:dyDescent="0.25">
      <c r="B12" s="3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"/>
      <c r="Q12" s="5"/>
      <c r="R12" s="5"/>
      <c r="S12" s="8"/>
      <c r="T12" s="5"/>
      <c r="U12" s="23"/>
      <c r="V12" s="6"/>
      <c r="W12" s="5"/>
      <c r="X12" s="5"/>
      <c r="Y12" s="5"/>
      <c r="Z12" s="8"/>
      <c r="AA12" s="5"/>
      <c r="AB12" s="24"/>
      <c r="AC12" s="23"/>
      <c r="AH12" t="s">
        <v>100</v>
      </c>
      <c r="AI12">
        <v>10</v>
      </c>
    </row>
    <row r="13" spans="2:35" ht="14.25" customHeight="1" x14ac:dyDescent="0.25">
      <c r="B13" s="3" t="s">
        <v>106</v>
      </c>
      <c r="C13" s="4">
        <v>8</v>
      </c>
      <c r="D13" s="3">
        <v>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5">
        <f>IF(L13="X",1,($AF$3+IF(F13="X",2,0)+H13)/20)</f>
        <v>0.5</v>
      </c>
      <c r="Q13" s="5">
        <f>(C13/20)*IF($AI$6=1,IF(F13="X",1,0.5),1)</f>
        <v>0.4</v>
      </c>
      <c r="R13" s="5">
        <f>(IF(( M13="X"),0,($AF$6+I13))/20)</f>
        <v>0.1</v>
      </c>
      <c r="S13" s="8">
        <f>1*Q13*(P13)*D13   +   (IF(K13="X",2,1)*R13*D13)</f>
        <v>0.90000000000000013</v>
      </c>
      <c r="T13" s="5">
        <f>S13/$S$13</f>
        <v>1</v>
      </c>
      <c r="U13" s="10">
        <f>$AI$9/Table13[[#This Row],[WoundsÆ]]/2</f>
        <v>2.2222222222222219</v>
      </c>
      <c r="V13" s="6"/>
      <c r="W13" s="5">
        <f>IF(L13="X",1,($AF$3+IF(F13="X",2,0)+H13)/20)</f>
        <v>0.5</v>
      </c>
      <c r="X13" s="5">
        <f>(C13/20)*IF($AI$13=1,IF(F13="X",1,0.5),1)</f>
        <v>0.2</v>
      </c>
      <c r="Y13" s="5">
        <f>(IF((OR(L13="X", M13="X")),0,($AF$6+I13))/20)</f>
        <v>0.1</v>
      </c>
      <c r="Z13" s="8">
        <f>IF(AND(Table13[[#This Row],[Light Weapon      .]]="X",$AI$13&gt;0),0,1*X13*W13*D13+(Y13*D13))</f>
        <v>0.60000000000000009</v>
      </c>
      <c r="AA13" s="5">
        <f>Z13/$Z$13</f>
        <v>1</v>
      </c>
      <c r="AB13" s="24">
        <f>$AI$9/Table13[[#This Row],[WoundÆ]]/2</f>
        <v>3.333333333333333</v>
      </c>
      <c r="AC13" s="23">
        <f>(Table13[[#This Row],[% Base]]+Table13[[#This Row],[% Base2]])/2</f>
        <v>1</v>
      </c>
      <c r="AH13" t="s">
        <v>101</v>
      </c>
      <c r="AI13">
        <v>1</v>
      </c>
    </row>
    <row r="14" spans="2:35" ht="14.25" customHeight="1" x14ac:dyDescent="0.25"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5">
        <f>IF(L14="X",1,($AF$3+IF(F14="X",2,0)+H14)/20)</f>
        <v>0.5</v>
      </c>
      <c r="Q14" s="5">
        <f>(C14/20)*IF($AI$6=1,IF(F14="X",1,0.5),1)</f>
        <v>0</v>
      </c>
      <c r="R14" s="5">
        <f>(IF(( M14="X"),0,($AF$6+I14))/20)</f>
        <v>0.1</v>
      </c>
      <c r="S14" s="8">
        <f>1*Q14*(P14)*D14   +   (IF(K14="X",2,1)*R14*D14)</f>
        <v>0</v>
      </c>
      <c r="T14" s="5">
        <f>S14/$S$13</f>
        <v>0</v>
      </c>
      <c r="U14" s="10" t="e">
        <f>$AI$9/Table13[[#This Row],[WoundsÆ]]/2</f>
        <v>#DIV/0!</v>
      </c>
      <c r="V14" s="6"/>
      <c r="W14" s="5">
        <f>IF(L14="X",1,($AF$3+IF(F14="X",2,0)+H14)/20)</f>
        <v>0.5</v>
      </c>
      <c r="X14" s="5">
        <f>(C14/20)*IF($AI$13=1,IF(F14="X",1,0.5),1)</f>
        <v>0</v>
      </c>
      <c r="Y14" s="5">
        <f>(IF((OR(L14="X", M14="X")),0,($AF$6+I14))/20)</f>
        <v>0.1</v>
      </c>
      <c r="Z14" s="8">
        <f>IF(AND(Table13[[#This Row],[Light Weapon      .]]="X",$AI$13&gt;0),0,1*X14*W14*D14+(Y14*D14))</f>
        <v>0</v>
      </c>
      <c r="AA14" s="5">
        <f>Z14/$Z$13</f>
        <v>0</v>
      </c>
      <c r="AB14" s="24" t="e">
        <f>$AI$9/Table13[[#This Row],[WoundÆ]]/2</f>
        <v>#DIV/0!</v>
      </c>
      <c r="AC14" s="23">
        <f>(Table13[[#This Row],[% Base]]+Table13[[#This Row],[% Base2]])/2</f>
        <v>0</v>
      </c>
    </row>
    <row r="15" spans="2:35" ht="14.25" customHeight="1" x14ac:dyDescent="0.25">
      <c r="B15" s="3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>
        <f>IF(L15="X",1,($AF$3+IF(F15="X",2,0)+H15)/20)</f>
        <v>0.5</v>
      </c>
      <c r="Q15" s="5">
        <f>(C15/20)*IF($AI$6=1,0.5,1)</f>
        <v>0</v>
      </c>
      <c r="R15" s="5">
        <f>(IF(( M15="X"),0,($AF$6+I15))/20)</f>
        <v>0.1</v>
      </c>
      <c r="S15" s="8">
        <f>1*Q15*(P15)*D15   +   (IF(K15="X",2,1)*R15*D15)</f>
        <v>0</v>
      </c>
      <c r="T15" s="5">
        <f>S15/$S$13</f>
        <v>0</v>
      </c>
      <c r="U15" s="10" t="e">
        <f>$AI$9/Table13[[#This Row],[WoundsÆ]]/2</f>
        <v>#DIV/0!</v>
      </c>
      <c r="V15" s="6"/>
      <c r="W15" s="5">
        <f>IF(L15="X",1,($AF$3+IF(F15="X",2,0)+H15)/20)</f>
        <v>0.5</v>
      </c>
      <c r="X15" s="5">
        <f>(C15/20)*IF($AI$13=1,IF(F15="X",1,0.5),1)</f>
        <v>0</v>
      </c>
      <c r="Y15" s="5">
        <f>(IF((OR(L15="X", M15="X")),0,($AF$6+I15))/20)</f>
        <v>0.1</v>
      </c>
      <c r="Z15" s="8">
        <f>IF(AND(Table13[[#This Row],[Light Weapon      .]]="X",$AI$13&gt;0),0,1*X15*W15*D15+(Y15*D15))</f>
        <v>0</v>
      </c>
      <c r="AA15" s="5">
        <f>Z15/$Z$13</f>
        <v>0</v>
      </c>
      <c r="AB15" s="24" t="e">
        <f>$AI$9/Table13[[#This Row],[WoundÆ]]/2</f>
        <v>#DIV/0!</v>
      </c>
      <c r="AC15" s="23">
        <f>(Table13[[#This Row],[% Base]]+Table13[[#This Row],[% Base2]])/2</f>
        <v>0</v>
      </c>
    </row>
    <row r="16" spans="2:35" ht="14.25" customHeight="1" x14ac:dyDescent="0.25">
      <c r="B16" s="3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5">
        <f>IF(L16="X",1,($AF$3+IF(F16="X",2,0)+H16)/20)</f>
        <v>0.5</v>
      </c>
      <c r="Q16" s="5">
        <f>(C16/20)*IF($AI$6=1,0.5,1)</f>
        <v>0</v>
      </c>
      <c r="R16" s="5">
        <f>(IF(( M16="X"),0,($AF$6+I16))/20)</f>
        <v>0.1</v>
      </c>
      <c r="S16" s="8">
        <f>1*Q16*(P16)*D16   +   (IF(K16="X",2,1)*R16*D16)</f>
        <v>0</v>
      </c>
      <c r="T16" s="5">
        <f>S16/$S$13</f>
        <v>0</v>
      </c>
      <c r="U16" s="10" t="e">
        <f>$AI$9/Table13[[#This Row],[WoundsÆ]]/2</f>
        <v>#DIV/0!</v>
      </c>
      <c r="V16" s="6"/>
      <c r="W16" s="5">
        <f>IF(L16="X",1,($AF$3+IF(F16="X",2,0)+H16)/20)</f>
        <v>0.5</v>
      </c>
      <c r="X16" s="5">
        <f>(C16/20)*IF($AI$13=1,IF(F16="X",1,0.5),1)</f>
        <v>0</v>
      </c>
      <c r="Y16" s="5">
        <f>(IF((OR(L16="X", M16="X")),0,($AF$6+I16))/20)</f>
        <v>0.1</v>
      </c>
      <c r="Z16" s="8">
        <f>IF(AND(Table13[[#This Row],[Light Weapon      .]]="X",$AI$13&gt;0),0,1*X16*W16*D16+(Y16*D16))</f>
        <v>0</v>
      </c>
      <c r="AA16" s="5">
        <f>Z16/$Z$13</f>
        <v>0</v>
      </c>
      <c r="AB16" s="24" t="e">
        <f>$AI$9/Table13[[#This Row],[WoundÆ]]/2</f>
        <v>#DIV/0!</v>
      </c>
      <c r="AC16" s="23">
        <f>(Table13[[#This Row],[% Base]]+Table13[[#This Row],[% Base2]])/2</f>
        <v>0</v>
      </c>
    </row>
    <row r="17" spans="2:29" ht="14.25" customHeight="1" x14ac:dyDescent="0.25">
      <c r="B17" s="3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5">
        <f>IF(L17="X",1,($AF$3+IF(F17="X",2,0)+H17)/20)</f>
        <v>0.5</v>
      </c>
      <c r="Q17" s="5">
        <f>(C17/20)*IF($AI$6=1,0.5,1)</f>
        <v>0</v>
      </c>
      <c r="R17" s="5">
        <f>(IF(( M17="X"),0,($AF$6+I17))/20)</f>
        <v>0.1</v>
      </c>
      <c r="S17" s="8">
        <f>1*Q17*(P17)*D17   +   (IF(K17="X",2,1)*R17*D17)</f>
        <v>0</v>
      </c>
      <c r="T17" s="5">
        <f>S17/$S$13</f>
        <v>0</v>
      </c>
      <c r="U17" s="10" t="e">
        <f>$AI$9/Table13[[#This Row],[WoundsÆ]]/2</f>
        <v>#DIV/0!</v>
      </c>
      <c r="V17" s="6"/>
      <c r="W17" s="5">
        <f>IF(L17="X",1,($AF$3+IF(F17="X",2,0)+H17)/20)</f>
        <v>0.5</v>
      </c>
      <c r="X17" s="5">
        <f>(C17/20)*IF($AI$13=1,IF(F17="X",1,0.5),1)</f>
        <v>0</v>
      </c>
      <c r="Y17" s="5">
        <f>(IF((OR(L17="X", M17="X")),0,($AF$6+I17))/20)</f>
        <v>0.1</v>
      </c>
      <c r="Z17" s="8">
        <f>IF(AND(Table13[[#This Row],[Light Weapon      .]]="X",$AI$13&gt;0),0,1*X17*W17*D17+(Y17*D17))</f>
        <v>0</v>
      </c>
      <c r="AA17" s="5">
        <f>Z17/$Z$13</f>
        <v>0</v>
      </c>
      <c r="AB17" s="24" t="e">
        <f>$AI$9/Table13[[#This Row],[WoundÆ]]/2</f>
        <v>#DIV/0!</v>
      </c>
      <c r="AC17" s="23">
        <f>(Table13[[#This Row],[% Base]]+Table13[[#This Row],[% Base2]])/2</f>
        <v>0</v>
      </c>
    </row>
    <row r="18" spans="2:29" ht="14.25" customHeight="1" x14ac:dyDescent="0.25">
      <c r="B18" s="3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5"/>
      <c r="Q18" s="5"/>
      <c r="R18" s="5"/>
      <c r="S18" s="8"/>
      <c r="T18" s="5"/>
      <c r="U18" s="10"/>
      <c r="V18" s="6"/>
      <c r="W18" s="5"/>
      <c r="X18" s="5"/>
      <c r="Y18" s="5"/>
      <c r="Z18" s="8"/>
      <c r="AA18" s="5"/>
      <c r="AB18" s="24"/>
      <c r="AC18" s="23"/>
    </row>
    <row r="19" spans="2:29" ht="14.25" customHeight="1" x14ac:dyDescent="0.25">
      <c r="B19" s="3" t="s">
        <v>107</v>
      </c>
      <c r="C19" s="4">
        <v>8</v>
      </c>
      <c r="D19" s="3">
        <v>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5">
        <f t="shared" ref="P19:P26" si="6">IF(L19="X",1,($AF$3+IF(F19="X",2,0)+H19)/20)</f>
        <v>0.5</v>
      </c>
      <c r="Q19" s="5">
        <f t="shared" ref="Q19:Q26" si="7">(C19/20)*IF($AI$6=1,0.5,1)</f>
        <v>0.4</v>
      </c>
      <c r="R19" s="5">
        <f t="shared" ref="R19:R26" si="8">(IF(( M19="X"),0,($AF$6+I19))/20)</f>
        <v>0.1</v>
      </c>
      <c r="S19" s="8">
        <f t="shared" ref="S19:S26" si="9">1*Q19*(P19)*D19   +   (IF(K19="X",2,1)*R19*D19)</f>
        <v>0.90000000000000013</v>
      </c>
      <c r="T19" s="5">
        <f>S19/$S$19</f>
        <v>1</v>
      </c>
      <c r="U19" s="10">
        <f>$AI$9/Table13[[#This Row],[WoundsÆ]]</f>
        <v>4.4444444444444438</v>
      </c>
      <c r="V19" s="6"/>
      <c r="W19" s="5">
        <f t="shared" ref="W19:W26" si="10">IF(L19="X",1,($AF$3+IF(F19="X",2,0)+H19)/20)</f>
        <v>0.5</v>
      </c>
      <c r="X19" s="5">
        <f t="shared" ref="X19:X26" si="11">(C19/20)*IF($AI$13=1,IF(F19="X",1,0.5),1)</f>
        <v>0.2</v>
      </c>
      <c r="Y19" s="5">
        <f t="shared" ref="Y19:Y26" si="12">(IF((OR(L19="X", M19="X")),0,($AF$6+I19))/20)</f>
        <v>0.1</v>
      </c>
      <c r="Z19" s="8">
        <f>IF(AND(Table13[[#This Row],[Light Weapon      .]]="X",$AI$13&gt;0),0,1*X19*W19*D19+(Y19*D19))</f>
        <v>0.60000000000000009</v>
      </c>
      <c r="AA19" s="5">
        <f>Z19/$Z$19</f>
        <v>1</v>
      </c>
      <c r="AB19" s="24">
        <f>$AI$9/Table13[[#This Row],[WoundÆ]]</f>
        <v>6.6666666666666661</v>
      </c>
      <c r="AC19" s="23">
        <f>(Table13[[#This Row],[% Base]]+Table13[[#This Row],[% Base2]])/2</f>
        <v>1</v>
      </c>
    </row>
    <row r="20" spans="2:29" ht="14.25" customHeight="1" x14ac:dyDescent="0.25">
      <c r="B20" s="3" t="s">
        <v>108</v>
      </c>
      <c r="C20" s="4">
        <v>10</v>
      </c>
      <c r="D20" s="3">
        <v>3</v>
      </c>
      <c r="E20" s="3"/>
      <c r="F20" s="3" t="s">
        <v>63</v>
      </c>
      <c r="G20" s="3"/>
      <c r="H20" s="3"/>
      <c r="I20" s="3"/>
      <c r="J20" s="3"/>
      <c r="K20" s="3"/>
      <c r="L20" s="3"/>
      <c r="M20" s="3"/>
      <c r="N20" s="3"/>
      <c r="O20" s="3"/>
      <c r="P20" s="5">
        <f t="shared" si="6"/>
        <v>0.6</v>
      </c>
      <c r="Q20" s="5">
        <f t="shared" si="7"/>
        <v>0.5</v>
      </c>
      <c r="R20" s="5">
        <f t="shared" si="8"/>
        <v>0.1</v>
      </c>
      <c r="S20" s="8">
        <f t="shared" si="9"/>
        <v>1.2</v>
      </c>
      <c r="T20" s="5">
        <f>S20/$S$19</f>
        <v>1.333333333333333</v>
      </c>
      <c r="U20" s="10">
        <f>$AI$9/Table13[[#This Row],[WoundsÆ]]</f>
        <v>3.3333333333333335</v>
      </c>
      <c r="V20" s="6"/>
      <c r="W20" s="5">
        <f t="shared" si="10"/>
        <v>0.6</v>
      </c>
      <c r="X20" s="5">
        <f t="shared" si="11"/>
        <v>0.5</v>
      </c>
      <c r="Y20" s="5">
        <f t="shared" si="12"/>
        <v>0.1</v>
      </c>
      <c r="Z20" s="8">
        <f>IF(AND(Table13[[#This Row],[Light Weapon      .]]="X",$AI$13&gt;0),0,1*X20*W20*D20+(Y20*D20))</f>
        <v>1.2</v>
      </c>
      <c r="AA20" s="5">
        <f>Z20/$Z$19</f>
        <v>1.9999999999999996</v>
      </c>
      <c r="AB20" s="24">
        <f>$AI$9/Table13[[#This Row],[WoundÆ]]</f>
        <v>3.3333333333333335</v>
      </c>
      <c r="AC20" s="23">
        <f>(Table13[[#This Row],[% Base]]+Table13[[#This Row],[% Base2]])/2</f>
        <v>1.6666666666666663</v>
      </c>
    </row>
    <row r="21" spans="2:29" ht="14.25" customHeight="1" x14ac:dyDescent="0.25">
      <c r="B21" s="3" t="s">
        <v>109</v>
      </c>
      <c r="C21" s="4">
        <v>8</v>
      </c>
      <c r="D21" s="3">
        <v>5</v>
      </c>
      <c r="E21" s="3"/>
      <c r="F21" s="3"/>
      <c r="G21" s="3" t="s">
        <v>63</v>
      </c>
      <c r="H21" s="3"/>
      <c r="I21" s="3"/>
      <c r="J21" s="3"/>
      <c r="K21" s="3"/>
      <c r="L21" s="3"/>
      <c r="M21" s="3"/>
      <c r="N21" s="3"/>
      <c r="O21" s="3"/>
      <c r="P21" s="5">
        <f t="shared" si="6"/>
        <v>0.5</v>
      </c>
      <c r="Q21" s="5">
        <f t="shared" si="7"/>
        <v>0.4</v>
      </c>
      <c r="R21" s="5">
        <f t="shared" si="8"/>
        <v>0.1</v>
      </c>
      <c r="S21" s="8">
        <f t="shared" si="9"/>
        <v>1.5</v>
      </c>
      <c r="T21" s="5">
        <f>S21/$S$19</f>
        <v>1.6666666666666665</v>
      </c>
      <c r="U21" s="10">
        <f>$AI$9/Table13[[#This Row],[WoundsÆ]]</f>
        <v>2.6666666666666665</v>
      </c>
      <c r="V21" s="6"/>
      <c r="W21" s="5">
        <f t="shared" si="10"/>
        <v>0.5</v>
      </c>
      <c r="X21" s="5">
        <f t="shared" si="11"/>
        <v>0.2</v>
      </c>
      <c r="Y21" s="5">
        <f t="shared" si="12"/>
        <v>0.1</v>
      </c>
      <c r="Z21" s="8">
        <f>IF(AND(Table13[[#This Row],[Light Weapon      .]]="X",$AI$13&gt;0),0,1*X21*W21*D21+(Y21*D21))</f>
        <v>0</v>
      </c>
      <c r="AA21" s="5">
        <f>Z21/$Z$19</f>
        <v>0</v>
      </c>
      <c r="AB21" s="24" t="e">
        <f>$AI$9/Table13[[#This Row],[WoundÆ]]</f>
        <v>#DIV/0!</v>
      </c>
      <c r="AC21" s="23">
        <f>(Table13[[#This Row],[% Base]]+Table13[[#This Row],[% Base2]])/2</f>
        <v>0.83333333333333326</v>
      </c>
    </row>
    <row r="22" spans="2:29" ht="14.25" customHeight="1" x14ac:dyDescent="0.25">
      <c r="B22" s="3" t="s">
        <v>30</v>
      </c>
      <c r="C22" s="4">
        <v>10</v>
      </c>
      <c r="D22" s="3">
        <v>2</v>
      </c>
      <c r="E22" s="3" t="s">
        <v>60</v>
      </c>
      <c r="F22" s="3"/>
      <c r="G22" s="3"/>
      <c r="H22" s="3"/>
      <c r="I22" s="3"/>
      <c r="J22" s="3"/>
      <c r="K22" s="3"/>
      <c r="L22" s="3" t="s">
        <v>63</v>
      </c>
      <c r="M22" s="3"/>
      <c r="N22" s="3"/>
      <c r="O22" s="3"/>
      <c r="P22" s="5">
        <f t="shared" si="6"/>
        <v>1</v>
      </c>
      <c r="Q22" s="5">
        <f t="shared" si="7"/>
        <v>0.5</v>
      </c>
      <c r="R22" s="5">
        <f t="shared" si="8"/>
        <v>0.1</v>
      </c>
      <c r="S22" s="8">
        <f t="shared" si="9"/>
        <v>1.2</v>
      </c>
      <c r="T22" s="5">
        <f>S22/$S$19</f>
        <v>1.333333333333333</v>
      </c>
      <c r="U22" s="10">
        <f>$AI$9/Table13[[#This Row],[WoundsÆ]]</f>
        <v>3.3333333333333335</v>
      </c>
      <c r="V22" s="6"/>
      <c r="W22" s="5">
        <f t="shared" si="10"/>
        <v>1</v>
      </c>
      <c r="X22" s="5">
        <f t="shared" si="11"/>
        <v>0.25</v>
      </c>
      <c r="Y22" s="5">
        <f t="shared" si="12"/>
        <v>0</v>
      </c>
      <c r="Z22" s="8">
        <f>IF(AND(Table13[[#This Row],[Light Weapon      .]]="X",$AI$13&gt;0),0,1*X22*W22*D22+(Y22*D22))</f>
        <v>0.5</v>
      </c>
      <c r="AA22" s="5">
        <f>Z22/$Z$19</f>
        <v>0.83333333333333326</v>
      </c>
      <c r="AB22" s="24">
        <f>$AI$9/Table13[[#This Row],[WoundÆ]]</f>
        <v>8</v>
      </c>
      <c r="AC22" s="23">
        <f>(Table13[[#This Row],[% Base]]+Table13[[#This Row],[% Base2]])/2</f>
        <v>1.083333333333333</v>
      </c>
    </row>
    <row r="23" spans="2:29" ht="14.25" customHeight="1" x14ac:dyDescent="0.25">
      <c r="B23" s="3" t="s">
        <v>111</v>
      </c>
      <c r="C23" s="4">
        <v>14</v>
      </c>
      <c r="D23" s="3">
        <v>2</v>
      </c>
      <c r="E23" s="3"/>
      <c r="F23" s="3"/>
      <c r="G23" s="3"/>
      <c r="H23" s="3"/>
      <c r="I23" s="3"/>
      <c r="J23" s="3"/>
      <c r="K23" s="3" t="s">
        <v>63</v>
      </c>
      <c r="L23" s="3"/>
      <c r="M23" s="3"/>
      <c r="N23" s="3"/>
      <c r="O23" s="3"/>
      <c r="P23" s="5">
        <f t="shared" si="6"/>
        <v>0.5</v>
      </c>
      <c r="Q23" s="5">
        <f t="shared" si="7"/>
        <v>0.7</v>
      </c>
      <c r="R23" s="5">
        <f t="shared" si="8"/>
        <v>0.1</v>
      </c>
      <c r="S23" s="8">
        <f t="shared" si="9"/>
        <v>1.1000000000000001</v>
      </c>
      <c r="T23" s="5">
        <f>S23/$S$19</f>
        <v>1.2222222222222221</v>
      </c>
      <c r="U23" s="10">
        <f>$AI$9/Table13[[#This Row],[WoundsÆ]]</f>
        <v>3.6363636363636362</v>
      </c>
      <c r="V23" s="6"/>
      <c r="W23" s="5">
        <f t="shared" si="10"/>
        <v>0.5</v>
      </c>
      <c r="X23" s="5">
        <f t="shared" si="11"/>
        <v>0.35</v>
      </c>
      <c r="Y23" s="5">
        <f t="shared" si="12"/>
        <v>0.1</v>
      </c>
      <c r="Z23" s="8">
        <f>IF(AND(Table13[[#This Row],[Light Weapon      .]]="X",$AI$13&gt;0),0,1*X23*W23*D23+(Y23*D23))</f>
        <v>0.55000000000000004</v>
      </c>
      <c r="AA23" s="5">
        <f>Z23/$Z$19</f>
        <v>0.91666666666666663</v>
      </c>
      <c r="AB23" s="24">
        <f>$AI$9/Table13[[#This Row],[WoundÆ]]</f>
        <v>7.2727272727272725</v>
      </c>
      <c r="AC23" s="23">
        <f>(Table13[[#This Row],[% Base]]+Table13[[#This Row],[% Base2]])/2</f>
        <v>1.0694444444444444</v>
      </c>
    </row>
    <row r="24" spans="2:29" ht="14.25" customHeight="1" x14ac:dyDescent="0.25">
      <c r="B24" s="3" t="s">
        <v>113</v>
      </c>
      <c r="C24" s="4">
        <v>10</v>
      </c>
      <c r="D24" s="3">
        <v>4</v>
      </c>
      <c r="E24" s="3" t="s">
        <v>114</v>
      </c>
      <c r="F24" s="3"/>
      <c r="G24" s="3" t="s">
        <v>63</v>
      </c>
      <c r="H24" s="3"/>
      <c r="I24" s="3"/>
      <c r="J24" s="3"/>
      <c r="K24" s="3"/>
      <c r="L24" s="3"/>
      <c r="M24" s="3"/>
      <c r="N24" s="3"/>
      <c r="O24" s="3"/>
      <c r="P24" s="5">
        <f t="shared" si="6"/>
        <v>0.5</v>
      </c>
      <c r="Q24" s="5">
        <f t="shared" si="7"/>
        <v>0.5</v>
      </c>
      <c r="R24" s="5">
        <f t="shared" si="8"/>
        <v>0.1</v>
      </c>
      <c r="S24" s="8">
        <f t="shared" si="9"/>
        <v>1.4</v>
      </c>
      <c r="T24" s="5">
        <f>S24/$S$19</f>
        <v>1.5555555555555551</v>
      </c>
      <c r="U24" s="10">
        <f>$AI$9/Table13[[#This Row],[WoundsÆ]]</f>
        <v>2.8571428571428572</v>
      </c>
      <c r="V24" s="6"/>
      <c r="W24" s="5">
        <f t="shared" si="10"/>
        <v>0.5</v>
      </c>
      <c r="X24" s="5">
        <f t="shared" si="11"/>
        <v>0.25</v>
      </c>
      <c r="Y24" s="5">
        <f t="shared" si="12"/>
        <v>0.1</v>
      </c>
      <c r="Z24" s="8">
        <f>IF(AND(Table13[[#This Row],[Light Weapon      .]]="X",$AI$13&gt;0),0,1*X24*W24*D24+(Y24*D24))</f>
        <v>0</v>
      </c>
      <c r="AA24" s="5">
        <f>Z24/$Z$19</f>
        <v>0</v>
      </c>
      <c r="AB24" s="24" t="e">
        <f>$AI$9/Table13[[#This Row],[WoundÆ]]</f>
        <v>#DIV/0!</v>
      </c>
      <c r="AC24" s="23">
        <f>(Table13[[#This Row],[% Base]]+Table13[[#This Row],[% Base2]])/2</f>
        <v>0.77777777777777757</v>
      </c>
    </row>
    <row r="25" spans="2:29" ht="14.25" customHeight="1" x14ac:dyDescent="0.25">
      <c r="B25" s="3" t="s">
        <v>112</v>
      </c>
      <c r="C25" s="4">
        <v>10</v>
      </c>
      <c r="D25" s="3">
        <v>2</v>
      </c>
      <c r="E25" s="3" t="s">
        <v>73</v>
      </c>
      <c r="F25" s="3" t="s">
        <v>63</v>
      </c>
      <c r="G25" s="3"/>
      <c r="H25" s="3"/>
      <c r="I25" s="3"/>
      <c r="J25" s="3"/>
      <c r="K25" s="3"/>
      <c r="L25" s="3"/>
      <c r="M25" s="3"/>
      <c r="N25" s="3"/>
      <c r="O25" s="3"/>
      <c r="P25" s="5">
        <f t="shared" si="6"/>
        <v>0.6</v>
      </c>
      <c r="Q25" s="5">
        <f t="shared" si="7"/>
        <v>0.5</v>
      </c>
      <c r="R25" s="5">
        <f t="shared" si="8"/>
        <v>0.1</v>
      </c>
      <c r="S25" s="8">
        <f t="shared" si="9"/>
        <v>0.8</v>
      </c>
      <c r="T25" s="5">
        <f>S25/$S$19</f>
        <v>0.88888888888888884</v>
      </c>
      <c r="U25" s="10">
        <f>$AI$9/Table13[[#This Row],[WoundsÆ]]</f>
        <v>5</v>
      </c>
      <c r="V25" s="6"/>
      <c r="W25" s="5">
        <f t="shared" si="10"/>
        <v>0.6</v>
      </c>
      <c r="X25" s="5">
        <f t="shared" si="11"/>
        <v>0.5</v>
      </c>
      <c r="Y25" s="5">
        <f t="shared" si="12"/>
        <v>0.1</v>
      </c>
      <c r="Z25" s="8">
        <f>IF(AND(Table13[[#This Row],[Light Weapon      .]]="X",$AI$13&gt;0),0,1*X25*W25*D25+(Y25*D25))</f>
        <v>0.8</v>
      </c>
      <c r="AA25" s="5">
        <f>Z25/$Z$19</f>
        <v>1.3333333333333333</v>
      </c>
      <c r="AB25" s="24">
        <f>$AI$9/Table13[[#This Row],[WoundÆ]]</f>
        <v>5</v>
      </c>
      <c r="AC25" s="23">
        <f>(Table13[[#This Row],[% Base]]+Table13[[#This Row],[% Base2]])/2</f>
        <v>1.1111111111111112</v>
      </c>
    </row>
    <row r="26" spans="2:29" ht="14.25" customHeight="1" x14ac:dyDescent="0.25">
      <c r="B26" s="3" t="s">
        <v>115</v>
      </c>
      <c r="C26" s="4">
        <v>8</v>
      </c>
      <c r="D26" s="3">
        <v>3</v>
      </c>
      <c r="E26" s="3" t="s">
        <v>60</v>
      </c>
      <c r="F26" s="3"/>
      <c r="G26" s="3" t="s">
        <v>63</v>
      </c>
      <c r="H26" s="3"/>
      <c r="I26" s="3"/>
      <c r="J26" s="3"/>
      <c r="K26" s="3"/>
      <c r="L26" s="3" t="s">
        <v>63</v>
      </c>
      <c r="M26" s="3"/>
      <c r="N26" s="3"/>
      <c r="O26" s="3"/>
      <c r="P26" s="5">
        <f t="shared" si="6"/>
        <v>1</v>
      </c>
      <c r="Q26" s="5">
        <f t="shared" si="7"/>
        <v>0.4</v>
      </c>
      <c r="R26" s="5">
        <f t="shared" si="8"/>
        <v>0.1</v>
      </c>
      <c r="S26" s="8">
        <f t="shared" si="9"/>
        <v>1.5000000000000002</v>
      </c>
      <c r="T26" s="5">
        <f>S26/$S$19</f>
        <v>1.6666666666666667</v>
      </c>
      <c r="U26" s="10">
        <f>$AI$9/Table13[[#This Row],[WoundsÆ]]</f>
        <v>2.6666666666666661</v>
      </c>
      <c r="V26" s="6"/>
      <c r="W26" s="5">
        <f t="shared" si="10"/>
        <v>1</v>
      </c>
      <c r="X26" s="5">
        <f t="shared" si="11"/>
        <v>0.2</v>
      </c>
      <c r="Y26" s="5">
        <f t="shared" si="12"/>
        <v>0</v>
      </c>
      <c r="Z26" s="8">
        <f>IF(AND(Table13[[#This Row],[Light Weapon      .]]="X",$AI$13&gt;0),0,1*X26*W26*D26+(Y26*D26))</f>
        <v>0</v>
      </c>
      <c r="AA26" s="5">
        <f>Z26/$Z$19</f>
        <v>0</v>
      </c>
      <c r="AB26" s="24" t="e">
        <f>$AI$9/Table13[[#This Row],[WoundÆ]]</f>
        <v>#DIV/0!</v>
      </c>
      <c r="AC26" s="23">
        <f>(Table13[[#This Row],[% Base]]+Table13[[#This Row],[% Base2]])/2</f>
        <v>0.83333333333333337</v>
      </c>
    </row>
    <row r="27" spans="2:29" ht="14.25" customHeight="1" x14ac:dyDescent="0.25">
      <c r="B27" s="3" t="s">
        <v>116</v>
      </c>
      <c r="C27" s="4">
        <v>12</v>
      </c>
      <c r="D27" s="3">
        <v>3</v>
      </c>
      <c r="E27" s="3"/>
      <c r="F27" s="3" t="s">
        <v>63</v>
      </c>
      <c r="G27" s="3"/>
      <c r="H27" s="3"/>
      <c r="I27" s="3"/>
      <c r="J27" s="3"/>
      <c r="K27" s="3"/>
      <c r="L27" s="3"/>
      <c r="M27" s="3"/>
      <c r="N27" s="3"/>
      <c r="O27" s="3"/>
      <c r="P27" s="5">
        <f t="shared" ref="P27:P29" si="13">IF(L27="X",1,($AF$3+IF(F27="X",2,0)+H27)/20)</f>
        <v>0.6</v>
      </c>
      <c r="Q27" s="5">
        <f t="shared" ref="Q27:Q29" si="14">(C27/20)*IF($AI$6=1,0.5,1)</f>
        <v>0.6</v>
      </c>
      <c r="R27" s="5">
        <f t="shared" ref="R27:R29" si="15">(IF(( M27="X"),0,($AF$6+I27))/20)</f>
        <v>0.1</v>
      </c>
      <c r="S27" s="8">
        <f t="shared" ref="S27:S29" si="16">1*Q27*(P27)*D27   +   (IF(K27="X",2,1)*R27*D27)</f>
        <v>1.3800000000000001</v>
      </c>
      <c r="T27" s="5">
        <f t="shared" ref="T27:T29" si="17">S27/$S$19</f>
        <v>1.5333333333333332</v>
      </c>
      <c r="U27" s="10">
        <f>$AI$9/Table13[[#This Row],[WoundsÆ]]</f>
        <v>2.8985507246376807</v>
      </c>
      <c r="V27" s="6"/>
      <c r="W27" s="5">
        <f t="shared" ref="W27:W29" si="18">IF(L27="X",1,($AF$3+IF(F27="X",2,0)+H27)/20)</f>
        <v>0.6</v>
      </c>
      <c r="X27" s="5">
        <f t="shared" ref="X27:X29" si="19">(C27/20)*IF($AI$13=1,IF(F27="X",1,0.5),1)</f>
        <v>0.6</v>
      </c>
      <c r="Y27" s="5">
        <f t="shared" ref="Y27:Y29" si="20">(IF((OR(L27="X", M27="X")),0,($AF$6+I27))/20)</f>
        <v>0.1</v>
      </c>
      <c r="Z27" s="8">
        <f>IF(AND(Table13[[#This Row],[Light Weapon      .]]="X",$AI$13&gt;0),0,1*X27*W27*D27+(Y27*D27))</f>
        <v>1.3800000000000001</v>
      </c>
      <c r="AA27" s="5">
        <f t="shared" ref="AA27:AA29" si="21">Z27/$Z$19</f>
        <v>2.2999999999999998</v>
      </c>
      <c r="AB27" s="24">
        <f>$AI$9/Table13[[#This Row],[WoundÆ]]</f>
        <v>2.8985507246376807</v>
      </c>
      <c r="AC27" s="23">
        <f>(Table13[[#This Row],[% Base]]+Table13[[#This Row],[% Base2]])/2</f>
        <v>1.9166666666666665</v>
      </c>
    </row>
    <row r="28" spans="2:29" ht="14.25" customHeight="1" x14ac:dyDescent="0.25">
      <c r="B28" s="3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5">
        <f t="shared" si="13"/>
        <v>0.5</v>
      </c>
      <c r="Q28" s="5">
        <f t="shared" si="14"/>
        <v>0</v>
      </c>
      <c r="R28" s="5">
        <f t="shared" si="15"/>
        <v>0.1</v>
      </c>
      <c r="S28" s="8">
        <f t="shared" si="16"/>
        <v>0</v>
      </c>
      <c r="T28" s="5">
        <f t="shared" si="17"/>
        <v>0</v>
      </c>
      <c r="U28" s="10" t="e">
        <f>$AI$9/Table13[[#This Row],[WoundsÆ]]</f>
        <v>#DIV/0!</v>
      </c>
      <c r="V28" s="6"/>
      <c r="W28" s="5">
        <f t="shared" si="18"/>
        <v>0.5</v>
      </c>
      <c r="X28" s="5">
        <f t="shared" si="19"/>
        <v>0</v>
      </c>
      <c r="Y28" s="5">
        <f t="shared" si="20"/>
        <v>0.1</v>
      </c>
      <c r="Z28" s="8">
        <f>IF(AND(Table13[[#This Row],[Light Weapon      .]]="X",$AI$13&gt;0),0,1*X28*W28*D28+(Y28*D28))</f>
        <v>0</v>
      </c>
      <c r="AA28" s="5">
        <f t="shared" si="21"/>
        <v>0</v>
      </c>
      <c r="AB28" s="24" t="e">
        <f>$AI$9/Table13[[#This Row],[WoundÆ]]</f>
        <v>#DIV/0!</v>
      </c>
      <c r="AC28" s="23">
        <f>(Table13[[#This Row],[% Base]]+Table13[[#This Row],[% Base2]])/2</f>
        <v>0</v>
      </c>
    </row>
    <row r="29" spans="2:29" ht="14.25" customHeight="1" x14ac:dyDescent="0.25">
      <c r="B29" s="3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5">
        <f t="shared" si="13"/>
        <v>0.5</v>
      </c>
      <c r="Q29" s="5">
        <f t="shared" si="14"/>
        <v>0</v>
      </c>
      <c r="R29" s="5">
        <f t="shared" si="15"/>
        <v>0.1</v>
      </c>
      <c r="S29" s="8">
        <f t="shared" si="16"/>
        <v>0</v>
      </c>
      <c r="T29" s="5">
        <f t="shared" si="17"/>
        <v>0</v>
      </c>
      <c r="U29" s="10" t="e">
        <f>$AI$9/Table13[[#This Row],[WoundsÆ]]</f>
        <v>#DIV/0!</v>
      </c>
      <c r="V29" s="6"/>
      <c r="W29" s="5">
        <f t="shared" si="18"/>
        <v>0.5</v>
      </c>
      <c r="X29" s="5">
        <f t="shared" si="19"/>
        <v>0</v>
      </c>
      <c r="Y29" s="5">
        <f t="shared" si="20"/>
        <v>0.1</v>
      </c>
      <c r="Z29" s="8">
        <f>IF(AND(Table13[[#This Row],[Light Weapon      .]]="X",$AI$13&gt;0),0,1*X29*W29*D29+(Y29*D29))</f>
        <v>0</v>
      </c>
      <c r="AA29" s="5">
        <f t="shared" si="21"/>
        <v>0</v>
      </c>
      <c r="AB29" s="24" t="e">
        <f>$AI$9/Table13[[#This Row],[WoundÆ]]</f>
        <v>#DIV/0!</v>
      </c>
      <c r="AC29" s="23">
        <f>(Table13[[#This Row],[% Base]]+Table13[[#This Row],[% Base2]])/2</f>
        <v>0</v>
      </c>
    </row>
    <row r="30" spans="2:29" ht="14.25" customHeight="1" x14ac:dyDescent="0.25">
      <c r="B30" s="3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5"/>
      <c r="Q30" s="5"/>
      <c r="R30" s="5"/>
      <c r="S30" s="8"/>
      <c r="T30" s="5"/>
      <c r="U30" s="10"/>
      <c r="V30" s="6"/>
      <c r="W30" s="5"/>
      <c r="X30" s="5"/>
      <c r="Y30" s="5"/>
      <c r="Z30" s="8"/>
      <c r="AA30" s="5"/>
      <c r="AB30" s="24"/>
      <c r="AC30" s="23"/>
    </row>
    <row r="31" spans="2:29" ht="14.25" customHeight="1" x14ac:dyDescent="0.25">
      <c r="B31" s="3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5"/>
      <c r="R31" s="5"/>
      <c r="S31" s="8"/>
      <c r="T31" s="5"/>
      <c r="U31" s="10"/>
      <c r="V31" s="6"/>
      <c r="W31" s="5"/>
      <c r="X31" s="5"/>
      <c r="Y31" s="5"/>
      <c r="Z31" s="8"/>
      <c r="AA31" s="5"/>
      <c r="AB31" s="24"/>
      <c r="AC31" s="23"/>
    </row>
    <row r="32" spans="2:29" ht="15.75" x14ac:dyDescent="0.25"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5"/>
      <c r="Q32" s="5"/>
      <c r="R32" s="5"/>
      <c r="S32" s="8"/>
      <c r="T32" s="5"/>
      <c r="U32" s="10"/>
      <c r="V32" s="6"/>
      <c r="W32" s="5"/>
      <c r="X32" s="5"/>
      <c r="Y32" s="5"/>
      <c r="Z32" s="8"/>
      <c r="AA32" s="5"/>
      <c r="AB32" s="24"/>
      <c r="AC32" s="23"/>
    </row>
    <row r="33" spans="1:30" ht="15.75" x14ac:dyDescent="0.25">
      <c r="A33" s="17"/>
      <c r="B33" s="3" t="s">
        <v>117</v>
      </c>
      <c r="C33" s="4">
        <v>15</v>
      </c>
      <c r="D33" s="3">
        <v>3</v>
      </c>
      <c r="E33" s="3"/>
      <c r="F33" s="3"/>
      <c r="G33" s="3"/>
      <c r="H33" s="3">
        <v>5</v>
      </c>
      <c r="I33" s="3"/>
      <c r="J33" s="3"/>
      <c r="K33" s="3"/>
      <c r="L33" s="3"/>
      <c r="M33" s="3"/>
      <c r="N33" s="3"/>
      <c r="O33" s="3"/>
      <c r="P33" s="5">
        <f t="shared" ref="P28:P39" si="22">IF(L33="X",1,($AF$3+IF(F33="X",2,0)+H33)/20)</f>
        <v>0.75</v>
      </c>
      <c r="Q33" s="5">
        <f t="shared" ref="Q28:Q39" si="23">(C33/20)*IF($AI$6=1,0.5,1)</f>
        <v>0.75</v>
      </c>
      <c r="R33" s="5">
        <f t="shared" ref="R28:R39" si="24">(IF(( M33="X"),0,($AF$6+I33))/20)</f>
        <v>0.1</v>
      </c>
      <c r="S33" s="8">
        <f t="shared" ref="S28:S39" si="25">1*Q33*(P33)*D33   +   (IF(K33="X",2,1)*R33*D33)</f>
        <v>1.9875</v>
      </c>
      <c r="T33" s="5" t="e">
        <f>S33/$S$28</f>
        <v>#DIV/0!</v>
      </c>
      <c r="U33" s="10">
        <f>$AI$9/Table13[[#This Row],[WoundsÆ]]</f>
        <v>2.0125786163522013</v>
      </c>
      <c r="V33" s="6"/>
      <c r="W33" s="5">
        <f t="shared" ref="W28:W39" si="26">IF(L33="X",1,($AF$3+IF(F33="X",2,0)+H33)/20)</f>
        <v>0.75</v>
      </c>
      <c r="X33" s="5">
        <f t="shared" ref="X28:X39" si="27">(C33/20)*IF($AI$13=1,IF(F33="X",1,0.5),1)</f>
        <v>0.375</v>
      </c>
      <c r="Y33" s="5">
        <f t="shared" ref="Y28:Y39" si="28">(IF((OR(L33="X", M33="X")),0,($AF$6+I33))/20)</f>
        <v>0.1</v>
      </c>
      <c r="Z33" s="8">
        <f>IF(AND(Table13[[#This Row],[Light Weapon      .]]="X",$AI$13&gt;0),0,1*X33*W33*D33+(Y33*D33))</f>
        <v>1.14375</v>
      </c>
      <c r="AA33" s="5" t="e">
        <f>Z33/$Z$28</f>
        <v>#DIV/0!</v>
      </c>
      <c r="AB33" s="24">
        <f>$AI$9/Table13[[#This Row],[WoundÆ]]</f>
        <v>3.4972677595628414</v>
      </c>
      <c r="AC33" s="23" t="e">
        <f>(Table13[[#This Row],[% Base]]+Table13[[#This Row],[% Base2]])/2</f>
        <v>#DIV/0!</v>
      </c>
      <c r="AD33" s="18"/>
    </row>
    <row r="34" spans="1:30" ht="15.75" x14ac:dyDescent="0.25">
      <c r="A34" s="17"/>
      <c r="B34" s="3" t="s">
        <v>118</v>
      </c>
      <c r="C34" s="4">
        <v>12</v>
      </c>
      <c r="D34" s="3">
        <v>2</v>
      </c>
      <c r="E34" s="3"/>
      <c r="F34" s="3"/>
      <c r="G34" s="3"/>
      <c r="H34" s="3"/>
      <c r="I34" s="3"/>
      <c r="J34" s="3"/>
      <c r="K34" s="3"/>
      <c r="L34" s="3" t="s">
        <v>63</v>
      </c>
      <c r="M34" s="3"/>
      <c r="N34" s="3"/>
      <c r="O34" s="3"/>
      <c r="P34" s="5">
        <f t="shared" si="22"/>
        <v>1</v>
      </c>
      <c r="Q34" s="5">
        <f t="shared" si="23"/>
        <v>0.6</v>
      </c>
      <c r="R34" s="5">
        <f t="shared" si="24"/>
        <v>0.1</v>
      </c>
      <c r="S34" s="8">
        <f t="shared" si="25"/>
        <v>1.4</v>
      </c>
      <c r="T34" s="5" t="e">
        <f>S34/$S$28</f>
        <v>#DIV/0!</v>
      </c>
      <c r="U34" s="10">
        <f>$AI$9/Table13[[#This Row],[WoundsÆ]]</f>
        <v>2.8571428571428572</v>
      </c>
      <c r="V34" s="6"/>
      <c r="W34" s="5">
        <f t="shared" si="26"/>
        <v>1</v>
      </c>
      <c r="X34" s="5">
        <f t="shared" si="27"/>
        <v>0.3</v>
      </c>
      <c r="Y34" s="5">
        <f t="shared" si="28"/>
        <v>0</v>
      </c>
      <c r="Z34" s="8">
        <f>IF(AND(Table13[[#This Row],[Light Weapon      .]]="X",$AI$13&gt;0),0,1*X34*W34*D34+(Y34*D34))</f>
        <v>0.6</v>
      </c>
      <c r="AA34" s="5" t="e">
        <f>Z34/$Z$28</f>
        <v>#DIV/0!</v>
      </c>
      <c r="AB34" s="24">
        <f>$AI$9/Table13[[#This Row],[WoundÆ]]</f>
        <v>6.666666666666667</v>
      </c>
      <c r="AC34" s="23" t="e">
        <f>(Table13[[#This Row],[% Base]]+Table13[[#This Row],[% Base2]])/2</f>
        <v>#DIV/0!</v>
      </c>
      <c r="AD34" s="18"/>
    </row>
    <row r="35" spans="1:30" ht="15.75" x14ac:dyDescent="0.25">
      <c r="A35" s="17"/>
      <c r="B35" s="11"/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5">
        <f t="shared" si="22"/>
        <v>0.5</v>
      </c>
      <c r="Q35" s="5">
        <f t="shared" si="23"/>
        <v>0</v>
      </c>
      <c r="R35" s="5">
        <f t="shared" si="24"/>
        <v>0.1</v>
      </c>
      <c r="S35" s="8">
        <f t="shared" si="25"/>
        <v>0</v>
      </c>
      <c r="T35" s="5" t="e">
        <f>S35/$S$28</f>
        <v>#DIV/0!</v>
      </c>
      <c r="U35" s="10" t="e">
        <f>$AI$9/Table13[[#This Row],[WoundsÆ]]</f>
        <v>#DIV/0!</v>
      </c>
      <c r="V35" s="6"/>
      <c r="W35" s="5">
        <f t="shared" si="26"/>
        <v>0.5</v>
      </c>
      <c r="X35" s="5">
        <f t="shared" si="27"/>
        <v>0</v>
      </c>
      <c r="Y35" s="5">
        <f t="shared" si="28"/>
        <v>0.1</v>
      </c>
      <c r="Z35" s="8">
        <f>IF(AND(Table13[[#This Row],[Light Weapon      .]]="X",$AI$13&gt;0),0,1*X35*W35*D35+(Y35*D35))</f>
        <v>0</v>
      </c>
      <c r="AA35" s="5" t="e">
        <f>Z35/$Z$28</f>
        <v>#DIV/0!</v>
      </c>
      <c r="AB35" s="24" t="e">
        <f>$AI$9/Table13[[#This Row],[WoundÆ]]</f>
        <v>#DIV/0!</v>
      </c>
      <c r="AC35" s="23" t="e">
        <f>(Table13[[#This Row],[% Base]]+Table13[[#This Row],[% Base2]])/2</f>
        <v>#DIV/0!</v>
      </c>
      <c r="AD35" s="18"/>
    </row>
    <row r="36" spans="1:30" ht="15.75" x14ac:dyDescent="0.25">
      <c r="A36" s="17"/>
      <c r="B36" s="11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5">
        <f t="shared" si="22"/>
        <v>0.5</v>
      </c>
      <c r="Q36" s="5">
        <f t="shared" si="23"/>
        <v>0</v>
      </c>
      <c r="R36" s="5">
        <f t="shared" si="24"/>
        <v>0.1</v>
      </c>
      <c r="S36" s="8">
        <f t="shared" si="25"/>
        <v>0</v>
      </c>
      <c r="T36" s="5" t="e">
        <f>S36/$S$28</f>
        <v>#DIV/0!</v>
      </c>
      <c r="U36" s="10" t="e">
        <f>$AI$9/Table13[[#This Row],[WoundsÆ]]</f>
        <v>#DIV/0!</v>
      </c>
      <c r="V36" s="6"/>
      <c r="W36" s="5">
        <f t="shared" si="26"/>
        <v>0.5</v>
      </c>
      <c r="X36" s="5">
        <f t="shared" si="27"/>
        <v>0</v>
      </c>
      <c r="Y36" s="5">
        <f t="shared" si="28"/>
        <v>0.1</v>
      </c>
      <c r="Z36" s="8">
        <f>IF(AND(Table13[[#This Row],[Light Weapon      .]]="X",$AI$13&gt;0),0,1*X36*W36*D36+(Y36*D36))</f>
        <v>0</v>
      </c>
      <c r="AA36" s="5" t="e">
        <f>Z36/$Z$28</f>
        <v>#DIV/0!</v>
      </c>
      <c r="AB36" s="24" t="e">
        <f>$AI$9/Table13[[#This Row],[WoundÆ]]</f>
        <v>#DIV/0!</v>
      </c>
      <c r="AC36" s="23" t="e">
        <f>(Table13[[#This Row],[% Base]]+Table13[[#This Row],[% Base2]])/2</f>
        <v>#DIV/0!</v>
      </c>
      <c r="AD36" s="18"/>
    </row>
    <row r="37" spans="1:30" ht="15.75" x14ac:dyDescent="0.25">
      <c r="A37" s="17"/>
      <c r="B37" s="11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5">
        <f t="shared" si="22"/>
        <v>0.5</v>
      </c>
      <c r="Q37" s="5">
        <f t="shared" si="23"/>
        <v>0</v>
      </c>
      <c r="R37" s="5">
        <f t="shared" si="24"/>
        <v>0.1</v>
      </c>
      <c r="S37" s="8">
        <f t="shared" si="25"/>
        <v>0</v>
      </c>
      <c r="T37" s="5" t="e">
        <f>S37/$S$28</f>
        <v>#DIV/0!</v>
      </c>
      <c r="U37" s="10" t="e">
        <f>$AI$9/Table13[[#This Row],[WoundsÆ]]</f>
        <v>#DIV/0!</v>
      </c>
      <c r="V37" s="6"/>
      <c r="W37" s="5">
        <f t="shared" si="26"/>
        <v>0.5</v>
      </c>
      <c r="X37" s="5">
        <f t="shared" si="27"/>
        <v>0</v>
      </c>
      <c r="Y37" s="5">
        <f t="shared" si="28"/>
        <v>0.1</v>
      </c>
      <c r="Z37" s="8">
        <f>IF(AND(Table13[[#This Row],[Light Weapon      .]]="X",$AI$13&gt;0),0,1*X37*W37*D37+(Y37*D37))</f>
        <v>0</v>
      </c>
      <c r="AA37" s="5" t="e">
        <f>Z37/$Z$28</f>
        <v>#DIV/0!</v>
      </c>
      <c r="AB37" s="24" t="e">
        <f>$AI$9/Table13[[#This Row],[WoundÆ]]</f>
        <v>#DIV/0!</v>
      </c>
      <c r="AC37" s="23" t="e">
        <f>(Table13[[#This Row],[% Base]]+Table13[[#This Row],[% Base2]])/2</f>
        <v>#DIV/0!</v>
      </c>
      <c r="AD37" s="18"/>
    </row>
    <row r="38" spans="1:30" ht="15.75" x14ac:dyDescent="0.25">
      <c r="A38" s="17"/>
      <c r="B38" s="11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5">
        <f t="shared" si="22"/>
        <v>0.5</v>
      </c>
      <c r="Q38" s="5">
        <f t="shared" si="23"/>
        <v>0</v>
      </c>
      <c r="R38" s="5">
        <f t="shared" si="24"/>
        <v>0.1</v>
      </c>
      <c r="S38" s="8">
        <f t="shared" si="25"/>
        <v>0</v>
      </c>
      <c r="T38" s="5" t="e">
        <f>S38/$S$28</f>
        <v>#DIV/0!</v>
      </c>
      <c r="U38" s="10" t="e">
        <f>$AI$9/Table13[[#This Row],[WoundsÆ]]</f>
        <v>#DIV/0!</v>
      </c>
      <c r="V38" s="6"/>
      <c r="W38" s="5">
        <f t="shared" si="26"/>
        <v>0.5</v>
      </c>
      <c r="X38" s="5">
        <f t="shared" si="27"/>
        <v>0</v>
      </c>
      <c r="Y38" s="5">
        <f t="shared" si="28"/>
        <v>0.1</v>
      </c>
      <c r="Z38" s="8">
        <f>IF(AND(Table13[[#This Row],[Light Weapon      .]]="X",$AI$13&gt;0),0,1*X38*W38*D38+(Y38*D38))</f>
        <v>0</v>
      </c>
      <c r="AA38" s="5" t="e">
        <f>Z38/$Z$28</f>
        <v>#DIV/0!</v>
      </c>
      <c r="AB38" s="24" t="e">
        <f>$AI$9/Table13[[#This Row],[WoundÆ]]</f>
        <v>#DIV/0!</v>
      </c>
      <c r="AC38" s="23" t="e">
        <f>(Table13[[#This Row],[% Base]]+Table13[[#This Row],[% Base2]])/2</f>
        <v>#DIV/0!</v>
      </c>
      <c r="AD38" s="18"/>
    </row>
    <row r="39" spans="1:30" ht="15.75" x14ac:dyDescent="0.25">
      <c r="A39" s="17"/>
      <c r="B39" s="11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5">
        <f t="shared" si="22"/>
        <v>0.5</v>
      </c>
      <c r="Q39" s="5">
        <f t="shared" si="23"/>
        <v>0</v>
      </c>
      <c r="R39" s="5">
        <f t="shared" si="24"/>
        <v>0.1</v>
      </c>
      <c r="S39" s="8">
        <f t="shared" si="25"/>
        <v>0</v>
      </c>
      <c r="T39" s="5" t="e">
        <f>S39/$S$28</f>
        <v>#DIV/0!</v>
      </c>
      <c r="U39" s="10" t="e">
        <f>$AI$9/Table13[[#This Row],[WoundsÆ]]</f>
        <v>#DIV/0!</v>
      </c>
      <c r="V39" s="6"/>
      <c r="W39" s="5">
        <f t="shared" si="26"/>
        <v>0.5</v>
      </c>
      <c r="X39" s="5">
        <f t="shared" si="27"/>
        <v>0</v>
      </c>
      <c r="Y39" s="5">
        <f t="shared" si="28"/>
        <v>0.1</v>
      </c>
      <c r="Z39" s="8">
        <f>IF(AND(Table13[[#This Row],[Light Weapon      .]]="X",$AI$13&gt;0),0,1*X39*W39*D39+(Y39*D39))</f>
        <v>0</v>
      </c>
      <c r="AA39" s="5" t="e">
        <f>Z39/$Z$28</f>
        <v>#DIV/0!</v>
      </c>
      <c r="AB39" s="24" t="e">
        <f>$AI$9/Table13[[#This Row],[WoundÆ]]</f>
        <v>#DIV/0!</v>
      </c>
      <c r="AC39" s="23" t="e">
        <f>(Table13[[#This Row],[% Base]]+Table13[[#This Row],[% Base2]])/2</f>
        <v>#DIV/0!</v>
      </c>
      <c r="AD39" s="18"/>
    </row>
    <row r="40" spans="1:30" ht="15.75" x14ac:dyDescent="0.25">
      <c r="A40" s="17"/>
      <c r="B40" s="11"/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3"/>
      <c r="Q40" s="13"/>
      <c r="R40" s="13"/>
      <c r="S40" s="14"/>
      <c r="T40" s="13"/>
      <c r="U40" s="15"/>
      <c r="V40" s="16"/>
      <c r="W40" s="13"/>
      <c r="X40" s="13"/>
      <c r="Y40" s="13"/>
      <c r="Z40" s="14"/>
      <c r="AA40" s="13"/>
      <c r="AB40" s="15"/>
      <c r="AC40" s="13"/>
      <c r="AD40" s="18"/>
    </row>
    <row r="41" spans="1:30" ht="15.75" x14ac:dyDescent="0.25">
      <c r="A41" s="17"/>
      <c r="B41" s="11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3"/>
      <c r="Q41" s="13"/>
      <c r="R41" s="13"/>
      <c r="S41" s="14"/>
      <c r="T41" s="13"/>
      <c r="U41" s="15"/>
      <c r="V41" s="16"/>
      <c r="W41" s="13"/>
      <c r="X41" s="13"/>
      <c r="Y41" s="13"/>
      <c r="Z41" s="14"/>
      <c r="AA41" s="13"/>
      <c r="AB41" s="15"/>
      <c r="AC41" s="13"/>
      <c r="AD41" s="18"/>
    </row>
    <row r="42" spans="1:30" ht="15.75" x14ac:dyDescent="0.25">
      <c r="A42" s="17"/>
      <c r="B42" s="11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3"/>
      <c r="Q42" s="13"/>
      <c r="R42" s="13"/>
      <c r="S42" s="14"/>
      <c r="T42" s="13"/>
      <c r="U42" s="15"/>
      <c r="V42" s="16"/>
      <c r="W42" s="13"/>
      <c r="X42" s="13"/>
      <c r="Y42" s="13"/>
      <c r="Z42" s="14"/>
      <c r="AA42" s="13"/>
      <c r="AB42" s="15"/>
      <c r="AC42" s="13"/>
      <c r="AD42" s="18"/>
    </row>
    <row r="43" spans="1:30" ht="15.75" x14ac:dyDescent="0.25">
      <c r="A43" s="17"/>
      <c r="B43" s="11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3"/>
      <c r="Q43" s="13"/>
      <c r="R43" s="13"/>
      <c r="S43" s="14"/>
      <c r="T43" s="13"/>
      <c r="U43" s="15"/>
      <c r="V43" s="16"/>
      <c r="W43" s="13"/>
      <c r="X43" s="13"/>
      <c r="Y43" s="13"/>
      <c r="Z43" s="14"/>
      <c r="AA43" s="13"/>
      <c r="AB43" s="15"/>
      <c r="AC43" s="13"/>
      <c r="AD43" s="18"/>
    </row>
    <row r="44" spans="1:30" ht="15.75" x14ac:dyDescent="0.25">
      <c r="A44" s="17"/>
      <c r="B44" s="11"/>
      <c r="C44" s="1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3"/>
      <c r="Q44" s="13"/>
      <c r="R44" s="13"/>
      <c r="S44" s="14"/>
      <c r="T44" s="13"/>
      <c r="U44" s="15"/>
      <c r="V44" s="16"/>
      <c r="W44" s="13"/>
      <c r="X44" s="13"/>
      <c r="Y44" s="13"/>
      <c r="Z44" s="14"/>
      <c r="AA44" s="13"/>
      <c r="AB44" s="15"/>
      <c r="AC44" s="13"/>
      <c r="AD44" s="18"/>
    </row>
    <row r="45" spans="1:30" ht="15.75" x14ac:dyDescent="0.25">
      <c r="A45" s="19"/>
      <c r="B45" s="11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3"/>
      <c r="Q45" s="13"/>
      <c r="R45" s="13"/>
      <c r="S45" s="14"/>
      <c r="T45" s="13"/>
      <c r="U45" s="15"/>
      <c r="V45" s="16"/>
      <c r="W45" s="13"/>
      <c r="X45" s="13"/>
      <c r="Y45" s="13"/>
      <c r="Z45" s="14"/>
      <c r="AA45" s="13"/>
      <c r="AB45" s="15"/>
      <c r="AC45" s="13"/>
      <c r="AD45" s="18"/>
    </row>
    <row r="46" spans="1:30" ht="15.75" x14ac:dyDescent="0.25">
      <c r="A46" s="17"/>
      <c r="B46" s="11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3"/>
      <c r="Q46" s="13"/>
      <c r="R46" s="13"/>
      <c r="S46" s="14"/>
      <c r="T46" s="13"/>
      <c r="U46" s="15"/>
      <c r="V46" s="16"/>
      <c r="W46" s="13"/>
      <c r="X46" s="13"/>
      <c r="Y46" s="13"/>
      <c r="Z46" s="14"/>
      <c r="AA46" s="13"/>
      <c r="AB46" s="15"/>
      <c r="AC46" s="13"/>
      <c r="AD46" s="18"/>
    </row>
    <row r="47" spans="1:30" ht="15.75" x14ac:dyDescent="0.25">
      <c r="A47" s="17"/>
      <c r="B47" s="11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3"/>
      <c r="Q47" s="13"/>
      <c r="R47" s="13"/>
      <c r="S47" s="14"/>
      <c r="T47" s="13"/>
      <c r="U47" s="15"/>
      <c r="V47" s="16"/>
      <c r="W47" s="13"/>
      <c r="X47" s="13"/>
      <c r="Y47" s="13"/>
      <c r="Z47" s="14"/>
      <c r="AA47" s="13"/>
      <c r="AB47" s="15"/>
      <c r="AC47" s="13"/>
      <c r="AD47" s="18"/>
    </row>
    <row r="48" spans="1:30" ht="15.75" x14ac:dyDescent="0.25">
      <c r="A48" s="17"/>
      <c r="B48" s="11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3"/>
      <c r="Q48" s="13"/>
      <c r="R48" s="13"/>
      <c r="S48" s="14"/>
      <c r="T48" s="13"/>
      <c r="U48" s="15"/>
      <c r="V48" s="16"/>
      <c r="W48" s="13"/>
      <c r="X48" s="13"/>
      <c r="Y48" s="13"/>
      <c r="Z48" s="14"/>
      <c r="AA48" s="13"/>
      <c r="AB48" s="15"/>
      <c r="AC48" s="13"/>
      <c r="AD48" s="18"/>
    </row>
    <row r="49" spans="1:30" ht="15.75" x14ac:dyDescent="0.25">
      <c r="A49" s="17"/>
      <c r="B49" s="11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3"/>
      <c r="Q49" s="13"/>
      <c r="R49" s="13"/>
      <c r="S49" s="14"/>
      <c r="T49" s="13"/>
      <c r="U49" s="15"/>
      <c r="V49" s="16"/>
      <c r="W49" s="13"/>
      <c r="X49" s="13"/>
      <c r="Y49" s="13"/>
      <c r="Z49" s="14"/>
      <c r="AA49" s="13"/>
      <c r="AB49" s="15"/>
      <c r="AC49" s="13"/>
      <c r="AD49" s="18"/>
    </row>
    <row r="50" spans="1:30" ht="15.75" x14ac:dyDescent="0.25">
      <c r="A50" s="17"/>
      <c r="B50" s="11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3"/>
      <c r="Q50" s="13"/>
      <c r="R50" s="13"/>
      <c r="S50" s="14"/>
      <c r="T50" s="13"/>
      <c r="U50" s="15"/>
      <c r="V50" s="16"/>
      <c r="W50" s="13"/>
      <c r="X50" s="13"/>
      <c r="Y50" s="13"/>
      <c r="Z50" s="14"/>
      <c r="AA50" s="13"/>
      <c r="AB50" s="15"/>
      <c r="AC50" s="13"/>
      <c r="AD50" s="18"/>
    </row>
    <row r="51" spans="1:30" ht="15.75" x14ac:dyDescent="0.25">
      <c r="A51" s="17"/>
      <c r="B51" s="11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3"/>
      <c r="Q51" s="13"/>
      <c r="R51" s="13"/>
      <c r="S51" s="14"/>
      <c r="T51" s="13"/>
      <c r="U51" s="15"/>
      <c r="V51" s="16"/>
      <c r="W51" s="13"/>
      <c r="X51" s="13"/>
      <c r="Y51" s="13"/>
      <c r="Z51" s="14"/>
      <c r="AA51" s="13"/>
      <c r="AB51" s="15"/>
      <c r="AC51" s="13"/>
      <c r="AD51" s="18"/>
    </row>
    <row r="52" spans="1:30" ht="15.75" x14ac:dyDescent="0.25">
      <c r="A52" s="18"/>
      <c r="B52" s="11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3"/>
      <c r="Q52" s="13"/>
      <c r="R52" s="13"/>
      <c r="S52" s="14"/>
      <c r="T52" s="13"/>
      <c r="U52" s="15"/>
      <c r="V52" s="16"/>
      <c r="W52" s="13"/>
      <c r="X52" s="13"/>
      <c r="Y52" s="13"/>
      <c r="Z52" s="14"/>
      <c r="AA52" s="13"/>
      <c r="AB52" s="15"/>
      <c r="AC52" s="13"/>
      <c r="AD52" s="18"/>
    </row>
    <row r="53" spans="1:30" ht="15.75" customHeight="1" x14ac:dyDescent="0.25">
      <c r="A53" s="17"/>
      <c r="B53" s="11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3"/>
      <c r="Q53" s="13"/>
      <c r="R53" s="13"/>
      <c r="S53" s="14"/>
      <c r="T53" s="13"/>
      <c r="U53" s="15"/>
      <c r="V53" s="16"/>
      <c r="W53" s="13"/>
      <c r="X53" s="13"/>
      <c r="Y53" s="13"/>
      <c r="Z53" s="14"/>
      <c r="AA53" s="13"/>
      <c r="AB53" s="15"/>
      <c r="AC53" s="13"/>
      <c r="AD53" s="18"/>
    </row>
    <row r="54" spans="1:30" ht="15.75" x14ac:dyDescent="0.25">
      <c r="A54" s="17"/>
      <c r="B54" s="20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6"/>
      <c r="Q54" s="13"/>
      <c r="R54" s="13"/>
      <c r="S54" s="14"/>
      <c r="T54" s="13"/>
      <c r="U54" s="15"/>
      <c r="V54" s="16"/>
      <c r="W54" s="16"/>
      <c r="X54" s="13"/>
      <c r="Y54" s="13"/>
      <c r="Z54" s="14"/>
      <c r="AA54" s="13"/>
      <c r="AB54" s="15"/>
      <c r="AC54" s="13"/>
      <c r="AD54" s="18"/>
    </row>
    <row r="55" spans="1:30" ht="15.75" x14ac:dyDescent="0.25">
      <c r="A55" s="17"/>
      <c r="B55" s="11"/>
      <c r="C55" s="1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3"/>
      <c r="Q55" s="13"/>
      <c r="R55" s="13"/>
      <c r="S55" s="14"/>
      <c r="T55" s="13"/>
      <c r="U55" s="21"/>
      <c r="V55" s="16"/>
      <c r="W55" s="16"/>
      <c r="X55" s="13"/>
      <c r="Y55" s="13"/>
      <c r="Z55" s="14"/>
      <c r="AA55" s="13"/>
      <c r="AB55" s="15"/>
      <c r="AC55" s="13"/>
      <c r="AD55" s="18"/>
    </row>
    <row r="56" spans="1:30" ht="15.75" x14ac:dyDescent="0.25">
      <c r="A56" s="17"/>
      <c r="B56" s="11"/>
      <c r="C56" s="1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6"/>
      <c r="Q56" s="13"/>
      <c r="R56" s="13"/>
      <c r="S56" s="14"/>
      <c r="T56" s="13"/>
      <c r="U56" s="15"/>
      <c r="V56" s="16"/>
      <c r="W56" s="16"/>
      <c r="X56" s="13"/>
      <c r="Y56" s="13"/>
      <c r="Z56" s="14"/>
      <c r="AA56" s="13"/>
      <c r="AB56" s="15"/>
      <c r="AC56" s="13"/>
      <c r="AD56" s="18"/>
    </row>
    <row r="57" spans="1:30" ht="15.75" x14ac:dyDescent="0.25">
      <c r="A57" s="17"/>
      <c r="B57" s="11"/>
      <c r="C57" s="12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6"/>
      <c r="Q57" s="13"/>
      <c r="R57" s="13"/>
      <c r="S57" s="14"/>
      <c r="T57" s="13"/>
      <c r="U57" s="15"/>
      <c r="V57" s="16"/>
      <c r="W57" s="16"/>
      <c r="X57" s="13"/>
      <c r="Y57" s="13"/>
      <c r="Z57" s="14"/>
      <c r="AA57" s="13"/>
      <c r="AB57" s="15"/>
      <c r="AC57" s="13"/>
      <c r="AD57" s="18"/>
    </row>
    <row r="58" spans="1:30" ht="15.75" x14ac:dyDescent="0.25">
      <c r="A58" s="17"/>
      <c r="B58" s="11"/>
      <c r="C58" s="1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3"/>
      <c r="Q58" s="13"/>
      <c r="R58" s="13"/>
      <c r="S58" s="14"/>
      <c r="T58" s="13"/>
      <c r="U58" s="21"/>
      <c r="V58" s="16"/>
      <c r="W58" s="13"/>
      <c r="X58" s="13"/>
      <c r="Y58" s="13"/>
      <c r="Z58" s="14"/>
      <c r="AA58" s="13"/>
      <c r="AB58" s="22"/>
      <c r="AC58" s="13"/>
      <c r="AD58" s="18"/>
    </row>
    <row r="59" spans="1:30" ht="15.75" x14ac:dyDescent="0.25">
      <c r="A59" s="17"/>
      <c r="B59" s="11"/>
      <c r="C59" s="1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3"/>
      <c r="Q59" s="13"/>
      <c r="R59" s="13"/>
      <c r="S59" s="14"/>
      <c r="T59" s="13"/>
      <c r="U59" s="15"/>
      <c r="V59" s="16"/>
      <c r="W59" s="13"/>
      <c r="X59" s="13"/>
      <c r="Y59" s="13"/>
      <c r="Z59" s="14"/>
      <c r="AA59" s="13"/>
      <c r="AB59" s="22"/>
      <c r="AC59" s="13"/>
      <c r="AD59" s="18"/>
    </row>
    <row r="60" spans="1:30" ht="15.75" x14ac:dyDescent="0.25">
      <c r="A60" s="17"/>
      <c r="B60" s="11"/>
      <c r="C60" s="1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3"/>
      <c r="Q60" s="13"/>
      <c r="R60" s="13"/>
      <c r="S60" s="14"/>
      <c r="T60" s="13"/>
      <c r="U60" s="15"/>
      <c r="V60" s="16"/>
      <c r="W60" s="13"/>
      <c r="X60" s="13"/>
      <c r="Y60" s="13"/>
      <c r="Z60" s="14"/>
      <c r="AA60" s="13"/>
      <c r="AB60" s="22"/>
      <c r="AC60" s="13"/>
      <c r="AD60" s="18"/>
    </row>
    <row r="61" spans="1:30" ht="15.75" x14ac:dyDescent="0.25">
      <c r="A61" s="17"/>
      <c r="B61" s="11"/>
      <c r="C61" s="1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3"/>
      <c r="Q61" s="13"/>
      <c r="R61" s="13"/>
      <c r="S61" s="14"/>
      <c r="T61" s="13"/>
      <c r="U61" s="15"/>
      <c r="V61" s="16"/>
      <c r="W61" s="13"/>
      <c r="X61" s="13"/>
      <c r="Y61" s="13"/>
      <c r="Z61" s="14"/>
      <c r="AA61" s="13"/>
      <c r="AB61" s="22"/>
      <c r="AC61" s="13"/>
      <c r="AD61" s="18"/>
    </row>
    <row r="62" spans="1:30" ht="15.75" x14ac:dyDescent="0.25">
      <c r="A62" s="17"/>
      <c r="B62" s="11"/>
      <c r="C62" s="1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3"/>
      <c r="Q62" s="13"/>
      <c r="R62" s="13"/>
      <c r="S62" s="14"/>
      <c r="T62" s="13"/>
      <c r="U62" s="21"/>
      <c r="V62" s="16"/>
      <c r="W62" s="13"/>
      <c r="X62" s="13"/>
      <c r="Y62" s="13"/>
      <c r="Z62" s="14"/>
      <c r="AA62" s="13"/>
      <c r="AB62" s="22"/>
      <c r="AC62" s="13"/>
      <c r="AD62" s="18"/>
    </row>
    <row r="63" spans="1:30" ht="15.75" x14ac:dyDescent="0.25">
      <c r="A63" s="17"/>
      <c r="B63" s="11"/>
      <c r="C63" s="1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3"/>
      <c r="Q63" s="13"/>
      <c r="R63" s="13"/>
      <c r="S63" s="14"/>
      <c r="T63" s="13"/>
      <c r="U63" s="21"/>
      <c r="V63" s="16"/>
      <c r="W63" s="13"/>
      <c r="X63" s="13"/>
      <c r="Y63" s="13"/>
      <c r="Z63" s="14"/>
      <c r="AA63" s="13"/>
      <c r="AB63" s="22"/>
      <c r="AC63" s="13"/>
      <c r="AD63" s="18"/>
    </row>
    <row r="64" spans="1:30" ht="15.75" x14ac:dyDescent="0.25">
      <c r="A64" s="17"/>
      <c r="B64" s="11"/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3"/>
      <c r="Q64" s="13"/>
      <c r="R64" s="13"/>
      <c r="S64" s="14"/>
      <c r="T64" s="13"/>
      <c r="U64" s="21"/>
      <c r="V64" s="16"/>
      <c r="W64" s="13"/>
      <c r="X64" s="13"/>
      <c r="Y64" s="13"/>
      <c r="Z64" s="14"/>
      <c r="AA64" s="13"/>
      <c r="AB64" s="22"/>
      <c r="AC64" s="13"/>
      <c r="AD64" s="18"/>
    </row>
    <row r="65" spans="1:30" ht="15.75" x14ac:dyDescent="0.25">
      <c r="A65" s="18"/>
      <c r="B65" s="11"/>
      <c r="C65" s="1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3"/>
      <c r="Q65" s="13"/>
      <c r="R65" s="13"/>
      <c r="S65" s="14"/>
      <c r="T65" s="13"/>
      <c r="U65" s="21"/>
      <c r="V65" s="16"/>
      <c r="W65" s="13"/>
      <c r="X65" s="13"/>
      <c r="Y65" s="13"/>
      <c r="Z65" s="14"/>
      <c r="AA65" s="13"/>
      <c r="AB65" s="22"/>
      <c r="AC65" s="13"/>
      <c r="AD65" s="18"/>
    </row>
    <row r="66" spans="1:30" ht="15.75" x14ac:dyDescent="0.25">
      <c r="B66" s="11"/>
      <c r="C66" s="1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3"/>
      <c r="Q66" s="13"/>
      <c r="R66" s="13"/>
      <c r="S66" s="14"/>
      <c r="T66" s="13"/>
      <c r="U66" s="21"/>
      <c r="V66" s="16"/>
      <c r="W66" s="13"/>
      <c r="X66" s="13"/>
      <c r="Y66" s="13"/>
      <c r="Z66" s="14"/>
      <c r="AA66" s="13"/>
      <c r="AB66" s="22"/>
      <c r="AC66" s="13"/>
    </row>
  </sheetData>
  <mergeCells count="3">
    <mergeCell ref="B2:E2"/>
    <mergeCell ref="P2:S2"/>
    <mergeCell ref="W2:Z2"/>
  </mergeCells>
  <conditionalFormatting sqref="AB5:AB11 U5:U11 U13:U999 AB13:AB999">
    <cfRule type="colorScale" priority="3">
      <colorScale>
        <cfvo type="num" val="1"/>
        <cfvo type="num" val="2"/>
        <cfvo type="num" val="8"/>
        <color rgb="FF00B050"/>
        <color rgb="FFFFFF00"/>
        <color rgb="FFFF0000"/>
      </colorScale>
    </cfRule>
  </conditionalFormatting>
  <conditionalFormatting sqref="AA5:AA11 T5:T11 T13:T999 AA13:AA999">
    <cfRule type="colorScale" priority="2">
      <colorScale>
        <cfvo type="num" val="0.5"/>
        <cfvo type="num" val="1"/>
        <cfvo type="num" val="2"/>
        <color rgb="FFFF0000"/>
        <color rgb="FFFFFF00"/>
        <color rgb="FF00B050"/>
      </colorScale>
    </cfRule>
  </conditionalFormatting>
  <conditionalFormatting sqref="AC5:AC11 AC13:AC998">
    <cfRule type="colorScale" priority="1">
      <colorScale>
        <cfvo type="num" val="0.5"/>
        <cfvo type="formula" val="1"/>
        <cfvo type="num" val="2"/>
        <color rgb="FFFF0000"/>
        <color rgb="FFFFFF00"/>
        <color rgb="FF00B050"/>
      </colorScale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Space Marines</vt:lpstr>
      <vt:lpstr>Chaos Space Marines</vt:lpstr>
      <vt:lpstr>Eldar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Schwalb</dc:creator>
  <cp:lastModifiedBy>Benjamin Schwalb</cp:lastModifiedBy>
  <dcterms:created xsi:type="dcterms:W3CDTF">2016-01-10T10:06:18Z</dcterms:created>
  <dcterms:modified xsi:type="dcterms:W3CDTF">2016-04-11T21:25:47Z</dcterms:modified>
</cp:coreProperties>
</file>