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icracuk.sharepoint.com/sites/TranslationalGeneticsTeam/Shared Documents/Projects/PRS/1_PAN_CANCER_PAPER/5_LANCET_ONC_SUBMISSION/RESUBMISSION_3/SUPP_TABLES_ON_GITLAB/"/>
    </mc:Choice>
  </mc:AlternateContent>
  <xr:revisionPtr revIDLastSave="11" documentId="8_{A2EDEB49-6E95-E84D-9334-02E8A8804762}" xr6:coauthVersionLast="47" xr6:coauthVersionMax="47" xr10:uidLastSave="{298B8F88-6746-6443-AEA6-D6AC85713F43}"/>
  <bookViews>
    <workbookView xWindow="28800" yWindow="-1420" windowWidth="38400" windowHeight="21100" firstSheet="2" activeTab="11" xr2:uid="{01B18C56-12DC-114B-AE8A-547B3DE6EE95}"/>
  </bookViews>
  <sheets>
    <sheet name="SupTables Overview" sheetId="69" r:id="rId1"/>
    <sheet name="S3 - Screening Tool Metrics" sheetId="4" r:id="rId2"/>
    <sheet name="S4 - Summ PRS Characteristics" sheetId="1" r:id="rId3"/>
    <sheet name="S5 - Lifetime Risks" sheetId="65" r:id="rId4"/>
    <sheet name="S6a - Cancers Detected" sheetId="21" r:id="rId5"/>
    <sheet name="S6b - Cancers Detected" sheetId="42" r:id="rId6"/>
    <sheet name="S6c - Cancers Detected" sheetId="33" r:id="rId7"/>
    <sheet name="S7a - Cancers Detected" sheetId="36" r:id="rId8"/>
    <sheet name="S7b - Cancers Detected" sheetId="43" r:id="rId9"/>
    <sheet name="S7c - Cancers Detected" sheetId="37" r:id="rId10"/>
    <sheet name="S8 - Survival" sheetId="86" r:id="rId11"/>
    <sheet name="S9 - Multimodal PRS-tools" sheetId="83" r:id="rId12"/>
    <sheet name="App1 - PRS % Ca Calculator" sheetId="28" state="hidden" r:id="rId13"/>
    <sheet name="App2 - ORs Top vs. Bottom" sheetId="35" state="hidden" r:id="rId14"/>
    <sheet name="App3 - Inci Mort Data" sheetId="27" state="hidden" r:id="rId15"/>
    <sheet name="App4 - Life Risk Calculator" sheetId="26" state="hidden" r:id="rId16"/>
    <sheet name="App5 - CRUK Inci Rates" sheetId="10" state="hidden" r:id="rId17"/>
    <sheet name="App6 - Stage-Route-Surv Data" sheetId="16" state="hidden" r:id="rId18"/>
    <sheet name="App7 - PopSize_Calcs" sheetId="74" state="hidden" r:id="rId19"/>
    <sheet name="App8a - 2YR_Breast_48_49" sheetId="77" state="hidden" r:id="rId20"/>
    <sheet name="App8b - 2YR_Prostate_58_59" sheetId="78" state="hidden" r:id="rId21"/>
    <sheet name="App8c - 2YR_Prostate_68_69" sheetId="79" state="hidden" r:id="rId22"/>
    <sheet name="App8d - 2YR_CRC_58_59" sheetId="80" state="hidden" r:id="rId23"/>
  </sheets>
  <externalReferences>
    <externalReference r:id="rId24"/>
  </externalReferences>
  <definedNames>
    <definedName name="_xlnm._FilterDatabase" localSheetId="16" hidden="1">'App5 - CRUK Inci Rates'!$A$1:$I$288</definedName>
    <definedName name="_xlnm._FilterDatabase" localSheetId="2" hidden="1">'S4 - Summ PRS Characteristics'!#REF!</definedName>
    <definedName name="_xlnm._FilterDatabase" localSheetId="4" hidden="1">'S6a - Cancers Detected'!$B$6:$AM$150</definedName>
    <definedName name="_xlnm._FilterDatabase" localSheetId="5" hidden="1">'S6b - Cancers Detected'!$B$6:$AM$151</definedName>
    <definedName name="_xlnm._FilterDatabase" localSheetId="6" hidden="1">'S6c - Cancers Detected'!$B$6:$AM$151</definedName>
    <definedName name="_xlnm._FilterDatabase" localSheetId="7" hidden="1">'S7a - Cancers Detected'!$B$6:$AM$151</definedName>
    <definedName name="_xlnm._FilterDatabase" localSheetId="8" hidden="1">'S7b - Cancers Detected'!$B$6:$AM$135</definedName>
    <definedName name="_xlnm._FilterDatabase" localSheetId="9" hidden="1">'S7c - Cancers Detected'!$B$6:$AM$151</definedName>
    <definedName name="Bladder_sensitivity" localSheetId="10">#REF!</definedName>
    <definedName name="Bladder_sensitivity">#REF!</definedName>
    <definedName name="Breast_sensitivity" localSheetId="3">[1]Sheet1!$D$2:$D$5</definedName>
    <definedName name="Breast_sensitivity" localSheetId="10">#REF!</definedName>
    <definedName name="Breast_sensitivity">#REF!</definedName>
    <definedName name="CLL_sensitivity" localSheetId="3">[1]Sheet1!$J$2</definedName>
    <definedName name="CLL_sensitivity" localSheetId="10">#REF!</definedName>
    <definedName name="CLL_sensitivity">#REF!</definedName>
    <definedName name="Colorectal_Sensitivity" localSheetId="3">[1]Sheet1!$A$2:$A$6</definedName>
    <definedName name="Colorectal_Sensitivity" localSheetId="10">#REF!</definedName>
    <definedName name="Colorectal_Sensitivity">#REF!</definedName>
    <definedName name="Kidney_sensitivity" localSheetId="3">[1]Sheet1!$H$2:$H$3</definedName>
    <definedName name="Kidney_sensitivity" localSheetId="10">#REF!</definedName>
    <definedName name="Kidney_sensitivity">#REF!</definedName>
    <definedName name="Lung_sensitivity" localSheetId="3">[1]Sheet1!$C$2:$C$3</definedName>
    <definedName name="Lung_sensitivity" localSheetId="10">#REF!</definedName>
    <definedName name="Lung_sensitivity">#REF!</definedName>
    <definedName name="Ovary_sensitivity" localSheetId="3">[1]Sheet1!$E$2:$E$5</definedName>
    <definedName name="Ovary_sensitivity" localSheetId="10">#REF!</definedName>
    <definedName name="Ovary_sensitivity">#REF!</definedName>
    <definedName name="Pancreas_Sensitivity" localSheetId="3">[1]Sheet1!$B$2:$B$5</definedName>
    <definedName name="Pancreas_Sensitivity" localSheetId="10">#REF!</definedName>
    <definedName name="Pancreas_Sensitivity">#REF!</definedName>
    <definedName name="Prostate_sensitivity" localSheetId="3">[1]Sheet1!$F$2:$F$5</definedName>
    <definedName name="Prostate_sensitivity" localSheetId="10">#REF!</definedName>
    <definedName name="Prostate_sensitivity">#REF!</definedName>
    <definedName name="Testis_sensitivity" localSheetId="3">[1]Sheet1!$G$2:$G$3</definedName>
    <definedName name="Testis_sensitivity" localSheetId="10">#REF!</definedName>
    <definedName name="Testis_sensitivit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86" l="1"/>
  <c r="C16" i="86"/>
  <c r="C17" i="86"/>
  <c r="C18" i="86"/>
  <c r="C19" i="86"/>
  <c r="G174" i="86" l="1"/>
  <c r="H174" i="86"/>
  <c r="G176" i="86"/>
  <c r="H176" i="86"/>
  <c r="G177" i="86"/>
  <c r="H177" i="86"/>
  <c r="G179" i="86"/>
  <c r="H179" i="86"/>
  <c r="G180" i="86"/>
  <c r="H180" i="86"/>
  <c r="I179" i="86"/>
  <c r="J179" i="86"/>
  <c r="K179" i="86" s="1"/>
  <c r="L179" i="86"/>
  <c r="J180" i="86"/>
  <c r="I176" i="86"/>
  <c r="H213" i="86"/>
  <c r="H182" i="86"/>
  <c r="H231" i="86"/>
  <c r="G231" i="86"/>
  <c r="F231" i="86"/>
  <c r="E231" i="86"/>
  <c r="H230" i="86"/>
  <c r="G230" i="86"/>
  <c r="F230" i="86"/>
  <c r="E230" i="86"/>
  <c r="C230" i="86"/>
  <c r="C231" i="86" s="1"/>
  <c r="H229" i="86"/>
  <c r="G229" i="86"/>
  <c r="F229" i="86"/>
  <c r="E229" i="86"/>
  <c r="H227" i="86"/>
  <c r="G227" i="86"/>
  <c r="F227" i="86"/>
  <c r="E227" i="86"/>
  <c r="H226" i="86"/>
  <c r="G226" i="86"/>
  <c r="F226" i="86"/>
  <c r="E226" i="86"/>
  <c r="H225" i="86"/>
  <c r="G225" i="86"/>
  <c r="F225" i="86"/>
  <c r="E225" i="86"/>
  <c r="H224" i="86"/>
  <c r="G224" i="86"/>
  <c r="F224" i="86"/>
  <c r="E224" i="86"/>
  <c r="H223" i="86"/>
  <c r="G223" i="86"/>
  <c r="F223" i="86"/>
  <c r="E223" i="86"/>
  <c r="C223" i="86"/>
  <c r="C224" i="86" s="1"/>
  <c r="C225" i="86" s="1"/>
  <c r="C226" i="86" s="1"/>
  <c r="C227" i="86" s="1"/>
  <c r="H222" i="86"/>
  <c r="G222" i="86"/>
  <c r="F222" i="86"/>
  <c r="E222" i="86"/>
  <c r="H220" i="86"/>
  <c r="G220" i="86"/>
  <c r="F220" i="86"/>
  <c r="E220" i="86"/>
  <c r="H219" i="86"/>
  <c r="G219" i="86"/>
  <c r="F219" i="86"/>
  <c r="E219" i="86"/>
  <c r="H218" i="86"/>
  <c r="G218" i="86"/>
  <c r="F218" i="86"/>
  <c r="E218" i="86"/>
  <c r="H217" i="86"/>
  <c r="G217" i="86"/>
  <c r="F217" i="86"/>
  <c r="E217" i="86"/>
  <c r="H216" i="86"/>
  <c r="G216" i="86"/>
  <c r="F216" i="86"/>
  <c r="E216" i="86"/>
  <c r="C216" i="86"/>
  <c r="C217" i="86" s="1"/>
  <c r="C218" i="86" s="1"/>
  <c r="C219" i="86" s="1"/>
  <c r="C220" i="86" s="1"/>
  <c r="H215" i="86"/>
  <c r="G215" i="86"/>
  <c r="F215" i="86"/>
  <c r="E215" i="86"/>
  <c r="G213" i="86"/>
  <c r="F213" i="86"/>
  <c r="E213" i="86"/>
  <c r="H212" i="86"/>
  <c r="G212" i="86"/>
  <c r="F212" i="86"/>
  <c r="E212" i="86"/>
  <c r="C212" i="86"/>
  <c r="C213" i="86" s="1"/>
  <c r="H211" i="86"/>
  <c r="G211" i="86"/>
  <c r="F211" i="86"/>
  <c r="E211" i="86"/>
  <c r="L209" i="86"/>
  <c r="K209" i="86"/>
  <c r="I209" i="86"/>
  <c r="H209" i="86"/>
  <c r="G209" i="86"/>
  <c r="W209" i="86" s="1"/>
  <c r="F209" i="86"/>
  <c r="E209" i="86"/>
  <c r="H208" i="86"/>
  <c r="G208" i="86"/>
  <c r="W208" i="86" s="1"/>
  <c r="F208" i="86"/>
  <c r="E208" i="86"/>
  <c r="C208" i="86"/>
  <c r="C209" i="86" s="1"/>
  <c r="H207" i="86"/>
  <c r="G207" i="86"/>
  <c r="W207" i="86" s="1"/>
  <c r="F207" i="86"/>
  <c r="E207" i="86"/>
  <c r="L205" i="86"/>
  <c r="K205" i="86"/>
  <c r="I205" i="86"/>
  <c r="H205" i="86"/>
  <c r="G205" i="86"/>
  <c r="W205" i="86" s="1"/>
  <c r="F205" i="86"/>
  <c r="E205" i="86"/>
  <c r="H204" i="86"/>
  <c r="G204" i="86"/>
  <c r="W204" i="86" s="1"/>
  <c r="F204" i="86"/>
  <c r="E204" i="86"/>
  <c r="H203" i="86"/>
  <c r="G203" i="86"/>
  <c r="W203" i="86" s="1"/>
  <c r="F203" i="86"/>
  <c r="E203" i="86"/>
  <c r="L202" i="86"/>
  <c r="K202" i="86"/>
  <c r="I202" i="86"/>
  <c r="H202" i="86"/>
  <c r="X202" i="86" s="1"/>
  <c r="G202" i="86"/>
  <c r="W202" i="86" s="1"/>
  <c r="F202" i="86"/>
  <c r="E202" i="86"/>
  <c r="H201" i="86"/>
  <c r="X201" i="86" s="1"/>
  <c r="Y201" i="86" s="1"/>
  <c r="G201" i="86"/>
  <c r="W201" i="86" s="1"/>
  <c r="F201" i="86"/>
  <c r="E201" i="86"/>
  <c r="C201" i="86"/>
  <c r="H200" i="86"/>
  <c r="G200" i="86"/>
  <c r="W200" i="86" s="1"/>
  <c r="F200" i="86"/>
  <c r="E200" i="86"/>
  <c r="L198" i="86"/>
  <c r="K198" i="86"/>
  <c r="I198" i="86"/>
  <c r="H198" i="86"/>
  <c r="G198" i="86"/>
  <c r="W198" i="86" s="1"/>
  <c r="F198" i="86"/>
  <c r="E198" i="86"/>
  <c r="H197" i="86"/>
  <c r="G197" i="86"/>
  <c r="W197" i="86" s="1"/>
  <c r="F197" i="86"/>
  <c r="E197" i="86"/>
  <c r="H196" i="86"/>
  <c r="X196" i="86" s="1"/>
  <c r="G196" i="86"/>
  <c r="W196" i="86" s="1"/>
  <c r="F196" i="86"/>
  <c r="E196" i="86"/>
  <c r="L195" i="86"/>
  <c r="K195" i="86"/>
  <c r="I195" i="86"/>
  <c r="H195" i="86"/>
  <c r="G195" i="86"/>
  <c r="W195" i="86" s="1"/>
  <c r="F195" i="86"/>
  <c r="E195" i="86"/>
  <c r="H194" i="86"/>
  <c r="G194" i="86"/>
  <c r="W194" i="86" s="1"/>
  <c r="F194" i="86"/>
  <c r="E194" i="86"/>
  <c r="C194" i="86"/>
  <c r="C195" i="86" s="1"/>
  <c r="H193" i="86"/>
  <c r="G193" i="86"/>
  <c r="W193" i="86" s="1"/>
  <c r="F193" i="86"/>
  <c r="E193" i="86"/>
  <c r="L191" i="86"/>
  <c r="K191" i="86"/>
  <c r="I191" i="86"/>
  <c r="H191" i="86"/>
  <c r="X191" i="86" s="1"/>
  <c r="G191" i="86"/>
  <c r="W191" i="86" s="1"/>
  <c r="F191" i="86"/>
  <c r="E191" i="86"/>
  <c r="H190" i="86"/>
  <c r="X190" i="86" s="1"/>
  <c r="Y190" i="86" s="1"/>
  <c r="G190" i="86"/>
  <c r="W190" i="86" s="1"/>
  <c r="F190" i="86"/>
  <c r="E190" i="86"/>
  <c r="C190" i="86"/>
  <c r="C191" i="86" s="1"/>
  <c r="H189" i="86"/>
  <c r="G189" i="86"/>
  <c r="W189" i="86" s="1"/>
  <c r="F189" i="86"/>
  <c r="E189" i="86"/>
  <c r="K176" i="86"/>
  <c r="J176" i="86"/>
  <c r="G182" i="86"/>
  <c r="F182" i="86"/>
  <c r="E182" i="86"/>
  <c r="F180" i="86"/>
  <c r="E180" i="86"/>
  <c r="C180" i="86"/>
  <c r="F179" i="86"/>
  <c r="E179" i="86"/>
  <c r="F177" i="86"/>
  <c r="E177" i="86"/>
  <c r="C177" i="86"/>
  <c r="F176" i="86"/>
  <c r="E176" i="86"/>
  <c r="F174" i="86"/>
  <c r="E174" i="86"/>
  <c r="E108" i="86"/>
  <c r="F108" i="86"/>
  <c r="G108" i="86"/>
  <c r="W108" i="86" s="1"/>
  <c r="H108" i="86"/>
  <c r="X108" i="86" s="1"/>
  <c r="C109" i="86"/>
  <c r="C110" i="86" s="1"/>
  <c r="E109" i="86"/>
  <c r="F109" i="86"/>
  <c r="G109" i="86"/>
  <c r="W109" i="86" s="1"/>
  <c r="H109" i="86"/>
  <c r="X109" i="86" s="1"/>
  <c r="Y109" i="86" s="1"/>
  <c r="E110" i="86"/>
  <c r="F110" i="86"/>
  <c r="G110" i="86"/>
  <c r="H110" i="86"/>
  <c r="I110" i="86"/>
  <c r="K110" i="86"/>
  <c r="L110" i="86"/>
  <c r="W110" i="86"/>
  <c r="E112" i="86"/>
  <c r="F112" i="86"/>
  <c r="G112" i="86"/>
  <c r="W112" i="86" s="1"/>
  <c r="H112" i="86"/>
  <c r="X112" i="86" s="1"/>
  <c r="C113" i="86"/>
  <c r="E113" i="86"/>
  <c r="F113" i="86"/>
  <c r="G113" i="86"/>
  <c r="W113" i="86" s="1"/>
  <c r="H113" i="86"/>
  <c r="X113" i="86" s="1"/>
  <c r="E114" i="86"/>
  <c r="F114" i="86"/>
  <c r="G114" i="86"/>
  <c r="H114" i="86"/>
  <c r="X114" i="86" s="1"/>
  <c r="I114" i="86"/>
  <c r="J114" i="86"/>
  <c r="K114" i="86"/>
  <c r="L114" i="86"/>
  <c r="W114" i="86"/>
  <c r="E115" i="86"/>
  <c r="F115" i="86"/>
  <c r="G115" i="86"/>
  <c r="W115" i="86" s="1"/>
  <c r="H115" i="86"/>
  <c r="E116" i="86"/>
  <c r="F116" i="86"/>
  <c r="G116" i="86"/>
  <c r="W116" i="86" s="1"/>
  <c r="H116" i="86"/>
  <c r="X116" i="86" s="1"/>
  <c r="Y116" i="86" s="1"/>
  <c r="E117" i="86"/>
  <c r="F117" i="86"/>
  <c r="G117" i="86"/>
  <c r="W117" i="86" s="1"/>
  <c r="H117" i="86"/>
  <c r="I117" i="86"/>
  <c r="J117" i="86"/>
  <c r="P117" i="86" s="1"/>
  <c r="T117" i="86" s="1"/>
  <c r="K117" i="86"/>
  <c r="L117" i="86"/>
  <c r="X117" i="86"/>
  <c r="E119" i="86"/>
  <c r="F119" i="86"/>
  <c r="G119" i="86"/>
  <c r="W119" i="86" s="1"/>
  <c r="H119" i="86"/>
  <c r="X119" i="86" s="1"/>
  <c r="C120" i="86"/>
  <c r="C121" i="86" s="1"/>
  <c r="E120" i="86"/>
  <c r="F120" i="86"/>
  <c r="G120" i="86"/>
  <c r="W120" i="86" s="1"/>
  <c r="H120" i="86"/>
  <c r="X120" i="86"/>
  <c r="Z120" i="86" s="1"/>
  <c r="AA120" i="86"/>
  <c r="AB120" i="86" s="1"/>
  <c r="E121" i="86"/>
  <c r="F121" i="86"/>
  <c r="G121" i="86"/>
  <c r="W121" i="86" s="1"/>
  <c r="H121" i="86"/>
  <c r="I121" i="86"/>
  <c r="J121" i="86"/>
  <c r="K121" i="86"/>
  <c r="L121" i="86"/>
  <c r="E122" i="86"/>
  <c r="F122" i="86"/>
  <c r="G122" i="86"/>
  <c r="H122" i="86"/>
  <c r="X122" i="86" s="1"/>
  <c r="W122" i="86"/>
  <c r="E123" i="86"/>
  <c r="F123" i="86"/>
  <c r="G123" i="86"/>
  <c r="W123" i="86" s="1"/>
  <c r="H123" i="86"/>
  <c r="E124" i="86"/>
  <c r="F124" i="86"/>
  <c r="G124" i="86"/>
  <c r="H124" i="86"/>
  <c r="I124" i="86"/>
  <c r="J124" i="86"/>
  <c r="K124" i="86"/>
  <c r="L124" i="86"/>
  <c r="M124" i="86"/>
  <c r="Q124" i="86" s="1"/>
  <c r="N124" i="86"/>
  <c r="R124" i="86" s="1"/>
  <c r="W124" i="86"/>
  <c r="X124" i="86"/>
  <c r="E126" i="86"/>
  <c r="F126" i="86"/>
  <c r="G126" i="86"/>
  <c r="W126" i="86" s="1"/>
  <c r="H126" i="86"/>
  <c r="X126" i="86" s="1"/>
  <c r="Z126" i="86" s="1"/>
  <c r="AA126" i="86"/>
  <c r="AB126" i="86" s="1"/>
  <c r="C127" i="86"/>
  <c r="E127" i="86"/>
  <c r="F127" i="86"/>
  <c r="G127" i="86"/>
  <c r="W127" i="86" s="1"/>
  <c r="H127" i="86"/>
  <c r="X127" i="86" s="1"/>
  <c r="C128" i="86"/>
  <c r="E128" i="86"/>
  <c r="F128" i="86"/>
  <c r="G128" i="86"/>
  <c r="W128" i="86" s="1"/>
  <c r="H128" i="86"/>
  <c r="I128" i="86"/>
  <c r="K128" i="86"/>
  <c r="L128" i="86"/>
  <c r="P128" i="86"/>
  <c r="T128" i="86" s="1"/>
  <c r="X128" i="86"/>
  <c r="E139" i="86"/>
  <c r="F139" i="86"/>
  <c r="G139" i="86"/>
  <c r="H139" i="86"/>
  <c r="W139" i="86"/>
  <c r="C140" i="86"/>
  <c r="C141" i="86" s="1"/>
  <c r="E140" i="86"/>
  <c r="F140" i="86"/>
  <c r="H140" i="86" s="1"/>
  <c r="G140" i="86"/>
  <c r="W140" i="86" s="1"/>
  <c r="E141" i="86"/>
  <c r="F141" i="86"/>
  <c r="G141" i="86"/>
  <c r="W141" i="86" s="1"/>
  <c r="I141" i="86"/>
  <c r="J141" i="86"/>
  <c r="K141" i="86"/>
  <c r="L141" i="86"/>
  <c r="E143" i="86"/>
  <c r="F143" i="86"/>
  <c r="H143" i="86" s="1"/>
  <c r="X143" i="86" s="1"/>
  <c r="G143" i="86"/>
  <c r="W143" i="86" s="1"/>
  <c r="C144" i="86"/>
  <c r="E144" i="86"/>
  <c r="F144" i="86"/>
  <c r="H144" i="86" s="1"/>
  <c r="X144" i="86" s="1"/>
  <c r="Z144" i="86" s="1"/>
  <c r="G144" i="86"/>
  <c r="W144" i="86" s="1"/>
  <c r="C145" i="86"/>
  <c r="E145" i="86"/>
  <c r="F145" i="86"/>
  <c r="H145" i="86" s="1"/>
  <c r="G145" i="86"/>
  <c r="W145" i="86" s="1"/>
  <c r="I145" i="86"/>
  <c r="J145" i="86"/>
  <c r="K145" i="86"/>
  <c r="L145" i="86"/>
  <c r="E146" i="86"/>
  <c r="F146" i="86"/>
  <c r="H146" i="86" s="1"/>
  <c r="X146" i="86" s="1"/>
  <c r="G146" i="86"/>
  <c r="W146" i="86"/>
  <c r="Y146" i="86"/>
  <c r="E147" i="86"/>
  <c r="F147" i="86"/>
  <c r="G147" i="86"/>
  <c r="H147" i="86"/>
  <c r="W147" i="86"/>
  <c r="E148" i="86"/>
  <c r="F148" i="86"/>
  <c r="H148" i="86" s="1"/>
  <c r="G148" i="86"/>
  <c r="W148" i="86" s="1"/>
  <c r="I148" i="86"/>
  <c r="J148" i="86"/>
  <c r="K148" i="86"/>
  <c r="L148" i="86"/>
  <c r="E150" i="86"/>
  <c r="F150" i="86"/>
  <c r="G150" i="86"/>
  <c r="W150" i="86" s="1"/>
  <c r="C151" i="86"/>
  <c r="E151" i="86"/>
  <c r="F151" i="86"/>
  <c r="G151" i="86"/>
  <c r="W151" i="86" s="1"/>
  <c r="C152" i="86"/>
  <c r="E152" i="86"/>
  <c r="F152" i="86"/>
  <c r="H152" i="86" s="1"/>
  <c r="G152" i="86"/>
  <c r="W152" i="86" s="1"/>
  <c r="I152" i="86"/>
  <c r="J152" i="86"/>
  <c r="K152" i="86"/>
  <c r="L152" i="86"/>
  <c r="E164" i="86"/>
  <c r="F164" i="86"/>
  <c r="G164" i="86"/>
  <c r="W164" i="86" s="1"/>
  <c r="H164" i="86"/>
  <c r="X164" i="86" s="1"/>
  <c r="I164" i="86"/>
  <c r="K164" i="86"/>
  <c r="L164" i="86"/>
  <c r="E166" i="86"/>
  <c r="F166" i="86"/>
  <c r="G166" i="86"/>
  <c r="H166" i="86"/>
  <c r="I166" i="86"/>
  <c r="J166" i="86"/>
  <c r="K166" i="86"/>
  <c r="L166" i="86"/>
  <c r="W166" i="86"/>
  <c r="X166" i="86"/>
  <c r="C167" i="86"/>
  <c r="E167" i="86"/>
  <c r="F167" i="86"/>
  <c r="G167" i="86"/>
  <c r="W167" i="86" s="1"/>
  <c r="H167" i="86"/>
  <c r="I167" i="86"/>
  <c r="J167" i="86"/>
  <c r="K167" i="86"/>
  <c r="L167" i="86"/>
  <c r="E169" i="86"/>
  <c r="F169" i="86"/>
  <c r="G169" i="86"/>
  <c r="W169" i="86" s="1"/>
  <c r="H169" i="86"/>
  <c r="X169" i="86" s="1"/>
  <c r="I169" i="86"/>
  <c r="J169" i="86"/>
  <c r="K169" i="86"/>
  <c r="L169" i="86"/>
  <c r="C170" i="86"/>
  <c r="E170" i="86"/>
  <c r="F170" i="86"/>
  <c r="G170" i="86"/>
  <c r="W170" i="86" s="1"/>
  <c r="H170" i="86"/>
  <c r="X170" i="86" s="1"/>
  <c r="I170" i="86"/>
  <c r="J170" i="86"/>
  <c r="K170" i="86"/>
  <c r="L170" i="86"/>
  <c r="E172" i="86"/>
  <c r="F172" i="86"/>
  <c r="G172" i="86"/>
  <c r="W172" i="86" s="1"/>
  <c r="H172" i="86"/>
  <c r="X172" i="86" s="1"/>
  <c r="I172" i="86"/>
  <c r="K172" i="86"/>
  <c r="L172" i="86"/>
  <c r="H101" i="86"/>
  <c r="G101" i="86"/>
  <c r="F101" i="86"/>
  <c r="E101" i="86"/>
  <c r="C101" i="86"/>
  <c r="H100" i="86"/>
  <c r="G100" i="86"/>
  <c r="F100" i="86"/>
  <c r="E100" i="86"/>
  <c r="C100" i="86"/>
  <c r="H99" i="86"/>
  <c r="G99" i="86"/>
  <c r="F99" i="86"/>
  <c r="E99" i="86"/>
  <c r="H97" i="86"/>
  <c r="G97" i="86"/>
  <c r="F97" i="86"/>
  <c r="E97" i="86"/>
  <c r="C97" i="86"/>
  <c r="H96" i="86"/>
  <c r="G96" i="86"/>
  <c r="F96" i="86"/>
  <c r="E96" i="86"/>
  <c r="C96" i="86"/>
  <c r="H95" i="86"/>
  <c r="G95" i="86"/>
  <c r="F95" i="86"/>
  <c r="E95" i="86"/>
  <c r="C95" i="86"/>
  <c r="H94" i="86"/>
  <c r="G94" i="86"/>
  <c r="F94" i="86"/>
  <c r="E94" i="86"/>
  <c r="C94" i="86"/>
  <c r="H93" i="86"/>
  <c r="G93" i="86"/>
  <c r="F93" i="86"/>
  <c r="E93" i="86"/>
  <c r="C93" i="86"/>
  <c r="H92" i="86"/>
  <c r="G92" i="86"/>
  <c r="F92" i="86"/>
  <c r="E92" i="86"/>
  <c r="H90" i="86"/>
  <c r="G90" i="86"/>
  <c r="F90" i="86"/>
  <c r="E90" i="86"/>
  <c r="C90" i="86"/>
  <c r="H89" i="86"/>
  <c r="G89" i="86"/>
  <c r="F89" i="86"/>
  <c r="E89" i="86"/>
  <c r="C89" i="86"/>
  <c r="H88" i="86"/>
  <c r="G88" i="86"/>
  <c r="F88" i="86"/>
  <c r="E88" i="86"/>
  <c r="C88" i="86"/>
  <c r="H87" i="86"/>
  <c r="G87" i="86"/>
  <c r="F87" i="86"/>
  <c r="E87" i="86"/>
  <c r="C87" i="86"/>
  <c r="H86" i="86"/>
  <c r="G86" i="86"/>
  <c r="F86" i="86"/>
  <c r="E86" i="86"/>
  <c r="C86" i="86"/>
  <c r="H85" i="86"/>
  <c r="G85" i="86"/>
  <c r="F85" i="86"/>
  <c r="E85" i="86"/>
  <c r="H83" i="86"/>
  <c r="G83" i="86"/>
  <c r="F83" i="86"/>
  <c r="E83" i="86"/>
  <c r="H82" i="86"/>
  <c r="G82" i="86"/>
  <c r="F82" i="86"/>
  <c r="E82" i="86"/>
  <c r="C82" i="86"/>
  <c r="C83" i="86" s="1"/>
  <c r="H81" i="86"/>
  <c r="G81" i="86"/>
  <c r="F81" i="86"/>
  <c r="E81" i="86"/>
  <c r="E59" i="86"/>
  <c r="F59" i="86"/>
  <c r="G59" i="86"/>
  <c r="W59" i="86" s="1"/>
  <c r="H59" i="86"/>
  <c r="AV59" i="86" s="1"/>
  <c r="AX59" i="86" s="1"/>
  <c r="C60" i="86"/>
  <c r="E60" i="86"/>
  <c r="F60" i="86"/>
  <c r="G60" i="86"/>
  <c r="W60" i="86" s="1"/>
  <c r="H60" i="86"/>
  <c r="X60" i="86" s="1"/>
  <c r="E61" i="86"/>
  <c r="F61" i="86"/>
  <c r="G61" i="86"/>
  <c r="AU61" i="86" s="1"/>
  <c r="H61" i="86"/>
  <c r="AV61" i="86" s="1"/>
  <c r="AW61" i="86" s="1"/>
  <c r="I61" i="86"/>
  <c r="K61" i="86"/>
  <c r="L61" i="86"/>
  <c r="E63" i="86"/>
  <c r="F63" i="86"/>
  <c r="G63" i="86"/>
  <c r="W63" i="86" s="1"/>
  <c r="H63" i="86"/>
  <c r="X63" i="86" s="1"/>
  <c r="C64" i="86"/>
  <c r="E64" i="86"/>
  <c r="F64" i="86"/>
  <c r="G64" i="86"/>
  <c r="W64" i="86" s="1"/>
  <c r="H64" i="86"/>
  <c r="AV64" i="86" s="1"/>
  <c r="C65" i="86"/>
  <c r="E65" i="86"/>
  <c r="F65" i="86"/>
  <c r="G65" i="86"/>
  <c r="W65" i="86" s="1"/>
  <c r="H65" i="86"/>
  <c r="I65" i="86"/>
  <c r="J65" i="86"/>
  <c r="K65" i="86"/>
  <c r="L65" i="86"/>
  <c r="C66" i="86"/>
  <c r="E66" i="86"/>
  <c r="F66" i="86"/>
  <c r="G66" i="86"/>
  <c r="W66" i="86" s="1"/>
  <c r="H66" i="86"/>
  <c r="AV66" i="86" s="1"/>
  <c r="C67" i="86"/>
  <c r="E67" i="86"/>
  <c r="F67" i="86"/>
  <c r="G67" i="86"/>
  <c r="AU67" i="86" s="1"/>
  <c r="H67" i="86"/>
  <c r="X67" i="86" s="1"/>
  <c r="Z67" i="86" s="1"/>
  <c r="C68" i="86"/>
  <c r="E68" i="86"/>
  <c r="F68" i="86"/>
  <c r="G68" i="86"/>
  <c r="AU68" i="86" s="1"/>
  <c r="H68" i="86"/>
  <c r="X68" i="86" s="1"/>
  <c r="I68" i="86"/>
  <c r="J68" i="86"/>
  <c r="K68" i="86"/>
  <c r="L68" i="86"/>
  <c r="W68" i="86"/>
  <c r="E70" i="86"/>
  <c r="F70" i="86"/>
  <c r="G70" i="86"/>
  <c r="W70" i="86" s="1"/>
  <c r="H70" i="86"/>
  <c r="AV70" i="86" s="1"/>
  <c r="C71" i="86"/>
  <c r="E71" i="86"/>
  <c r="F71" i="86"/>
  <c r="G71" i="86"/>
  <c r="W71" i="86" s="1"/>
  <c r="H71" i="86"/>
  <c r="C72" i="86"/>
  <c r="E72" i="86"/>
  <c r="F72" i="86"/>
  <c r="G72" i="86"/>
  <c r="AU72" i="86" s="1"/>
  <c r="H72" i="86"/>
  <c r="X72" i="86" s="1"/>
  <c r="I72" i="86"/>
  <c r="J72" i="86"/>
  <c r="K72" i="86"/>
  <c r="L72" i="86"/>
  <c r="C73" i="86"/>
  <c r="E73" i="86"/>
  <c r="F73" i="86"/>
  <c r="G73" i="86"/>
  <c r="AU73" i="86" s="1"/>
  <c r="H73" i="86"/>
  <c r="X73" i="86" s="1"/>
  <c r="Z73" i="86" s="1"/>
  <c r="C74" i="86"/>
  <c r="E74" i="86"/>
  <c r="F74" i="86"/>
  <c r="G74" i="86"/>
  <c r="W74" i="86" s="1"/>
  <c r="H74" i="86"/>
  <c r="C75" i="86"/>
  <c r="E75" i="86"/>
  <c r="F75" i="86"/>
  <c r="G75" i="86"/>
  <c r="W75" i="86" s="1"/>
  <c r="H75" i="86"/>
  <c r="AV75" i="86" s="1"/>
  <c r="I75" i="86"/>
  <c r="J75" i="86"/>
  <c r="K75" i="86"/>
  <c r="L75" i="86"/>
  <c r="E77" i="86"/>
  <c r="F77" i="86"/>
  <c r="G77" i="86"/>
  <c r="W77" i="86" s="1"/>
  <c r="H77" i="86"/>
  <c r="AV77" i="86" s="1"/>
  <c r="AX77" i="86" s="1"/>
  <c r="C78" i="86"/>
  <c r="E78" i="86"/>
  <c r="F78" i="86"/>
  <c r="G78" i="86"/>
  <c r="W78" i="86" s="1"/>
  <c r="H78" i="86"/>
  <c r="X78" i="86" s="1"/>
  <c r="Y78" i="86" s="1"/>
  <c r="C79" i="86"/>
  <c r="E79" i="86"/>
  <c r="F79" i="86"/>
  <c r="G79" i="86"/>
  <c r="W79" i="86" s="1"/>
  <c r="H79" i="86"/>
  <c r="I79" i="86"/>
  <c r="K79" i="86"/>
  <c r="L79" i="86"/>
  <c r="H52" i="86"/>
  <c r="G52" i="86"/>
  <c r="F52" i="86"/>
  <c r="E52" i="86"/>
  <c r="H51" i="86"/>
  <c r="G51" i="86"/>
  <c r="F51" i="86"/>
  <c r="E51" i="86"/>
  <c r="C51" i="86"/>
  <c r="C52" i="86" s="1"/>
  <c r="H50" i="86"/>
  <c r="G50" i="86"/>
  <c r="F50" i="86"/>
  <c r="E50" i="86"/>
  <c r="H48" i="86"/>
  <c r="G48" i="86"/>
  <c r="F48" i="86"/>
  <c r="E48" i="86"/>
  <c r="H47" i="86"/>
  <c r="G47" i="86"/>
  <c r="F47" i="86"/>
  <c r="E47" i="86"/>
  <c r="C47" i="86"/>
  <c r="H46" i="86"/>
  <c r="G46" i="86"/>
  <c r="F46" i="86"/>
  <c r="E46" i="86"/>
  <c r="C46" i="86"/>
  <c r="H45" i="86"/>
  <c r="G45" i="86"/>
  <c r="F45" i="86"/>
  <c r="E45" i="86"/>
  <c r="C45" i="86"/>
  <c r="H44" i="86"/>
  <c r="G44" i="86"/>
  <c r="F44" i="86"/>
  <c r="E44" i="86"/>
  <c r="C44" i="86"/>
  <c r="C48" i="86" s="1"/>
  <c r="H43" i="86"/>
  <c r="G43" i="86"/>
  <c r="F43" i="86"/>
  <c r="E43" i="86"/>
  <c r="H41" i="86"/>
  <c r="G41" i="86"/>
  <c r="F41" i="86"/>
  <c r="E41" i="86"/>
  <c r="H40" i="86"/>
  <c r="G40" i="86"/>
  <c r="F40" i="86"/>
  <c r="E40" i="86"/>
  <c r="C40" i="86"/>
  <c r="H39" i="86"/>
  <c r="G39" i="86"/>
  <c r="F39" i="86"/>
  <c r="E39" i="86"/>
  <c r="C39" i="86"/>
  <c r="H38" i="86"/>
  <c r="G38" i="86"/>
  <c r="F38" i="86"/>
  <c r="E38" i="86"/>
  <c r="C38" i="86"/>
  <c r="H37" i="86"/>
  <c r="G37" i="86"/>
  <c r="F37" i="86"/>
  <c r="E37" i="86"/>
  <c r="C37" i="86"/>
  <c r="C41" i="86" s="1"/>
  <c r="H36" i="86"/>
  <c r="G36" i="86"/>
  <c r="F36" i="86"/>
  <c r="E36" i="86"/>
  <c r="H34" i="86"/>
  <c r="G34" i="86"/>
  <c r="F34" i="86"/>
  <c r="E34" i="86"/>
  <c r="H33" i="86"/>
  <c r="G33" i="86"/>
  <c r="F33" i="86"/>
  <c r="E33" i="86"/>
  <c r="C33" i="86"/>
  <c r="C34" i="86" s="1"/>
  <c r="H32" i="86"/>
  <c r="G32" i="86"/>
  <c r="F32" i="86"/>
  <c r="E32" i="86"/>
  <c r="L30" i="86"/>
  <c r="K30" i="86"/>
  <c r="I30" i="86"/>
  <c r="J26" i="86"/>
  <c r="J23" i="86"/>
  <c r="J19" i="86"/>
  <c r="J16" i="86"/>
  <c r="I12" i="86"/>
  <c r="L12" i="86"/>
  <c r="K12" i="86"/>
  <c r="H30" i="86"/>
  <c r="AV30" i="86" s="1"/>
  <c r="G30" i="86"/>
  <c r="AU30" i="86" s="1"/>
  <c r="F30" i="86"/>
  <c r="E30" i="86"/>
  <c r="H29" i="86"/>
  <c r="X29" i="86" s="1"/>
  <c r="G29" i="86"/>
  <c r="AU29" i="86" s="1"/>
  <c r="F29" i="86"/>
  <c r="E29" i="86"/>
  <c r="H28" i="86"/>
  <c r="X28" i="86" s="1"/>
  <c r="AA28" i="86" s="1"/>
  <c r="G28" i="86"/>
  <c r="AU28" i="86" s="1"/>
  <c r="F28" i="86"/>
  <c r="E28" i="86"/>
  <c r="L26" i="86"/>
  <c r="K26" i="86"/>
  <c r="I26" i="86"/>
  <c r="H26" i="86"/>
  <c r="AV26" i="86" s="1"/>
  <c r="G26" i="86"/>
  <c r="AU26" i="86" s="1"/>
  <c r="F26" i="86"/>
  <c r="E26" i="86"/>
  <c r="H25" i="86"/>
  <c r="AV25" i="86" s="1"/>
  <c r="G25" i="86"/>
  <c r="AU25" i="86" s="1"/>
  <c r="F25" i="86"/>
  <c r="E25" i="86"/>
  <c r="H24" i="86"/>
  <c r="X24" i="86" s="1"/>
  <c r="G24" i="86"/>
  <c r="W24" i="86" s="1"/>
  <c r="F24" i="86"/>
  <c r="E24" i="86"/>
  <c r="L23" i="86"/>
  <c r="K23" i="86"/>
  <c r="I23" i="86"/>
  <c r="H23" i="86"/>
  <c r="AV23" i="86" s="1"/>
  <c r="G23" i="86"/>
  <c r="W23" i="86" s="1"/>
  <c r="F23" i="86"/>
  <c r="E23" i="86"/>
  <c r="H22" i="86"/>
  <c r="AV22" i="86" s="1"/>
  <c r="G22" i="86"/>
  <c r="W22" i="86" s="1"/>
  <c r="F22" i="86"/>
  <c r="E22" i="86"/>
  <c r="H21" i="86"/>
  <c r="AV21" i="86" s="1"/>
  <c r="AX21" i="86" s="1"/>
  <c r="G21" i="86"/>
  <c r="AU21" i="86" s="1"/>
  <c r="F21" i="86"/>
  <c r="E21" i="86"/>
  <c r="L19" i="86"/>
  <c r="K19" i="86"/>
  <c r="I19" i="86"/>
  <c r="H19" i="86"/>
  <c r="AV19" i="86" s="1"/>
  <c r="G19" i="86"/>
  <c r="AU19" i="86" s="1"/>
  <c r="F19" i="86"/>
  <c r="E19" i="86"/>
  <c r="H18" i="86"/>
  <c r="AV18" i="86" s="1"/>
  <c r="G18" i="86"/>
  <c r="AU18" i="86" s="1"/>
  <c r="F18" i="86"/>
  <c r="E18" i="86"/>
  <c r="H17" i="86"/>
  <c r="X17" i="86" s="1"/>
  <c r="G17" i="86"/>
  <c r="AU17" i="86" s="1"/>
  <c r="F17" i="86"/>
  <c r="E17" i="86"/>
  <c r="L16" i="86"/>
  <c r="K16" i="86"/>
  <c r="I16" i="86"/>
  <c r="H16" i="86"/>
  <c r="AV16" i="86" s="1"/>
  <c r="G16" i="86"/>
  <c r="AU16" i="86" s="1"/>
  <c r="F16" i="86"/>
  <c r="E16" i="86"/>
  <c r="H15" i="86"/>
  <c r="AV15" i="86" s="1"/>
  <c r="G15" i="86"/>
  <c r="W15" i="86" s="1"/>
  <c r="F15" i="86"/>
  <c r="E15" i="86"/>
  <c r="H14" i="86"/>
  <c r="X14" i="86" s="1"/>
  <c r="Z14" i="86" s="1"/>
  <c r="G14" i="86"/>
  <c r="W14" i="86" s="1"/>
  <c r="F14" i="86"/>
  <c r="E14" i="86"/>
  <c r="H12" i="86"/>
  <c r="X12" i="86" s="1"/>
  <c r="G12" i="86"/>
  <c r="W12" i="86" s="1"/>
  <c r="F12" i="86"/>
  <c r="E12" i="86"/>
  <c r="H11" i="86"/>
  <c r="X11" i="86" s="1"/>
  <c r="G11" i="86"/>
  <c r="AU11" i="86" s="1"/>
  <c r="F11" i="86"/>
  <c r="E11" i="86"/>
  <c r="H10" i="86"/>
  <c r="X10" i="86" s="1"/>
  <c r="AA10" i="86" s="1"/>
  <c r="G10" i="86"/>
  <c r="AU10" i="86" s="1"/>
  <c r="F10" i="86"/>
  <c r="E10" i="86"/>
  <c r="C29" i="86"/>
  <c r="C25" i="86"/>
  <c r="C24" i="86"/>
  <c r="C23" i="86"/>
  <c r="C22" i="86"/>
  <c r="C26" i="86" s="1"/>
  <c r="C15" i="86"/>
  <c r="C11" i="86"/>
  <c r="P191" i="86" l="1"/>
  <c r="T191" i="86" s="1"/>
  <c r="O198" i="86"/>
  <c r="S198" i="86" s="1"/>
  <c r="O209" i="86"/>
  <c r="S209" i="86" s="1"/>
  <c r="M195" i="86"/>
  <c r="Q195" i="86" s="1"/>
  <c r="Z201" i="86"/>
  <c r="N191" i="86"/>
  <c r="R191" i="86" s="1"/>
  <c r="Y196" i="86"/>
  <c r="O191" i="86"/>
  <c r="S191" i="86" s="1"/>
  <c r="P202" i="86"/>
  <c r="T202" i="86" s="1"/>
  <c r="X207" i="86"/>
  <c r="Z207" i="86" s="1"/>
  <c r="M198" i="86"/>
  <c r="Q198" i="86" s="1"/>
  <c r="O202" i="86"/>
  <c r="S202" i="86" s="1"/>
  <c r="M209" i="86"/>
  <c r="Q209" i="86" s="1"/>
  <c r="AA191" i="86"/>
  <c r="Z191" i="86"/>
  <c r="Y191" i="86"/>
  <c r="N198" i="86"/>
  <c r="R198" i="86" s="1"/>
  <c r="Y202" i="86"/>
  <c r="N209" i="86"/>
  <c r="R209" i="86" s="1"/>
  <c r="X193" i="86"/>
  <c r="AA190" i="86"/>
  <c r="AB190" i="86" s="1"/>
  <c r="N195" i="86"/>
  <c r="R195" i="86" s="1"/>
  <c r="X197" i="86"/>
  <c r="Y197" i="86" s="1"/>
  <c r="P198" i="86"/>
  <c r="T198" i="86" s="1"/>
  <c r="X198" i="86"/>
  <c r="Y198" i="86" s="1"/>
  <c r="AA201" i="86"/>
  <c r="AB201" i="86" s="1"/>
  <c r="X203" i="86"/>
  <c r="Y203" i="86" s="1"/>
  <c r="M205" i="86"/>
  <c r="Q205" i="86" s="1"/>
  <c r="X208" i="86"/>
  <c r="AA208" i="86" s="1"/>
  <c r="AB208" i="86" s="1"/>
  <c r="P209" i="86"/>
  <c r="T209" i="86" s="1"/>
  <c r="X209" i="86"/>
  <c r="AA209" i="86" s="1"/>
  <c r="O195" i="86"/>
  <c r="S195" i="86" s="1"/>
  <c r="N205" i="86"/>
  <c r="R205" i="86" s="1"/>
  <c r="Z190" i="86"/>
  <c r="X189" i="86"/>
  <c r="Y189" i="86" s="1"/>
  <c r="M191" i="86"/>
  <c r="Q191" i="86" s="1"/>
  <c r="X194" i="86"/>
  <c r="AA194" i="86" s="1"/>
  <c r="AB194" i="86" s="1"/>
  <c r="P195" i="86"/>
  <c r="T195" i="86" s="1"/>
  <c r="X195" i="86"/>
  <c r="AA195" i="86" s="1"/>
  <c r="X200" i="86"/>
  <c r="C202" i="86"/>
  <c r="M202" i="86"/>
  <c r="Q202" i="86" s="1"/>
  <c r="O205" i="86"/>
  <c r="S205" i="86" s="1"/>
  <c r="C196" i="86"/>
  <c r="N202" i="86"/>
  <c r="R202" i="86" s="1"/>
  <c r="X204" i="86"/>
  <c r="Y204" i="86" s="1"/>
  <c r="P205" i="86"/>
  <c r="T205" i="86" s="1"/>
  <c r="X205" i="86"/>
  <c r="Y205" i="86" s="1"/>
  <c r="Y170" i="86"/>
  <c r="O172" i="86"/>
  <c r="S172" i="86" s="1"/>
  <c r="O167" i="86"/>
  <c r="S167" i="86" s="1"/>
  <c r="Z170" i="86"/>
  <c r="X167" i="86"/>
  <c r="Z167" i="86" s="1"/>
  <c r="N170" i="86"/>
  <c r="R170" i="86" s="1"/>
  <c r="AA170" i="86"/>
  <c r="P167" i="86"/>
  <c r="T167" i="86" s="1"/>
  <c r="P172" i="86"/>
  <c r="T172" i="86" s="1"/>
  <c r="P164" i="86"/>
  <c r="T164" i="86" s="1"/>
  <c r="O170" i="86"/>
  <c r="S170" i="86" s="1"/>
  <c r="P169" i="86"/>
  <c r="T169" i="86" s="1"/>
  <c r="X152" i="86"/>
  <c r="Z152" i="86" s="1"/>
  <c r="P152" i="86"/>
  <c r="T152" i="86" s="1"/>
  <c r="O152" i="86"/>
  <c r="S152" i="86" s="1"/>
  <c r="Y113" i="86"/>
  <c r="Z113" i="86"/>
  <c r="AA144" i="86"/>
  <c r="AB144" i="86" s="1"/>
  <c r="Y120" i="86"/>
  <c r="M110" i="86"/>
  <c r="Q110" i="86" s="1"/>
  <c r="N121" i="86"/>
  <c r="R121" i="86" s="1"/>
  <c r="P110" i="86"/>
  <c r="T110" i="86" s="1"/>
  <c r="AA152" i="86"/>
  <c r="X110" i="86"/>
  <c r="Y110" i="86" s="1"/>
  <c r="O121" i="86"/>
  <c r="S121" i="86" s="1"/>
  <c r="H141" i="86"/>
  <c r="N141" i="86" s="1"/>
  <c r="R141" i="86" s="1"/>
  <c r="X121" i="86"/>
  <c r="N172" i="86"/>
  <c r="R172" i="86" s="1"/>
  <c r="O169" i="86"/>
  <c r="S169" i="86" s="1"/>
  <c r="H151" i="86"/>
  <c r="X151" i="86" s="1"/>
  <c r="Z151" i="86" s="1"/>
  <c r="O124" i="86"/>
  <c r="S124" i="86" s="1"/>
  <c r="U124" i="86" s="1"/>
  <c r="V124" i="86" s="1"/>
  <c r="Y114" i="86"/>
  <c r="O110" i="86"/>
  <c r="S110" i="86" s="1"/>
  <c r="P170" i="86"/>
  <c r="T170" i="86" s="1"/>
  <c r="P124" i="86"/>
  <c r="T124" i="86" s="1"/>
  <c r="Y122" i="86"/>
  <c r="M121" i="86"/>
  <c r="Q121" i="86" s="1"/>
  <c r="Z143" i="86"/>
  <c r="AA143" i="86"/>
  <c r="AB143" i="86" s="1"/>
  <c r="AA151" i="86"/>
  <c r="AB151" i="86" s="1"/>
  <c r="M141" i="86"/>
  <c r="Q141" i="86" s="1"/>
  <c r="U141" i="86" s="1"/>
  <c r="V141" i="86" s="1"/>
  <c r="M145" i="86"/>
  <c r="Q145" i="86" s="1"/>
  <c r="U145" i="86" s="1"/>
  <c r="V145" i="86" s="1"/>
  <c r="N145" i="86"/>
  <c r="R145" i="86" s="1"/>
  <c r="O145" i="86"/>
  <c r="S145" i="86" s="1"/>
  <c r="P145" i="86"/>
  <c r="T145" i="86" s="1"/>
  <c r="X145" i="86"/>
  <c r="Y145" i="86" s="1"/>
  <c r="M114" i="86"/>
  <c r="Q114" i="86" s="1"/>
  <c r="O114" i="86"/>
  <c r="S114" i="86" s="1"/>
  <c r="P114" i="86"/>
  <c r="T114" i="86" s="1"/>
  <c r="Y164" i="86"/>
  <c r="Z164" i="86"/>
  <c r="AA164" i="86"/>
  <c r="X139" i="86"/>
  <c r="Y139" i="86"/>
  <c r="Y127" i="86"/>
  <c r="Z127" i="86"/>
  <c r="AA127" i="86"/>
  <c r="AB127" i="86" s="1"/>
  <c r="Y166" i="86"/>
  <c r="M166" i="86"/>
  <c r="Q166" i="86" s="1"/>
  <c r="N166" i="86"/>
  <c r="R166" i="86" s="1"/>
  <c r="O166" i="86"/>
  <c r="S166" i="86" s="1"/>
  <c r="Y172" i="86"/>
  <c r="Z172" i="86"/>
  <c r="AA172" i="86"/>
  <c r="Z166" i="86"/>
  <c r="AA166" i="86"/>
  <c r="Y151" i="86"/>
  <c r="N148" i="86"/>
  <c r="R148" i="86" s="1"/>
  <c r="O148" i="86"/>
  <c r="S148" i="86" s="1"/>
  <c r="P148" i="86"/>
  <c r="T148" i="86" s="1"/>
  <c r="X148" i="86"/>
  <c r="Y148" i="86"/>
  <c r="C146" i="86"/>
  <c r="Z145" i="86"/>
  <c r="AA145" i="86"/>
  <c r="Y143" i="86"/>
  <c r="Z110" i="86"/>
  <c r="AA110" i="86"/>
  <c r="X140" i="86"/>
  <c r="X123" i="86"/>
  <c r="Y123" i="86"/>
  <c r="C122" i="86"/>
  <c r="Z121" i="86"/>
  <c r="AA121" i="86"/>
  <c r="Z119" i="86"/>
  <c r="AA119" i="86"/>
  <c r="AB119" i="86" s="1"/>
  <c r="X115" i="86"/>
  <c r="Y115" i="86"/>
  <c r="AA113" i="86"/>
  <c r="AB113" i="86" s="1"/>
  <c r="C114" i="86"/>
  <c r="AA108" i="86"/>
  <c r="AB108" i="86" s="1"/>
  <c r="Z108" i="86"/>
  <c r="P166" i="86"/>
  <c r="T166" i="86" s="1"/>
  <c r="M148" i="86"/>
  <c r="Q148" i="86" s="1"/>
  <c r="U148" i="86" s="1"/>
  <c r="V148" i="86" s="1"/>
  <c r="Y119" i="86"/>
  <c r="Z112" i="86"/>
  <c r="AA112" i="86"/>
  <c r="AB112" i="86" s="1"/>
  <c r="Z169" i="86"/>
  <c r="AA169" i="86"/>
  <c r="Y169" i="86"/>
  <c r="X147" i="86"/>
  <c r="Y147" i="86" s="1"/>
  <c r="Y128" i="86"/>
  <c r="Z128" i="86"/>
  <c r="AA128" i="86"/>
  <c r="AB152" i="86"/>
  <c r="AD152" i="86"/>
  <c r="H150" i="86"/>
  <c r="M170" i="86"/>
  <c r="Q170" i="86" s="1"/>
  <c r="N169" i="86"/>
  <c r="R169" i="86" s="1"/>
  <c r="N167" i="86"/>
  <c r="R167" i="86" s="1"/>
  <c r="O164" i="86"/>
  <c r="S164" i="86" s="1"/>
  <c r="N152" i="86"/>
  <c r="R152" i="86" s="1"/>
  <c r="O128" i="86"/>
  <c r="S128" i="86" s="1"/>
  <c r="Y117" i="86"/>
  <c r="N110" i="86"/>
  <c r="R110" i="86" s="1"/>
  <c r="Y108" i="86"/>
  <c r="M172" i="86"/>
  <c r="Q172" i="86" s="1"/>
  <c r="M169" i="86"/>
  <c r="Q169" i="86" s="1"/>
  <c r="M167" i="86"/>
  <c r="Q167" i="86" s="1"/>
  <c r="N164" i="86"/>
  <c r="R164" i="86" s="1"/>
  <c r="M152" i="86"/>
  <c r="Q152" i="86" s="1"/>
  <c r="U152" i="86" s="1"/>
  <c r="V152" i="86" s="1"/>
  <c r="N128" i="86"/>
  <c r="R128" i="86" s="1"/>
  <c r="Y126" i="86"/>
  <c r="AU74" i="86"/>
  <c r="M164" i="86"/>
  <c r="Q164" i="86" s="1"/>
  <c r="M128" i="86"/>
  <c r="Q128" i="86" s="1"/>
  <c r="Y121" i="86"/>
  <c r="O117" i="86"/>
  <c r="S117" i="86" s="1"/>
  <c r="N114" i="86"/>
  <c r="R114" i="86" s="1"/>
  <c r="Y144" i="86"/>
  <c r="Y124" i="86"/>
  <c r="P121" i="86"/>
  <c r="T121" i="86" s="1"/>
  <c r="N117" i="86"/>
  <c r="R117" i="86" s="1"/>
  <c r="Y112" i="86"/>
  <c r="AA109" i="86"/>
  <c r="AB109" i="86" s="1"/>
  <c r="AA68" i="86"/>
  <c r="M117" i="86"/>
  <c r="Q117" i="86" s="1"/>
  <c r="Z109" i="86"/>
  <c r="AX75" i="86"/>
  <c r="W72" i="86"/>
  <c r="AV78" i="86"/>
  <c r="AY78" i="86" s="1"/>
  <c r="AZ78" i="86" s="1"/>
  <c r="W61" i="86"/>
  <c r="AU78" i="86"/>
  <c r="Z72" i="86"/>
  <c r="AV74" i="86"/>
  <c r="AY74" i="86" s="1"/>
  <c r="AZ74" i="86" s="1"/>
  <c r="X74" i="86"/>
  <c r="Z74" i="86" s="1"/>
  <c r="AV68" i="86"/>
  <c r="M79" i="86"/>
  <c r="Q79" i="86" s="1"/>
  <c r="Y67" i="86"/>
  <c r="N72" i="86"/>
  <c r="R72" i="86" s="1"/>
  <c r="AU59" i="86"/>
  <c r="AV79" i="86"/>
  <c r="AW79" i="86" s="1"/>
  <c r="AU79" i="86"/>
  <c r="AY77" i="86"/>
  <c r="AZ77" i="86" s="1"/>
  <c r="Z68" i="86"/>
  <c r="AA78" i="86"/>
  <c r="AB78" i="86" s="1"/>
  <c r="Z60" i="86"/>
  <c r="Y60" i="86"/>
  <c r="Y72" i="86"/>
  <c r="X65" i="86"/>
  <c r="AA65" i="86" s="1"/>
  <c r="J87" i="86" s="1"/>
  <c r="I87" i="86" s="1"/>
  <c r="AV60" i="86"/>
  <c r="AW60" i="86" s="1"/>
  <c r="AA60" i="86"/>
  <c r="AB60" i="86" s="1"/>
  <c r="O79" i="86"/>
  <c r="S79" i="86" s="1"/>
  <c r="AW75" i="86"/>
  <c r="O65" i="86"/>
  <c r="S65" i="86" s="1"/>
  <c r="M61" i="86"/>
  <c r="Q61" i="86" s="1"/>
  <c r="AU60" i="86"/>
  <c r="X79" i="86"/>
  <c r="Y79" i="86" s="1"/>
  <c r="AU75" i="86"/>
  <c r="AA73" i="86"/>
  <c r="AB73" i="86" s="1"/>
  <c r="M72" i="86"/>
  <c r="Q72" i="86" s="1"/>
  <c r="AW59" i="86"/>
  <c r="N61" i="86"/>
  <c r="R61" i="86" s="1"/>
  <c r="AU77" i="86"/>
  <c r="AV73" i="86"/>
  <c r="AW73" i="86" s="1"/>
  <c r="AA72" i="86"/>
  <c r="AB72" i="86" s="1"/>
  <c r="AA67" i="86"/>
  <c r="AB67" i="86" s="1"/>
  <c r="P65" i="86"/>
  <c r="T65" i="86" s="1"/>
  <c r="AV63" i="86"/>
  <c r="AX63" i="86" s="1"/>
  <c r="N65" i="86"/>
  <c r="R65" i="86" s="1"/>
  <c r="N79" i="86"/>
  <c r="R79" i="86" s="1"/>
  <c r="AW77" i="86"/>
  <c r="Y73" i="86"/>
  <c r="AV72" i="86"/>
  <c r="AX72" i="86" s="1"/>
  <c r="AV67" i="86"/>
  <c r="AW67" i="86" s="1"/>
  <c r="AU66" i="86"/>
  <c r="AU64" i="86"/>
  <c r="AU63" i="86"/>
  <c r="X61" i="86"/>
  <c r="Y61" i="86" s="1"/>
  <c r="O72" i="86"/>
  <c r="S72" i="86" s="1"/>
  <c r="AV71" i="86"/>
  <c r="AY71" i="86" s="1"/>
  <c r="AZ71" i="86" s="1"/>
  <c r="Y68" i="86"/>
  <c r="AV65" i="86"/>
  <c r="AY65" i="86" s="1"/>
  <c r="BD65" i="86" s="1"/>
  <c r="BC65" i="86" s="1"/>
  <c r="AW70" i="86"/>
  <c r="X70" i="86"/>
  <c r="Y70" i="86" s="1"/>
  <c r="AU71" i="86"/>
  <c r="AX64" i="86"/>
  <c r="AU65" i="86"/>
  <c r="AX70" i="86"/>
  <c r="AY70" i="86"/>
  <c r="AZ70" i="86" s="1"/>
  <c r="M75" i="86"/>
  <c r="Q75" i="86" s="1"/>
  <c r="N68" i="86"/>
  <c r="R68" i="86" s="1"/>
  <c r="AX66" i="86"/>
  <c r="AY66" i="86"/>
  <c r="AZ66" i="86" s="1"/>
  <c r="AW64" i="86"/>
  <c r="X64" i="86"/>
  <c r="Y64" i="86" s="1"/>
  <c r="AC72" i="86"/>
  <c r="AD72" i="86" s="1"/>
  <c r="AB68" i="86"/>
  <c r="AC68" i="86"/>
  <c r="AD68" i="86" s="1"/>
  <c r="J90" i="86"/>
  <c r="Z63" i="86"/>
  <c r="AA63" i="86"/>
  <c r="AB63" i="86" s="1"/>
  <c r="AY59" i="86"/>
  <c r="AZ59" i="86" s="1"/>
  <c r="Z78" i="86"/>
  <c r="O75" i="86"/>
  <c r="S75" i="86" s="1"/>
  <c r="W73" i="86"/>
  <c r="P68" i="86"/>
  <c r="T68" i="86" s="1"/>
  <c r="W67" i="86"/>
  <c r="X66" i="86"/>
  <c r="AA66" i="86" s="1"/>
  <c r="AB66" i="86" s="1"/>
  <c r="M65" i="86"/>
  <c r="Q65" i="86" s="1"/>
  <c r="X59" i="86"/>
  <c r="X75" i="86"/>
  <c r="P75" i="86"/>
  <c r="T75" i="86" s="1"/>
  <c r="AU70" i="86"/>
  <c r="N75" i="86"/>
  <c r="R75" i="86" s="1"/>
  <c r="O68" i="86"/>
  <c r="S68" i="86" s="1"/>
  <c r="AW66" i="86"/>
  <c r="P61" i="86"/>
  <c r="T61" i="86" s="1"/>
  <c r="X77" i="86"/>
  <c r="X71" i="86"/>
  <c r="M68" i="86"/>
  <c r="Q68" i="86" s="1"/>
  <c r="AY64" i="86"/>
  <c r="AZ64" i="86" s="1"/>
  <c r="O61" i="86"/>
  <c r="S61" i="86" s="1"/>
  <c r="P79" i="86"/>
  <c r="T79" i="86" s="1"/>
  <c r="AY75" i="86"/>
  <c r="P72" i="86"/>
  <c r="T72" i="86" s="1"/>
  <c r="AY63" i="86"/>
  <c r="AZ63" i="86" s="1"/>
  <c r="Y63" i="86"/>
  <c r="C61" i="86"/>
  <c r="AX23" i="86"/>
  <c r="AX18" i="86"/>
  <c r="AX16" i="86"/>
  <c r="AX15" i="86"/>
  <c r="AX26" i="86"/>
  <c r="AX25" i="86"/>
  <c r="AV14" i="86"/>
  <c r="AX22" i="86"/>
  <c r="AV24" i="86"/>
  <c r="AX24" i="86" s="1"/>
  <c r="AV17" i="86"/>
  <c r="AX17" i="86" s="1"/>
  <c r="AV28" i="86"/>
  <c r="AV10" i="86"/>
  <c r="AV29" i="86"/>
  <c r="AX29" i="86" s="1"/>
  <c r="AV11" i="86"/>
  <c r="AY11" i="86" s="1"/>
  <c r="AV12" i="86"/>
  <c r="AX12" i="86" s="1"/>
  <c r="X23" i="86"/>
  <c r="Z23" i="86" s="1"/>
  <c r="X18" i="86"/>
  <c r="AA18" i="86" s="1"/>
  <c r="AU22" i="86"/>
  <c r="P30" i="86"/>
  <c r="T30" i="86" s="1"/>
  <c r="X25" i="86"/>
  <c r="Z25" i="86" s="1"/>
  <c r="AU12" i="86"/>
  <c r="W16" i="86"/>
  <c r="W25" i="86"/>
  <c r="AU14" i="86"/>
  <c r="AU23" i="86"/>
  <c r="W17" i="86"/>
  <c r="W26" i="86"/>
  <c r="AU15" i="86"/>
  <c r="AU24" i="86"/>
  <c r="W18" i="86"/>
  <c r="W28" i="86"/>
  <c r="W10" i="86"/>
  <c r="W19" i="86"/>
  <c r="W29" i="86"/>
  <c r="W11" i="86"/>
  <c r="W21" i="86"/>
  <c r="W30" i="86"/>
  <c r="X19" i="86"/>
  <c r="Y19" i="86" s="1"/>
  <c r="X22" i="86"/>
  <c r="Z22" i="86" s="1"/>
  <c r="M26" i="86"/>
  <c r="Q26" i="86" s="1"/>
  <c r="X30" i="86"/>
  <c r="Y30" i="86" s="1"/>
  <c r="P26" i="86"/>
  <c r="T26" i="86" s="1"/>
  <c r="M19" i="86"/>
  <c r="Q19" i="86" s="1"/>
  <c r="P23" i="86"/>
  <c r="T23" i="86" s="1"/>
  <c r="P19" i="86"/>
  <c r="T19" i="86" s="1"/>
  <c r="N19" i="86"/>
  <c r="R19" i="86" s="1"/>
  <c r="N26" i="86"/>
  <c r="R26" i="86" s="1"/>
  <c r="O19" i="86"/>
  <c r="S19" i="86" s="1"/>
  <c r="O26" i="86"/>
  <c r="S26" i="86" s="1"/>
  <c r="M16" i="86"/>
  <c r="Q16" i="86" s="1"/>
  <c r="M23" i="86"/>
  <c r="Q23" i="86" s="1"/>
  <c r="M30" i="86"/>
  <c r="Q30" i="86" s="1"/>
  <c r="N16" i="86"/>
  <c r="R16" i="86" s="1"/>
  <c r="N23" i="86"/>
  <c r="R23" i="86" s="1"/>
  <c r="N30" i="86"/>
  <c r="R30" i="86" s="1"/>
  <c r="O16" i="86"/>
  <c r="S16" i="86" s="1"/>
  <c r="O23" i="86"/>
  <c r="S23" i="86" s="1"/>
  <c r="O30" i="86"/>
  <c r="S30" i="86" s="1"/>
  <c r="P16" i="86"/>
  <c r="T16" i="86" s="1"/>
  <c r="P12" i="86"/>
  <c r="T12" i="86" s="1"/>
  <c r="M12" i="86"/>
  <c r="Q12" i="86" s="1"/>
  <c r="N12" i="86"/>
  <c r="R12" i="86" s="1"/>
  <c r="O12" i="86"/>
  <c r="S12" i="86" s="1"/>
  <c r="X21" i="86"/>
  <c r="AA21" i="86" s="1"/>
  <c r="AA29" i="86"/>
  <c r="AA17" i="86"/>
  <c r="Z24" i="86"/>
  <c r="Z10" i="86"/>
  <c r="Z12" i="86"/>
  <c r="AA24" i="86"/>
  <c r="AY15" i="86"/>
  <c r="Z11" i="86"/>
  <c r="AA14" i="86"/>
  <c r="C30" i="86"/>
  <c r="Z29" i="86"/>
  <c r="AA12" i="86"/>
  <c r="J34" i="86" s="1"/>
  <c r="AY23" i="86"/>
  <c r="AY18" i="86"/>
  <c r="Z28" i="86"/>
  <c r="AA11" i="86"/>
  <c r="Z17" i="86"/>
  <c r="AY22" i="86"/>
  <c r="AY25" i="86"/>
  <c r="AY21" i="86"/>
  <c r="AY16" i="86"/>
  <c r="Y28" i="86"/>
  <c r="AY26" i="86"/>
  <c r="X26" i="86"/>
  <c r="AA26" i="86" s="1"/>
  <c r="X16" i="86"/>
  <c r="Z16" i="86" s="1"/>
  <c r="X15" i="86"/>
  <c r="AA15" i="86" s="1"/>
  <c r="Y17" i="86"/>
  <c r="Y29" i="86"/>
  <c r="AW30" i="86"/>
  <c r="AX19" i="86"/>
  <c r="AW19" i="86"/>
  <c r="AB28" i="86"/>
  <c r="AW22" i="86"/>
  <c r="AW23" i="86"/>
  <c r="AW18" i="86"/>
  <c r="G5" i="1"/>
  <c r="G6" i="1"/>
  <c r="G7" i="1"/>
  <c r="G8" i="1"/>
  <c r="G9" i="1"/>
  <c r="G10" i="1"/>
  <c r="G11" i="1"/>
  <c r="G12" i="1"/>
  <c r="G13" i="1"/>
  <c r="G14" i="1"/>
  <c r="G15" i="1"/>
  <c r="G16" i="1"/>
  <c r="G17" i="1"/>
  <c r="G18" i="1"/>
  <c r="G19" i="1"/>
  <c r="G20" i="1"/>
  <c r="G21" i="1"/>
  <c r="G22" i="1"/>
  <c r="G23" i="1"/>
  <c r="G24" i="1"/>
  <c r="G25" i="1"/>
  <c r="G26" i="1"/>
  <c r="G27" i="1"/>
  <c r="G28" i="1"/>
  <c r="Y209" i="86" l="1"/>
  <c r="Z209" i="86"/>
  <c r="U191" i="86"/>
  <c r="V191" i="86" s="1"/>
  <c r="AA207" i="86"/>
  <c r="AB207" i="86" s="1"/>
  <c r="U198" i="86"/>
  <c r="V198" i="86" s="1"/>
  <c r="Y207" i="86"/>
  <c r="Z208" i="86"/>
  <c r="U195" i="86"/>
  <c r="V195" i="86" s="1"/>
  <c r="U209" i="86"/>
  <c r="V209" i="86" s="1"/>
  <c r="AB209" i="86"/>
  <c r="J231" i="86"/>
  <c r="U205" i="86"/>
  <c r="V205" i="86" s="1"/>
  <c r="AA193" i="86"/>
  <c r="AB193" i="86" s="1"/>
  <c r="Z193" i="86"/>
  <c r="Y194" i="86"/>
  <c r="C203" i="86"/>
  <c r="Z202" i="86"/>
  <c r="AA202" i="86"/>
  <c r="Y195" i="86"/>
  <c r="Z200" i="86"/>
  <c r="AA200" i="86"/>
  <c r="AB200" i="86" s="1"/>
  <c r="J213" i="86"/>
  <c r="AB191" i="86"/>
  <c r="Z196" i="86"/>
  <c r="C197" i="86"/>
  <c r="AA196" i="86"/>
  <c r="AB196" i="86" s="1"/>
  <c r="Y200" i="86"/>
  <c r="U202" i="86"/>
  <c r="V202" i="86" s="1"/>
  <c r="Z189" i="86"/>
  <c r="AA189" i="86"/>
  <c r="AB189" i="86" s="1"/>
  <c r="Y193" i="86"/>
  <c r="J217" i="86"/>
  <c r="AB195" i="86"/>
  <c r="Z195" i="86"/>
  <c r="Y208" i="86"/>
  <c r="Z194" i="86"/>
  <c r="U167" i="86"/>
  <c r="V167" i="86" s="1"/>
  <c r="Y167" i="86"/>
  <c r="AA167" i="86"/>
  <c r="AB170" i="86"/>
  <c r="U172" i="86"/>
  <c r="V172" i="86" s="1"/>
  <c r="U169" i="86"/>
  <c r="V169" i="86" s="1"/>
  <c r="U121" i="86"/>
  <c r="V121" i="86" s="1"/>
  <c r="U170" i="86"/>
  <c r="V170" i="86" s="1"/>
  <c r="U110" i="86"/>
  <c r="V110" i="86" s="1"/>
  <c r="X141" i="86"/>
  <c r="Y141" i="86" s="1"/>
  <c r="P141" i="86"/>
  <c r="T141" i="86" s="1"/>
  <c r="O141" i="86"/>
  <c r="S141" i="86" s="1"/>
  <c r="Y152" i="86"/>
  <c r="Z146" i="86"/>
  <c r="AA146" i="86"/>
  <c r="AB146" i="86" s="1"/>
  <c r="C147" i="86"/>
  <c r="AD121" i="86"/>
  <c r="AB121" i="86"/>
  <c r="AB110" i="86"/>
  <c r="AD110" i="86"/>
  <c r="AX78" i="86"/>
  <c r="U117" i="86"/>
  <c r="V117" i="86" s="1"/>
  <c r="U128" i="86"/>
  <c r="V128" i="86" s="1"/>
  <c r="Z114" i="86"/>
  <c r="AA114" i="86"/>
  <c r="C115" i="86"/>
  <c r="Z122" i="86"/>
  <c r="AA122" i="86"/>
  <c r="AB122" i="86" s="1"/>
  <c r="C123" i="86"/>
  <c r="AB166" i="86"/>
  <c r="U166" i="86"/>
  <c r="V166" i="86" s="1"/>
  <c r="X150" i="86"/>
  <c r="Y150" i="86" s="1"/>
  <c r="Z140" i="86"/>
  <c r="AA140" i="86"/>
  <c r="AB140" i="86" s="1"/>
  <c r="U164" i="86"/>
  <c r="V164" i="86" s="1"/>
  <c r="AF152" i="86"/>
  <c r="AC152" i="86"/>
  <c r="AE152" i="86"/>
  <c r="AB172" i="86"/>
  <c r="J182" i="86"/>
  <c r="AA141" i="86"/>
  <c r="Z141" i="86"/>
  <c r="AW78" i="86"/>
  <c r="AB169" i="86"/>
  <c r="AD145" i="86"/>
  <c r="AB145" i="86"/>
  <c r="Z139" i="86"/>
  <c r="AA139" i="86"/>
  <c r="AB139" i="86" s="1"/>
  <c r="AB128" i="86"/>
  <c r="AD128" i="86"/>
  <c r="Y140" i="86"/>
  <c r="AB164" i="86"/>
  <c r="J174" i="86"/>
  <c r="U114" i="86"/>
  <c r="V114" i="86" s="1"/>
  <c r="AY79" i="86"/>
  <c r="AZ79" i="86" s="1"/>
  <c r="AX74" i="86"/>
  <c r="AA74" i="86"/>
  <c r="AB74" i="86" s="1"/>
  <c r="Y74" i="86"/>
  <c r="AW63" i="86"/>
  <c r="AW68" i="86"/>
  <c r="AX68" i="86"/>
  <c r="AW65" i="86"/>
  <c r="J94" i="86"/>
  <c r="I94" i="86" s="1"/>
  <c r="U79" i="86"/>
  <c r="V79" i="86" s="1"/>
  <c r="AW74" i="86"/>
  <c r="AY68" i="86"/>
  <c r="AX79" i="86"/>
  <c r="AB65" i="86"/>
  <c r="BA65" i="86"/>
  <c r="BB65" i="86" s="1"/>
  <c r="U72" i="86"/>
  <c r="V72" i="86" s="1"/>
  <c r="Z65" i="86"/>
  <c r="AX65" i="86"/>
  <c r="BF65" i="86"/>
  <c r="AC65" i="86"/>
  <c r="AD65" i="86" s="1"/>
  <c r="AW71" i="86"/>
  <c r="L87" i="86"/>
  <c r="BE65" i="86"/>
  <c r="AA79" i="86"/>
  <c r="J101" i="86" s="1"/>
  <c r="K87" i="86"/>
  <c r="AX73" i="86"/>
  <c r="AY73" i="86"/>
  <c r="AZ73" i="86" s="1"/>
  <c r="AX71" i="86"/>
  <c r="Y65" i="86"/>
  <c r="AY72" i="86"/>
  <c r="AZ72" i="86" s="1"/>
  <c r="AW72" i="86"/>
  <c r="U61" i="86"/>
  <c r="V61" i="86" s="1"/>
  <c r="Z79" i="86"/>
  <c r="AZ65" i="86"/>
  <c r="AY60" i="86"/>
  <c r="AZ60" i="86" s="1"/>
  <c r="AX60" i="86"/>
  <c r="U65" i="86"/>
  <c r="V65" i="86" s="1"/>
  <c r="AY67" i="86"/>
  <c r="AZ67" i="86" s="1"/>
  <c r="AX67" i="86"/>
  <c r="I90" i="86"/>
  <c r="K90" i="86"/>
  <c r="L90" i="86"/>
  <c r="Z75" i="86"/>
  <c r="AA75" i="86"/>
  <c r="Y75" i="86"/>
  <c r="AA59" i="86"/>
  <c r="AB59" i="86" s="1"/>
  <c r="Z59" i="86"/>
  <c r="Y59" i="86"/>
  <c r="Z70" i="86"/>
  <c r="AA70" i="86"/>
  <c r="AB70" i="86" s="1"/>
  <c r="Y71" i="86"/>
  <c r="Z71" i="86"/>
  <c r="AA71" i="86"/>
  <c r="AB71" i="86" s="1"/>
  <c r="Z61" i="86"/>
  <c r="AX61" i="86"/>
  <c r="AY61" i="86"/>
  <c r="AA61" i="86"/>
  <c r="BA75" i="86"/>
  <c r="BB75" i="86" s="1"/>
  <c r="AZ75" i="86"/>
  <c r="BD75" i="86"/>
  <c r="Z64" i="86"/>
  <c r="Y77" i="86"/>
  <c r="Z77" i="86"/>
  <c r="AA77" i="86"/>
  <c r="AB77" i="86" s="1"/>
  <c r="U75" i="86"/>
  <c r="V75" i="86" s="1"/>
  <c r="U68" i="86"/>
  <c r="V68" i="86" s="1"/>
  <c r="AA64" i="86"/>
  <c r="AB64" i="86" s="1"/>
  <c r="Y66" i="86"/>
  <c r="Z66" i="86"/>
  <c r="BD79" i="86"/>
  <c r="AW11" i="86"/>
  <c r="AY17" i="86"/>
  <c r="AZ17" i="86" s="1"/>
  <c r="I34" i="86"/>
  <c r="K34" i="86"/>
  <c r="L34" i="86"/>
  <c r="AX11" i="86"/>
  <c r="AY24" i="86"/>
  <c r="AZ24" i="86" s="1"/>
  <c r="AA23" i="86"/>
  <c r="J45" i="86" s="1"/>
  <c r="AW24" i="86"/>
  <c r="Z18" i="86"/>
  <c r="AA25" i="86"/>
  <c r="AB25" i="86" s="1"/>
  <c r="AY29" i="86"/>
  <c r="AZ29" i="86" s="1"/>
  <c r="AY14" i="86"/>
  <c r="AX14" i="86"/>
  <c r="AX10" i="86"/>
  <c r="AY10" i="86"/>
  <c r="AZ10" i="86" s="1"/>
  <c r="AX28" i="86"/>
  <c r="AY28" i="86"/>
  <c r="AZ28" i="86" s="1"/>
  <c r="AX30" i="86"/>
  <c r="AY30" i="86"/>
  <c r="AZ30" i="86" s="1"/>
  <c r="AA22" i="86"/>
  <c r="AB22" i="86" s="1"/>
  <c r="AW28" i="86"/>
  <c r="Y21" i="86"/>
  <c r="Z21" i="86"/>
  <c r="AW17" i="86"/>
  <c r="U23" i="86"/>
  <c r="V23" i="86" s="1"/>
  <c r="AW26" i="86"/>
  <c r="AY12" i="86"/>
  <c r="Z15" i="86"/>
  <c r="U19" i="86"/>
  <c r="V19" i="86" s="1"/>
  <c r="U30" i="86"/>
  <c r="V30" i="86" s="1"/>
  <c r="AZ11" i="86"/>
  <c r="AA16" i="86"/>
  <c r="AA30" i="86"/>
  <c r="AB30" i="86" s="1"/>
  <c r="Z30" i="86"/>
  <c r="AA19" i="86"/>
  <c r="Z19" i="86"/>
  <c r="AY19" i="86"/>
  <c r="Z26" i="86"/>
  <c r="BD26" i="86"/>
  <c r="Y26" i="86"/>
  <c r="Y24" i="86"/>
  <c r="AB24" i="86"/>
  <c r="AZ25" i="86"/>
  <c r="AZ18" i="86"/>
  <c r="AB21" i="86"/>
  <c r="AB17" i="86"/>
  <c r="AZ22" i="86"/>
  <c r="Y22" i="86"/>
  <c r="AB10" i="86"/>
  <c r="Y10" i="86"/>
  <c r="AW16" i="86"/>
  <c r="AB11" i="86"/>
  <c r="AB18" i="86"/>
  <c r="Y18" i="86"/>
  <c r="AB29" i="86"/>
  <c r="U26" i="86"/>
  <c r="V26" i="86" s="1"/>
  <c r="AW29" i="86"/>
  <c r="Y11" i="86"/>
  <c r="AW10" i="86"/>
  <c r="Y23" i="86"/>
  <c r="AZ21" i="86"/>
  <c r="Y25" i="86"/>
  <c r="AW25" i="86"/>
  <c r="U16" i="86"/>
  <c r="V16" i="86" s="1"/>
  <c r="U12" i="86"/>
  <c r="V12" i="86" s="1"/>
  <c r="AW21" i="86"/>
  <c r="E102" i="10"/>
  <c r="E101" i="10"/>
  <c r="P44" i="80"/>
  <c r="Q47" i="80"/>
  <c r="P17" i="80"/>
  <c r="Q20" i="80"/>
  <c r="H102" i="10"/>
  <c r="H101" i="10"/>
  <c r="D47" i="80"/>
  <c r="C44" i="80"/>
  <c r="D40" i="80"/>
  <c r="C47" i="80"/>
  <c r="D43" i="80"/>
  <c r="D20" i="80"/>
  <c r="C17" i="80"/>
  <c r="D13" i="80"/>
  <c r="C20" i="80"/>
  <c r="D16" i="80"/>
  <c r="H247" i="10"/>
  <c r="H246" i="10"/>
  <c r="C44" i="79"/>
  <c r="D47" i="79"/>
  <c r="C17" i="79"/>
  <c r="D20" i="79"/>
  <c r="H240" i="10"/>
  <c r="H241" i="10"/>
  <c r="C47" i="77"/>
  <c r="C17" i="78"/>
  <c r="C44" i="78"/>
  <c r="D47" i="78"/>
  <c r="E40" i="10"/>
  <c r="E39" i="10"/>
  <c r="D20" i="77"/>
  <c r="C17" i="77"/>
  <c r="D13" i="77"/>
  <c r="C20" i="77"/>
  <c r="D16" i="77"/>
  <c r="I217" i="86" l="1"/>
  <c r="L217" i="86"/>
  <c r="K217" i="86"/>
  <c r="AA203" i="86"/>
  <c r="AB203" i="86" s="1"/>
  <c r="Z203" i="86"/>
  <c r="C204" i="86"/>
  <c r="K213" i="86"/>
  <c r="L213" i="86"/>
  <c r="I213" i="86"/>
  <c r="K231" i="86"/>
  <c r="L231" i="86"/>
  <c r="I231" i="86"/>
  <c r="AA197" i="86"/>
  <c r="AB197" i="86" s="1"/>
  <c r="Z197" i="86"/>
  <c r="C198" i="86"/>
  <c r="J224" i="86"/>
  <c r="AB202" i="86"/>
  <c r="AB167" i="86"/>
  <c r="J177" i="86"/>
  <c r="K180" i="86"/>
  <c r="L180" i="86"/>
  <c r="I180" i="86"/>
  <c r="L94" i="86"/>
  <c r="AF110" i="86"/>
  <c r="AC110" i="86"/>
  <c r="AE110" i="86"/>
  <c r="O87" i="86"/>
  <c r="S87" i="86" s="1"/>
  <c r="N87" i="86"/>
  <c r="R87" i="86" s="1"/>
  <c r="K94" i="86"/>
  <c r="AC128" i="86"/>
  <c r="AE128" i="86"/>
  <c r="AF128" i="86"/>
  <c r="Z123" i="86"/>
  <c r="AA123" i="86"/>
  <c r="AB123" i="86" s="1"/>
  <c r="C124" i="86"/>
  <c r="AG152" i="86"/>
  <c r="AK152" i="86" s="1"/>
  <c r="AO152" i="86" s="1"/>
  <c r="AH152" i="86"/>
  <c r="AL152" i="86" s="1"/>
  <c r="AJ152" i="86"/>
  <c r="AN152" i="86" s="1"/>
  <c r="AI152" i="86"/>
  <c r="AM152" i="86" s="1"/>
  <c r="AB141" i="86"/>
  <c r="AD141" i="86"/>
  <c r="AC121" i="86"/>
  <c r="AE121" i="86"/>
  <c r="AF121" i="86"/>
  <c r="L176" i="86"/>
  <c r="I182" i="86"/>
  <c r="K182" i="86"/>
  <c r="L182" i="86"/>
  <c r="Z115" i="86"/>
  <c r="AA115" i="86"/>
  <c r="AB115" i="86" s="1"/>
  <c r="C116" i="86"/>
  <c r="Z147" i="86"/>
  <c r="AA147" i="86"/>
  <c r="AB147" i="86" s="1"/>
  <c r="C148" i="86"/>
  <c r="BA79" i="86"/>
  <c r="BB79" i="86" s="1"/>
  <c r="Z150" i="86"/>
  <c r="AA150" i="86"/>
  <c r="AB150" i="86" s="1"/>
  <c r="AB114" i="86"/>
  <c r="AD114" i="86"/>
  <c r="I174" i="86"/>
  <c r="K174" i="86"/>
  <c r="L174" i="86"/>
  <c r="AC145" i="86"/>
  <c r="AE145" i="86"/>
  <c r="AF145" i="86"/>
  <c r="AC79" i="86"/>
  <c r="AD79" i="86" s="1"/>
  <c r="BJ65" i="86"/>
  <c r="BN65" i="86" s="1"/>
  <c r="AB79" i="86"/>
  <c r="BD72" i="86"/>
  <c r="BE72" i="86" s="1"/>
  <c r="BH65" i="86"/>
  <c r="BL65" i="86" s="1"/>
  <c r="BG65" i="86"/>
  <c r="BK65" i="86" s="1"/>
  <c r="BA68" i="86"/>
  <c r="BB68" i="86" s="1"/>
  <c r="BD68" i="86"/>
  <c r="AZ68" i="86"/>
  <c r="M87" i="86"/>
  <c r="Q87" i="86" s="1"/>
  <c r="BI65" i="86"/>
  <c r="BM65" i="86" s="1"/>
  <c r="BA72" i="86"/>
  <c r="BB72" i="86" s="1"/>
  <c r="P87" i="86"/>
  <c r="T87" i="86" s="1"/>
  <c r="BC79" i="86"/>
  <c r="BF79" i="86"/>
  <c r="BE79" i="86"/>
  <c r="BF75" i="86"/>
  <c r="BC75" i="86"/>
  <c r="BE75" i="86"/>
  <c r="BF72" i="86"/>
  <c r="I101" i="86"/>
  <c r="L101" i="86"/>
  <c r="K101" i="86"/>
  <c r="M94" i="86"/>
  <c r="Q94" i="86" s="1"/>
  <c r="N94" i="86"/>
  <c r="R94" i="86" s="1"/>
  <c r="O94" i="86"/>
  <c r="S94" i="86" s="1"/>
  <c r="P94" i="86"/>
  <c r="T94" i="86" s="1"/>
  <c r="AB61" i="86"/>
  <c r="AC61" i="86"/>
  <c r="AD61" i="86" s="1"/>
  <c r="J83" i="86"/>
  <c r="AZ61" i="86"/>
  <c r="BA61" i="86"/>
  <c r="BB61" i="86" s="1"/>
  <c r="BD61" i="86"/>
  <c r="AC75" i="86"/>
  <c r="AD75" i="86" s="1"/>
  <c r="AB75" i="86"/>
  <c r="J97" i="86"/>
  <c r="P90" i="86"/>
  <c r="T90" i="86" s="1"/>
  <c r="M90" i="86"/>
  <c r="Q90" i="86" s="1"/>
  <c r="O90" i="86"/>
  <c r="S90" i="86" s="1"/>
  <c r="N90" i="86"/>
  <c r="R90" i="86" s="1"/>
  <c r="M34" i="86"/>
  <c r="BD30" i="86"/>
  <c r="BE30" i="86" s="1"/>
  <c r="AZ26" i="86"/>
  <c r="J52" i="86"/>
  <c r="I52" i="86" s="1"/>
  <c r="AB23" i="86"/>
  <c r="BD16" i="86"/>
  <c r="AZ16" i="86"/>
  <c r="L45" i="86"/>
  <c r="K45" i="86"/>
  <c r="I45" i="86"/>
  <c r="BD19" i="86"/>
  <c r="AZ19" i="86"/>
  <c r="BD23" i="86"/>
  <c r="AZ23" i="86"/>
  <c r="J48" i="86"/>
  <c r="AB26" i="86"/>
  <c r="BF26" i="86"/>
  <c r="BE26" i="86"/>
  <c r="BC26" i="86"/>
  <c r="J41" i="86"/>
  <c r="AB19" i="86"/>
  <c r="Q17" i="80"/>
  <c r="P11" i="80"/>
  <c r="P12" i="80"/>
  <c r="Q15" i="80"/>
  <c r="P19" i="80"/>
  <c r="P39" i="80"/>
  <c r="Q42" i="80"/>
  <c r="P46" i="80"/>
  <c r="P41" i="80"/>
  <c r="P45" i="80"/>
  <c r="Q14" i="80"/>
  <c r="Q18" i="80"/>
  <c r="P38" i="80"/>
  <c r="Q41" i="80"/>
  <c r="Q45" i="80"/>
  <c r="Q11" i="80"/>
  <c r="R13" i="80" s="1"/>
  <c r="P15" i="80"/>
  <c r="Q38" i="80"/>
  <c r="Q12" i="80"/>
  <c r="P16" i="80"/>
  <c r="Q19" i="80"/>
  <c r="Q39" i="80"/>
  <c r="P43" i="80"/>
  <c r="Q46" i="80"/>
  <c r="Q44" i="80"/>
  <c r="P14" i="80"/>
  <c r="P13" i="80"/>
  <c r="Q16" i="80"/>
  <c r="P20" i="80"/>
  <c r="P40" i="80"/>
  <c r="Q43" i="80"/>
  <c r="P47" i="80"/>
  <c r="P18" i="80"/>
  <c r="P42" i="80"/>
  <c r="Q13" i="80"/>
  <c r="Q40" i="80"/>
  <c r="D44" i="80"/>
  <c r="C14" i="80"/>
  <c r="C18" i="80"/>
  <c r="C41" i="80"/>
  <c r="C11" i="80"/>
  <c r="D18" i="80"/>
  <c r="D41" i="80"/>
  <c r="D45" i="80"/>
  <c r="C15" i="80"/>
  <c r="D38" i="80"/>
  <c r="C42" i="80"/>
  <c r="D15" i="80"/>
  <c r="C39" i="80"/>
  <c r="D42" i="80"/>
  <c r="D12" i="80"/>
  <c r="C16" i="80"/>
  <c r="D19" i="80"/>
  <c r="D39" i="80"/>
  <c r="C43" i="80"/>
  <c r="D46" i="80"/>
  <c r="D17" i="80"/>
  <c r="C45" i="80"/>
  <c r="D14" i="80"/>
  <c r="C38" i="80"/>
  <c r="D11" i="80"/>
  <c r="E13" i="80" s="1"/>
  <c r="C12" i="80"/>
  <c r="C19" i="80"/>
  <c r="C46" i="80"/>
  <c r="C13" i="80"/>
  <c r="C40" i="80"/>
  <c r="D44" i="79"/>
  <c r="C18" i="79"/>
  <c r="D45" i="79"/>
  <c r="D11" i="79"/>
  <c r="C41" i="79"/>
  <c r="C15" i="79"/>
  <c r="D17" i="79"/>
  <c r="C14" i="79"/>
  <c r="C45" i="79"/>
  <c r="D18" i="79"/>
  <c r="D41" i="79"/>
  <c r="D38" i="79"/>
  <c r="C42" i="79"/>
  <c r="D15" i="79"/>
  <c r="C39" i="79"/>
  <c r="C46" i="79"/>
  <c r="D12" i="79"/>
  <c r="C16" i="79"/>
  <c r="D19" i="79"/>
  <c r="D39" i="79"/>
  <c r="C43" i="79"/>
  <c r="D46" i="79"/>
  <c r="C11" i="79"/>
  <c r="D14" i="79"/>
  <c r="C38" i="79"/>
  <c r="C12" i="79"/>
  <c r="C19" i="79"/>
  <c r="D42" i="79"/>
  <c r="C13" i="79"/>
  <c r="D16" i="79"/>
  <c r="E18" i="79" s="1"/>
  <c r="C20" i="79"/>
  <c r="C40" i="79"/>
  <c r="D43" i="79"/>
  <c r="C47" i="79"/>
  <c r="D13" i="79"/>
  <c r="D40" i="79"/>
  <c r="D47" i="77"/>
  <c r="C44" i="77"/>
  <c r="D43" i="77"/>
  <c r="D40" i="77"/>
  <c r="D20" i="78"/>
  <c r="D44" i="78"/>
  <c r="C45" i="78"/>
  <c r="D14" i="78"/>
  <c r="D18" i="78"/>
  <c r="D45" i="78"/>
  <c r="D11" i="78"/>
  <c r="D38" i="78"/>
  <c r="C42" i="78"/>
  <c r="C12" i="78"/>
  <c r="C19" i="78"/>
  <c r="D42" i="78"/>
  <c r="C16" i="78"/>
  <c r="D39" i="78"/>
  <c r="D46" i="78"/>
  <c r="C13" i="78"/>
  <c r="D16" i="78"/>
  <c r="C20" i="78"/>
  <c r="C40" i="78"/>
  <c r="D43" i="78"/>
  <c r="C47" i="78"/>
  <c r="D17" i="78"/>
  <c r="C14" i="78"/>
  <c r="C18" i="78"/>
  <c r="C41" i="78"/>
  <c r="C11" i="78"/>
  <c r="C38" i="78"/>
  <c r="D41" i="78"/>
  <c r="C15" i="78"/>
  <c r="D15" i="78"/>
  <c r="C39" i="78"/>
  <c r="C46" i="78"/>
  <c r="D12" i="78"/>
  <c r="D19" i="78"/>
  <c r="C43" i="78"/>
  <c r="D13" i="78"/>
  <c r="D40" i="78"/>
  <c r="C45" i="77"/>
  <c r="C11" i="77"/>
  <c r="C38" i="77"/>
  <c r="D45" i="77"/>
  <c r="D11" i="77"/>
  <c r="D15" i="77"/>
  <c r="C39" i="77"/>
  <c r="C46" i="77"/>
  <c r="D12" i="77"/>
  <c r="C16" i="77"/>
  <c r="D19" i="77"/>
  <c r="D39" i="77"/>
  <c r="C43" i="77"/>
  <c r="D46" i="77"/>
  <c r="D17" i="77"/>
  <c r="E18" i="77" s="1"/>
  <c r="D44" i="77"/>
  <c r="C14" i="77"/>
  <c r="C18" i="77"/>
  <c r="C41" i="77"/>
  <c r="D14" i="77"/>
  <c r="D18" i="77"/>
  <c r="D41" i="77"/>
  <c r="C15" i="77"/>
  <c r="D38" i="77"/>
  <c r="C42" i="77"/>
  <c r="C12" i="77"/>
  <c r="C19" i="77"/>
  <c r="D42" i="77"/>
  <c r="C13" i="77"/>
  <c r="C40" i="77"/>
  <c r="AA198" i="86" l="1"/>
  <c r="Z198" i="86"/>
  <c r="Z204" i="86"/>
  <c r="C205" i="86"/>
  <c r="AA204" i="86"/>
  <c r="AB204" i="86" s="1"/>
  <c r="K224" i="86"/>
  <c r="L224" i="86"/>
  <c r="I224" i="86"/>
  <c r="N231" i="86"/>
  <c r="R231" i="86" s="1"/>
  <c r="O231" i="86"/>
  <c r="S231" i="86" s="1"/>
  <c r="M231" i="86"/>
  <c r="Q231" i="86" s="1"/>
  <c r="P231" i="86"/>
  <c r="T231" i="86" s="1"/>
  <c r="N213" i="86"/>
  <c r="R213" i="86" s="1"/>
  <c r="P213" i="86"/>
  <c r="T213" i="86" s="1"/>
  <c r="M213" i="86"/>
  <c r="Q213" i="86" s="1"/>
  <c r="O213" i="86"/>
  <c r="S213" i="86" s="1"/>
  <c r="N217" i="86"/>
  <c r="R217" i="86" s="1"/>
  <c r="O217" i="86"/>
  <c r="S217" i="86" s="1"/>
  <c r="M217" i="86"/>
  <c r="Q217" i="86" s="1"/>
  <c r="P217" i="86"/>
  <c r="T217" i="86" s="1"/>
  <c r="L177" i="86"/>
  <c r="I177" i="86"/>
  <c r="K177" i="86"/>
  <c r="N180" i="86"/>
  <c r="R180" i="86" s="1"/>
  <c r="M180" i="86"/>
  <c r="Q180" i="86" s="1"/>
  <c r="O180" i="86"/>
  <c r="S180" i="86" s="1"/>
  <c r="P180" i="86"/>
  <c r="T180" i="86" s="1"/>
  <c r="AH121" i="86"/>
  <c r="AL121" i="86" s="1"/>
  <c r="AJ121" i="86"/>
  <c r="AN121" i="86" s="1"/>
  <c r="AI121" i="86"/>
  <c r="AM121" i="86" s="1"/>
  <c r="AG121" i="86"/>
  <c r="AK121" i="86" s="1"/>
  <c r="AJ145" i="86"/>
  <c r="AN145" i="86" s="1"/>
  <c r="AI145" i="86"/>
  <c r="AM145" i="86" s="1"/>
  <c r="AG145" i="86"/>
  <c r="AK145" i="86" s="1"/>
  <c r="AO145" i="86" s="1"/>
  <c r="AH145" i="86"/>
  <c r="AL145" i="86" s="1"/>
  <c r="AG128" i="86"/>
  <c r="AK128" i="86" s="1"/>
  <c r="AJ128" i="86"/>
  <c r="AN128" i="86" s="1"/>
  <c r="AH128" i="86"/>
  <c r="AL128" i="86" s="1"/>
  <c r="AI128" i="86"/>
  <c r="AM128" i="86" s="1"/>
  <c r="AG110" i="86"/>
  <c r="AK110" i="86" s="1"/>
  <c r="AH110" i="86"/>
  <c r="AL110" i="86" s="1"/>
  <c r="AI110" i="86"/>
  <c r="AM110" i="86" s="1"/>
  <c r="AJ110" i="86"/>
  <c r="AN110" i="86" s="1"/>
  <c r="AP152" i="86"/>
  <c r="AQ152" i="86"/>
  <c r="AR152" i="86"/>
  <c r="Z148" i="86"/>
  <c r="AA148" i="86"/>
  <c r="M182" i="86"/>
  <c r="Q182" i="86" s="1"/>
  <c r="N182" i="86"/>
  <c r="R182" i="86" s="1"/>
  <c r="P182" i="86"/>
  <c r="T182" i="86" s="1"/>
  <c r="O182" i="86"/>
  <c r="S182" i="86" s="1"/>
  <c r="M174" i="86"/>
  <c r="Q174" i="86" s="1"/>
  <c r="N174" i="86"/>
  <c r="R174" i="86" s="1"/>
  <c r="O174" i="86"/>
  <c r="S174" i="86" s="1"/>
  <c r="P174" i="86"/>
  <c r="T174" i="86" s="1"/>
  <c r="Z124" i="86"/>
  <c r="AA124" i="86"/>
  <c r="AC114" i="86"/>
  <c r="AE114" i="86"/>
  <c r="AF114" i="86"/>
  <c r="C117" i="86"/>
  <c r="Z116" i="86"/>
  <c r="AA116" i="86"/>
  <c r="AB116" i="86" s="1"/>
  <c r="M176" i="86"/>
  <c r="Q176" i="86" s="1"/>
  <c r="N176" i="86"/>
  <c r="R176" i="86" s="1"/>
  <c r="O176" i="86"/>
  <c r="S176" i="86" s="1"/>
  <c r="P176" i="86"/>
  <c r="T176" i="86" s="1"/>
  <c r="AC141" i="86"/>
  <c r="AE141" i="86"/>
  <c r="AF141" i="86"/>
  <c r="P179" i="86"/>
  <c r="T179" i="86" s="1"/>
  <c r="O179" i="86"/>
  <c r="S179" i="86" s="1"/>
  <c r="N179" i="86"/>
  <c r="R179" i="86" s="1"/>
  <c r="M179" i="86"/>
  <c r="Q179" i="86" s="1"/>
  <c r="BC72" i="86"/>
  <c r="BI72" i="86" s="1"/>
  <c r="BM72" i="86" s="1"/>
  <c r="BO65" i="86"/>
  <c r="BR65" i="86" s="1"/>
  <c r="BE68" i="86"/>
  <c r="BF68" i="86"/>
  <c r="BC68" i="86"/>
  <c r="U87" i="86"/>
  <c r="AT65" i="86" s="1"/>
  <c r="BJ75" i="86"/>
  <c r="BN75" i="86" s="1"/>
  <c r="BI75" i="86"/>
  <c r="BM75" i="86" s="1"/>
  <c r="BG75" i="86"/>
  <c r="BK75" i="86" s="1"/>
  <c r="BH75" i="86"/>
  <c r="BL75" i="86" s="1"/>
  <c r="U94" i="86"/>
  <c r="BG79" i="86"/>
  <c r="BK79" i="86" s="1"/>
  <c r="BH79" i="86"/>
  <c r="BL79" i="86" s="1"/>
  <c r="BI79" i="86"/>
  <c r="BM79" i="86" s="1"/>
  <c r="BJ79" i="86"/>
  <c r="BN79" i="86" s="1"/>
  <c r="U90" i="86"/>
  <c r="I83" i="86"/>
  <c r="K83" i="86"/>
  <c r="L83" i="86"/>
  <c r="BC61" i="86"/>
  <c r="BE61" i="86"/>
  <c r="BF61" i="86"/>
  <c r="BG72" i="86"/>
  <c r="BK72" i="86" s="1"/>
  <c r="BH72" i="86"/>
  <c r="BL72" i="86" s="1"/>
  <c r="L97" i="86"/>
  <c r="I97" i="86"/>
  <c r="K97" i="86"/>
  <c r="M101" i="86"/>
  <c r="Q101" i="86" s="1"/>
  <c r="N101" i="86"/>
  <c r="R101" i="86" s="1"/>
  <c r="P101" i="86"/>
  <c r="T101" i="86" s="1"/>
  <c r="O101" i="86"/>
  <c r="S101" i="86" s="1"/>
  <c r="BC30" i="86"/>
  <c r="BF30" i="86"/>
  <c r="K52" i="86"/>
  <c r="L52" i="86"/>
  <c r="BG26" i="86"/>
  <c r="BK26" i="86" s="1"/>
  <c r="BH26" i="86"/>
  <c r="BL26" i="86" s="1"/>
  <c r="BJ26" i="86"/>
  <c r="BN26" i="86" s="1"/>
  <c r="BI26" i="86"/>
  <c r="BM26" i="86" s="1"/>
  <c r="P45" i="86"/>
  <c r="T45" i="86" s="1"/>
  <c r="M45" i="86"/>
  <c r="Q45" i="86" s="1"/>
  <c r="O45" i="86"/>
  <c r="S45" i="86" s="1"/>
  <c r="N45" i="86"/>
  <c r="R45" i="86" s="1"/>
  <c r="BE16" i="86"/>
  <c r="BC16" i="86"/>
  <c r="BF16" i="86"/>
  <c r="K41" i="86"/>
  <c r="I41" i="86"/>
  <c r="L41" i="86"/>
  <c r="BF19" i="86"/>
  <c r="BE19" i="86"/>
  <c r="BC19" i="86"/>
  <c r="L48" i="86"/>
  <c r="K48" i="86"/>
  <c r="I48" i="86"/>
  <c r="BF23" i="86"/>
  <c r="BE23" i="86"/>
  <c r="BC23" i="86"/>
  <c r="R18" i="80"/>
  <c r="R40" i="80"/>
  <c r="R45" i="80"/>
  <c r="E45" i="80"/>
  <c r="E18" i="80"/>
  <c r="E40" i="80"/>
  <c r="E45" i="79"/>
  <c r="E40" i="79"/>
  <c r="E13" i="79"/>
  <c r="E45" i="77"/>
  <c r="E45" i="78"/>
  <c r="E18" i="78"/>
  <c r="E40" i="78"/>
  <c r="E13" i="78"/>
  <c r="E40" i="77"/>
  <c r="E13" i="77"/>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4" i="10"/>
  <c r="I243" i="10"/>
  <c r="I242" i="10"/>
  <c r="I241" i="10"/>
  <c r="I240" i="10"/>
  <c r="I238" i="10"/>
  <c r="I237" i="10"/>
  <c r="I235" i="10"/>
  <c r="I234" i="10"/>
  <c r="I233" i="10"/>
  <c r="I232" i="10"/>
  <c r="I231" i="10"/>
  <c r="I230" i="10"/>
  <c r="I229" i="10"/>
  <c r="I228" i="10"/>
  <c r="I227" i="10"/>
  <c r="I226" i="10"/>
  <c r="I225" i="10"/>
  <c r="F225" i="10"/>
  <c r="I224" i="10"/>
  <c r="F224" i="10"/>
  <c r="I223" i="10"/>
  <c r="F223" i="10"/>
  <c r="I222" i="10"/>
  <c r="F222" i="10"/>
  <c r="I221" i="10"/>
  <c r="F221" i="10"/>
  <c r="I220" i="10"/>
  <c r="F220" i="10"/>
  <c r="I219" i="10"/>
  <c r="F219" i="10"/>
  <c r="I218" i="10"/>
  <c r="F218" i="10"/>
  <c r="I217" i="10"/>
  <c r="F217" i="10"/>
  <c r="I216" i="10"/>
  <c r="F216" i="10"/>
  <c r="I215" i="10"/>
  <c r="F215" i="10"/>
  <c r="I214" i="10"/>
  <c r="F214" i="10"/>
  <c r="I213" i="10"/>
  <c r="F213" i="10"/>
  <c r="I212" i="10"/>
  <c r="F212" i="10"/>
  <c r="I210" i="10"/>
  <c r="F210" i="10"/>
  <c r="I209" i="10"/>
  <c r="F209" i="10"/>
  <c r="I207" i="10"/>
  <c r="F207" i="10"/>
  <c r="I206" i="10"/>
  <c r="F206" i="10"/>
  <c r="I205" i="10"/>
  <c r="F205" i="10"/>
  <c r="I204" i="10"/>
  <c r="F204" i="10"/>
  <c r="I203" i="10"/>
  <c r="F203" i="10"/>
  <c r="I202" i="10"/>
  <c r="F202" i="10"/>
  <c r="I201" i="10"/>
  <c r="F201" i="10"/>
  <c r="I200" i="10"/>
  <c r="F200" i="10"/>
  <c r="I199" i="10"/>
  <c r="F199" i="10"/>
  <c r="I198"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I171" i="10"/>
  <c r="F171" i="10"/>
  <c r="I170" i="10"/>
  <c r="F170" i="10"/>
  <c r="I169" i="10"/>
  <c r="F169" i="10"/>
  <c r="I168" i="10"/>
  <c r="F168" i="10"/>
  <c r="I167" i="10"/>
  <c r="F167" i="10"/>
  <c r="I166" i="10"/>
  <c r="F166" i="10"/>
  <c r="I165" i="10"/>
  <c r="F165" i="10"/>
  <c r="I164" i="10"/>
  <c r="F164" i="10"/>
  <c r="I163" i="10"/>
  <c r="F163" i="10"/>
  <c r="I162" i="10"/>
  <c r="F162" i="10"/>
  <c r="I161" i="10"/>
  <c r="F161" i="10"/>
  <c r="I160" i="10"/>
  <c r="F160" i="10"/>
  <c r="I159" i="10"/>
  <c r="F159" i="10"/>
  <c r="I158" i="10"/>
  <c r="F158" i="10"/>
  <c r="I157" i="10"/>
  <c r="F157" i="10"/>
  <c r="I156" i="10"/>
  <c r="F156" i="10"/>
  <c r="I155" i="10"/>
  <c r="F155" i="10"/>
  <c r="I154" i="10"/>
  <c r="F154" i="10"/>
  <c r="I153" i="10"/>
  <c r="F153" i="10"/>
  <c r="I152" i="10"/>
  <c r="F152" i="10"/>
  <c r="I151" i="10"/>
  <c r="F151" i="10"/>
  <c r="I150" i="10"/>
  <c r="F150" i="10"/>
  <c r="I149" i="10"/>
  <c r="F149" i="10"/>
  <c r="I148" i="10"/>
  <c r="F148" i="10"/>
  <c r="I147" i="10"/>
  <c r="F147" i="10"/>
  <c r="I146" i="10"/>
  <c r="F146" i="10"/>
  <c r="I145" i="10"/>
  <c r="F145" i="10"/>
  <c r="I144" i="10"/>
  <c r="F144" i="10"/>
  <c r="I143" i="10"/>
  <c r="F143" i="10"/>
  <c r="I142" i="10"/>
  <c r="F142" i="10"/>
  <c r="I141" i="10"/>
  <c r="F141" i="10"/>
  <c r="I140" i="10"/>
  <c r="F140" i="10"/>
  <c r="I139" i="10"/>
  <c r="F139" i="10"/>
  <c r="I138" i="10"/>
  <c r="F138" i="10"/>
  <c r="I137" i="10"/>
  <c r="F137" i="10"/>
  <c r="I136" i="10"/>
  <c r="F136" i="10"/>
  <c r="I135" i="10"/>
  <c r="F135" i="10"/>
  <c r="I134" i="10"/>
  <c r="F134" i="10"/>
  <c r="I133" i="10"/>
  <c r="F133" i="10"/>
  <c r="I132" i="10"/>
  <c r="F132" i="10"/>
  <c r="I131" i="10"/>
  <c r="F131" i="10"/>
  <c r="I130" i="10"/>
  <c r="F130" i="10"/>
  <c r="I129" i="10"/>
  <c r="F129" i="10"/>
  <c r="I128" i="10"/>
  <c r="F128" i="10"/>
  <c r="I127" i="10"/>
  <c r="F127" i="10"/>
  <c r="I126" i="10"/>
  <c r="F126" i="10"/>
  <c r="I125" i="10"/>
  <c r="F125" i="10"/>
  <c r="I124" i="10"/>
  <c r="F124" i="10"/>
  <c r="I123" i="10"/>
  <c r="F123" i="10"/>
  <c r="I122" i="10"/>
  <c r="F122" i="10"/>
  <c r="I121" i="10"/>
  <c r="F121" i="10"/>
  <c r="I120" i="10"/>
  <c r="F120" i="10"/>
  <c r="I119" i="10"/>
  <c r="F119" i="10"/>
  <c r="I118" i="10"/>
  <c r="F118" i="10"/>
  <c r="I117" i="10"/>
  <c r="F117" i="10"/>
  <c r="I116" i="10"/>
  <c r="F116" i="10"/>
  <c r="I115" i="10"/>
  <c r="F115" i="10"/>
  <c r="I114" i="10"/>
  <c r="F114" i="10"/>
  <c r="I113" i="10"/>
  <c r="F113" i="10"/>
  <c r="I112" i="10"/>
  <c r="F112" i="10"/>
  <c r="I111" i="10"/>
  <c r="F111" i="10"/>
  <c r="I110" i="10"/>
  <c r="F110" i="10"/>
  <c r="I109" i="10"/>
  <c r="F109" i="10"/>
  <c r="I108" i="10"/>
  <c r="F108" i="10"/>
  <c r="I107" i="10"/>
  <c r="F107" i="10"/>
  <c r="I105" i="10"/>
  <c r="F105" i="10"/>
  <c r="I104" i="10"/>
  <c r="F104" i="10"/>
  <c r="I103" i="10"/>
  <c r="F103" i="10"/>
  <c r="I102" i="10"/>
  <c r="F102" i="10"/>
  <c r="I101" i="10"/>
  <c r="F101" i="10"/>
  <c r="I99" i="10"/>
  <c r="F99" i="10"/>
  <c r="I98" i="10"/>
  <c r="F98" i="10"/>
  <c r="I96" i="10"/>
  <c r="F96" i="10"/>
  <c r="I95" i="10"/>
  <c r="F95" i="10"/>
  <c r="I94" i="10"/>
  <c r="F94" i="10"/>
  <c r="I93" i="10"/>
  <c r="F93" i="10"/>
  <c r="I92" i="10"/>
  <c r="F92" i="10"/>
  <c r="I91" i="10"/>
  <c r="F91" i="10"/>
  <c r="I90" i="10"/>
  <c r="F90" i="10"/>
  <c r="I89" i="10"/>
  <c r="F89" i="10"/>
  <c r="I88" i="10"/>
  <c r="F88" i="10"/>
  <c r="I87" i="10"/>
  <c r="F87" i="10"/>
  <c r="I86" i="10"/>
  <c r="F86" i="10"/>
  <c r="I85" i="10"/>
  <c r="F85" i="10"/>
  <c r="I84" i="10"/>
  <c r="F84" i="10"/>
  <c r="I83" i="10"/>
  <c r="F83" i="10"/>
  <c r="I82" i="10"/>
  <c r="F82" i="10"/>
  <c r="I81" i="10"/>
  <c r="F81" i="10"/>
  <c r="I80" i="10"/>
  <c r="F80" i="10"/>
  <c r="I79" i="10"/>
  <c r="F79" i="10"/>
  <c r="I78" i="10"/>
  <c r="F78" i="10"/>
  <c r="I77" i="10"/>
  <c r="F77" i="10"/>
  <c r="I76" i="10"/>
  <c r="F76" i="10"/>
  <c r="I75" i="10"/>
  <c r="F75" i="10"/>
  <c r="I74" i="10"/>
  <c r="F74" i="10"/>
  <c r="I73" i="10"/>
  <c r="F73" i="10"/>
  <c r="I72" i="10"/>
  <c r="F72" i="10"/>
  <c r="I71" i="10"/>
  <c r="F71" i="10"/>
  <c r="I70" i="10"/>
  <c r="F70" i="10"/>
  <c r="I69" i="10"/>
  <c r="F69" i="10"/>
  <c r="I68" i="10"/>
  <c r="F68" i="10"/>
  <c r="I67" i="10"/>
  <c r="F67" i="10"/>
  <c r="I66" i="10"/>
  <c r="F66" i="10"/>
  <c r="I65" i="10"/>
  <c r="F65" i="10"/>
  <c r="I64" i="10"/>
  <c r="F64" i="10"/>
  <c r="I63" i="10"/>
  <c r="F63" i="10"/>
  <c r="I62" i="10"/>
  <c r="F62" i="10"/>
  <c r="I61" i="10"/>
  <c r="F61" i="10"/>
  <c r="F60" i="10"/>
  <c r="F59" i="10"/>
  <c r="F58" i="10"/>
  <c r="F57" i="10"/>
  <c r="F56" i="10"/>
  <c r="F55" i="10"/>
  <c r="F54" i="10"/>
  <c r="F53" i="10"/>
  <c r="F52" i="10"/>
  <c r="F51" i="10"/>
  <c r="F50" i="10"/>
  <c r="F49" i="10"/>
  <c r="F48" i="10"/>
  <c r="F46" i="10"/>
  <c r="F45" i="10"/>
  <c r="F43" i="10"/>
  <c r="F42" i="10"/>
  <c r="F41" i="10"/>
  <c r="F40" i="10"/>
  <c r="F39" i="10"/>
  <c r="F37" i="10"/>
  <c r="F36" i="10"/>
  <c r="F35" i="10"/>
  <c r="F34" i="10"/>
  <c r="F33" i="10"/>
  <c r="F32" i="10"/>
  <c r="F31" i="10"/>
  <c r="F30" i="10"/>
  <c r="F29" i="10"/>
  <c r="F28" i="10"/>
  <c r="I27" i="10"/>
  <c r="F27" i="10"/>
  <c r="I26" i="10"/>
  <c r="F26" i="10"/>
  <c r="I25" i="10"/>
  <c r="F25" i="10"/>
  <c r="I24" i="10"/>
  <c r="F24" i="10"/>
  <c r="I23" i="10"/>
  <c r="F23" i="10"/>
  <c r="I22" i="10"/>
  <c r="F22" i="10"/>
  <c r="I21" i="10"/>
  <c r="F21" i="10"/>
  <c r="I20" i="10"/>
  <c r="F20" i="10"/>
  <c r="I19" i="10"/>
  <c r="F19" i="10"/>
  <c r="I18" i="10"/>
  <c r="F18" i="10"/>
  <c r="I17" i="10"/>
  <c r="F17" i="10"/>
  <c r="I16" i="10"/>
  <c r="F16" i="10"/>
  <c r="I15" i="10"/>
  <c r="F15" i="10"/>
  <c r="I14" i="10"/>
  <c r="F14" i="10"/>
  <c r="I13" i="10"/>
  <c r="F13" i="10"/>
  <c r="I12" i="10"/>
  <c r="F12" i="10"/>
  <c r="I11" i="10"/>
  <c r="F11" i="10"/>
  <c r="I10" i="10"/>
  <c r="F10" i="10"/>
  <c r="I9" i="10"/>
  <c r="F9" i="10"/>
  <c r="I8" i="10"/>
  <c r="F8" i="10"/>
  <c r="I7" i="10"/>
  <c r="F7" i="10"/>
  <c r="I6" i="10"/>
  <c r="F6" i="10"/>
  <c r="I5" i="10"/>
  <c r="F5" i="10"/>
  <c r="I4" i="10"/>
  <c r="F4" i="10"/>
  <c r="I3" i="10"/>
  <c r="F3" i="10"/>
  <c r="I2" i="10"/>
  <c r="F2" i="10"/>
  <c r="I288" i="10"/>
  <c r="I287" i="10"/>
  <c r="I286" i="10"/>
  <c r="I285" i="10"/>
  <c r="I284" i="10"/>
  <c r="I283" i="10"/>
  <c r="I282" i="10"/>
  <c r="I281" i="10"/>
  <c r="I280" i="10"/>
  <c r="I279" i="10"/>
  <c r="I278" i="10"/>
  <c r="I277" i="10"/>
  <c r="I276" i="10"/>
  <c r="I275" i="10"/>
  <c r="I274" i="10"/>
  <c r="I273" i="10"/>
  <c r="I272" i="10"/>
  <c r="I271" i="10"/>
  <c r="I270" i="10"/>
  <c r="O38" i="74"/>
  <c r="P37" i="74"/>
  <c r="O37" i="74"/>
  <c r="N37" i="74"/>
  <c r="P36" i="74"/>
  <c r="O36" i="74"/>
  <c r="N36" i="74"/>
  <c r="P35" i="74"/>
  <c r="O35" i="74"/>
  <c r="N35" i="74"/>
  <c r="P33" i="74"/>
  <c r="O33" i="74"/>
  <c r="N33" i="74"/>
  <c r="P32" i="74"/>
  <c r="O32" i="74"/>
  <c r="N32" i="74"/>
  <c r="P31" i="74"/>
  <c r="O31" i="74"/>
  <c r="N31" i="74"/>
  <c r="P29" i="74"/>
  <c r="O29" i="74"/>
  <c r="N29" i="74"/>
  <c r="P28" i="74"/>
  <c r="O28" i="74"/>
  <c r="N28" i="74"/>
  <c r="P27" i="74"/>
  <c r="O27" i="74"/>
  <c r="N27" i="74"/>
  <c r="P22" i="74"/>
  <c r="O22" i="74"/>
  <c r="N22" i="74"/>
  <c r="P21" i="74"/>
  <c r="O21" i="74"/>
  <c r="N21" i="74"/>
  <c r="P20" i="74"/>
  <c r="O20" i="74"/>
  <c r="N20" i="74"/>
  <c r="P19" i="74"/>
  <c r="O19" i="74"/>
  <c r="N19" i="74"/>
  <c r="P18" i="74"/>
  <c r="O18" i="74"/>
  <c r="N18" i="74"/>
  <c r="P17" i="74"/>
  <c r="O17" i="74"/>
  <c r="N17" i="74"/>
  <c r="P16" i="74"/>
  <c r="P38" i="74" s="1"/>
  <c r="O16" i="74"/>
  <c r="N16" i="74"/>
  <c r="P15" i="74"/>
  <c r="P39" i="74" s="1"/>
  <c r="O15" i="74"/>
  <c r="O39" i="74" s="1"/>
  <c r="N15" i="74"/>
  <c r="N38" i="74" s="1"/>
  <c r="P14" i="74"/>
  <c r="P30" i="74" s="1"/>
  <c r="O14" i="74"/>
  <c r="O34" i="74" s="1"/>
  <c r="N14" i="74"/>
  <c r="N30" i="74" s="1"/>
  <c r="P13" i="74"/>
  <c r="P34" i="74" s="1"/>
  <c r="O13" i="74"/>
  <c r="N13" i="74"/>
  <c r="P12" i="74"/>
  <c r="O12" i="74"/>
  <c r="N12" i="74"/>
  <c r="N26" i="74" s="1"/>
  <c r="P11" i="74"/>
  <c r="P24" i="74" s="1"/>
  <c r="O11" i="74"/>
  <c r="O24" i="74" s="1"/>
  <c r="N11" i="74"/>
  <c r="N24" i="74" s="1"/>
  <c r="P10" i="74"/>
  <c r="O10" i="74"/>
  <c r="N10" i="74"/>
  <c r="P9" i="74"/>
  <c r="O9" i="74"/>
  <c r="N9" i="74"/>
  <c r="P8" i="74"/>
  <c r="O8" i="74"/>
  <c r="N8" i="74"/>
  <c r="P7" i="74"/>
  <c r="P23" i="74" s="1"/>
  <c r="O7" i="74"/>
  <c r="O23" i="74" s="1"/>
  <c r="N7" i="74"/>
  <c r="N23" i="74" s="1"/>
  <c r="P6" i="74"/>
  <c r="O6" i="74"/>
  <c r="N6" i="74"/>
  <c r="P5" i="74"/>
  <c r="O5" i="74"/>
  <c r="N5" i="74"/>
  <c r="P4" i="74"/>
  <c r="O4" i="74"/>
  <c r="N4" i="74"/>
  <c r="P3" i="74"/>
  <c r="P40" i="74" s="1"/>
  <c r="O3" i="74"/>
  <c r="O40" i="74" s="1"/>
  <c r="N3" i="74"/>
  <c r="N40" i="74" s="1"/>
  <c r="U217" i="86" l="1"/>
  <c r="V217" i="86" s="1"/>
  <c r="U231" i="86"/>
  <c r="AR209" i="86" s="1"/>
  <c r="N224" i="86"/>
  <c r="R224" i="86" s="1"/>
  <c r="P224" i="86"/>
  <c r="T224" i="86" s="1"/>
  <c r="O224" i="86"/>
  <c r="S224" i="86" s="1"/>
  <c r="M224" i="86"/>
  <c r="Q224" i="86" s="1"/>
  <c r="U213" i="86"/>
  <c r="AR195" i="86"/>
  <c r="AQ195" i="86"/>
  <c r="AQ209" i="86"/>
  <c r="V231" i="86"/>
  <c r="AA205" i="86"/>
  <c r="Z205" i="86"/>
  <c r="AB198" i="86"/>
  <c r="J220" i="86"/>
  <c r="P177" i="86"/>
  <c r="T177" i="86" s="1"/>
  <c r="N177" i="86"/>
  <c r="R177" i="86" s="1"/>
  <c r="M177" i="86"/>
  <c r="Q177" i="86" s="1"/>
  <c r="O177" i="86"/>
  <c r="S177" i="86" s="1"/>
  <c r="U180" i="86"/>
  <c r="V180" i="86" s="1"/>
  <c r="AO121" i="86"/>
  <c r="AD124" i="86"/>
  <c r="AB124" i="86"/>
  <c r="U176" i="86"/>
  <c r="AP145" i="86"/>
  <c r="AQ145" i="86"/>
  <c r="AR145" i="86"/>
  <c r="U182" i="86"/>
  <c r="AD148" i="86"/>
  <c r="AB148" i="86"/>
  <c r="AO110" i="86"/>
  <c r="AA117" i="86"/>
  <c r="Z117" i="86"/>
  <c r="AP121" i="86"/>
  <c r="AQ121" i="86"/>
  <c r="AR121" i="86"/>
  <c r="BQ65" i="86"/>
  <c r="AI141" i="86"/>
  <c r="AM141" i="86" s="1"/>
  <c r="AG141" i="86"/>
  <c r="AK141" i="86" s="1"/>
  <c r="AO141" i="86" s="1"/>
  <c r="AJ141" i="86"/>
  <c r="AN141" i="86" s="1"/>
  <c r="AH141" i="86"/>
  <c r="AL141" i="86" s="1"/>
  <c r="U174" i="86"/>
  <c r="BJ72" i="86"/>
  <c r="BN72" i="86" s="1"/>
  <c r="BP65" i="86"/>
  <c r="U179" i="86"/>
  <c r="AH114" i="86"/>
  <c r="AL114" i="86" s="1"/>
  <c r="AJ114" i="86"/>
  <c r="AN114" i="86" s="1"/>
  <c r="AG114" i="86"/>
  <c r="AK114" i="86" s="1"/>
  <c r="AI114" i="86"/>
  <c r="AM114" i="86" s="1"/>
  <c r="AO128" i="86"/>
  <c r="AS65" i="86"/>
  <c r="V87" i="86"/>
  <c r="BH68" i="86"/>
  <c r="BL68" i="86" s="1"/>
  <c r="BJ68" i="86"/>
  <c r="BN68" i="86" s="1"/>
  <c r="BI68" i="86"/>
  <c r="BM68" i="86" s="1"/>
  <c r="BG68" i="86"/>
  <c r="BK68" i="86" s="1"/>
  <c r="BO75" i="86"/>
  <c r="U101" i="86"/>
  <c r="V101" i="86" s="1"/>
  <c r="N83" i="86"/>
  <c r="R83" i="86" s="1"/>
  <c r="O83" i="86"/>
  <c r="S83" i="86" s="1"/>
  <c r="M83" i="86"/>
  <c r="Q83" i="86" s="1"/>
  <c r="P83" i="86"/>
  <c r="T83" i="86" s="1"/>
  <c r="V90" i="86"/>
  <c r="AT68" i="86"/>
  <c r="AS68" i="86"/>
  <c r="V94" i="86"/>
  <c r="AS72" i="86"/>
  <c r="AT72" i="86"/>
  <c r="BO72" i="86"/>
  <c r="BH61" i="86"/>
  <c r="BL61" i="86" s="1"/>
  <c r="BI61" i="86"/>
  <c r="BM61" i="86" s="1"/>
  <c r="BJ61" i="86"/>
  <c r="BN61" i="86" s="1"/>
  <c r="BG61" i="86"/>
  <c r="BK61" i="86" s="1"/>
  <c r="BO79" i="86"/>
  <c r="AS79" i="86"/>
  <c r="BQ75" i="86"/>
  <c r="BP75" i="86"/>
  <c r="BR75" i="86"/>
  <c r="M97" i="86"/>
  <c r="Q97" i="86" s="1"/>
  <c r="P97" i="86"/>
  <c r="T97" i="86" s="1"/>
  <c r="N97" i="86"/>
  <c r="R97" i="86" s="1"/>
  <c r="O97" i="86"/>
  <c r="S97" i="86" s="1"/>
  <c r="BI30" i="86"/>
  <c r="BM30" i="86" s="1"/>
  <c r="M52" i="86"/>
  <c r="Q52" i="86" s="1"/>
  <c r="BG30" i="86"/>
  <c r="BK30" i="86" s="1"/>
  <c r="BJ30" i="86"/>
  <c r="BN30" i="86" s="1"/>
  <c r="BH30" i="86"/>
  <c r="BL30" i="86" s="1"/>
  <c r="N52" i="86"/>
  <c r="R52" i="86" s="1"/>
  <c r="P52" i="86"/>
  <c r="T52" i="86" s="1"/>
  <c r="O52" i="86"/>
  <c r="S52" i="86" s="1"/>
  <c r="U45" i="86"/>
  <c r="V45" i="86" s="1"/>
  <c r="M41" i="86"/>
  <c r="Q41" i="86" s="1"/>
  <c r="N41" i="86"/>
  <c r="R41" i="86" s="1"/>
  <c r="O41" i="86"/>
  <c r="S41" i="86" s="1"/>
  <c r="P41" i="86"/>
  <c r="T41" i="86" s="1"/>
  <c r="BJ19" i="86"/>
  <c r="BN19" i="86" s="1"/>
  <c r="BG19" i="86"/>
  <c r="BK19" i="86" s="1"/>
  <c r="BI19" i="86"/>
  <c r="BM19" i="86" s="1"/>
  <c r="BH19" i="86"/>
  <c r="BL19" i="86" s="1"/>
  <c r="P48" i="86"/>
  <c r="T48" i="86" s="1"/>
  <c r="N48" i="86"/>
  <c r="R48" i="86" s="1"/>
  <c r="O48" i="86"/>
  <c r="S48" i="86" s="1"/>
  <c r="M48" i="86"/>
  <c r="Q48" i="86" s="1"/>
  <c r="BJ16" i="86"/>
  <c r="BN16" i="86" s="1"/>
  <c r="BI16" i="86"/>
  <c r="BM16" i="86" s="1"/>
  <c r="BH16" i="86"/>
  <c r="BL16" i="86" s="1"/>
  <c r="BG16" i="86"/>
  <c r="BK16" i="86" s="1"/>
  <c r="BI23" i="86"/>
  <c r="BM23" i="86" s="1"/>
  <c r="BH23" i="86"/>
  <c r="BL23" i="86" s="1"/>
  <c r="BG23" i="86"/>
  <c r="BK23" i="86" s="1"/>
  <c r="BJ23" i="86"/>
  <c r="BN23" i="86" s="1"/>
  <c r="BO26" i="86"/>
  <c r="N25" i="74"/>
  <c r="N39" i="74"/>
  <c r="O25" i="74"/>
  <c r="O30" i="74"/>
  <c r="N34" i="74"/>
  <c r="P26" i="74"/>
  <c r="P25" i="74"/>
  <c r="O26" i="74"/>
  <c r="J227" i="86" l="1"/>
  <c r="AB205" i="86"/>
  <c r="I220" i="86"/>
  <c r="K220" i="86"/>
  <c r="L220" i="86"/>
  <c r="U224" i="86"/>
  <c r="AR191" i="86"/>
  <c r="AQ191" i="86"/>
  <c r="V213" i="86"/>
  <c r="AR170" i="86"/>
  <c r="AQ170" i="86"/>
  <c r="U177" i="86"/>
  <c r="AO114" i="86"/>
  <c r="V182" i="86"/>
  <c r="AQ172" i="86"/>
  <c r="AR172" i="86"/>
  <c r="AP114" i="86"/>
  <c r="AQ114" i="86"/>
  <c r="AR114" i="86"/>
  <c r="V174" i="86"/>
  <c r="AQ164" i="86"/>
  <c r="AR164" i="86"/>
  <c r="AP128" i="86"/>
  <c r="AQ128" i="86"/>
  <c r="AR128" i="86"/>
  <c r="AE148" i="86"/>
  <c r="AF148" i="86"/>
  <c r="AC148" i="86"/>
  <c r="V179" i="86"/>
  <c r="AQ169" i="86"/>
  <c r="AR169" i="86"/>
  <c r="AB117" i="86"/>
  <c r="AD117" i="86"/>
  <c r="V176" i="86"/>
  <c r="AQ166" i="86"/>
  <c r="AR166" i="86"/>
  <c r="AQ141" i="86"/>
  <c r="AR141" i="86"/>
  <c r="AP141" i="86"/>
  <c r="AP110" i="86"/>
  <c r="AQ110" i="86"/>
  <c r="AR110" i="86"/>
  <c r="AE124" i="86"/>
  <c r="AF124" i="86"/>
  <c r="AC124" i="86"/>
  <c r="AT79" i="86"/>
  <c r="BO68" i="86"/>
  <c r="BO61" i="86"/>
  <c r="BR61" i="86" s="1"/>
  <c r="BP79" i="86"/>
  <c r="BQ79" i="86"/>
  <c r="BR79" i="86"/>
  <c r="U97" i="86"/>
  <c r="BP61" i="86"/>
  <c r="BP72" i="86"/>
  <c r="BQ72" i="86"/>
  <c r="BR72" i="86"/>
  <c r="U83" i="86"/>
  <c r="BO30" i="86"/>
  <c r="BR30" i="86" s="1"/>
  <c r="U52" i="86"/>
  <c r="V52" i="86" s="1"/>
  <c r="AT23" i="86"/>
  <c r="AS23" i="86"/>
  <c r="BO16" i="86"/>
  <c r="BQ16" i="86" s="1"/>
  <c r="U41" i="86"/>
  <c r="U48" i="86"/>
  <c r="BO19" i="86"/>
  <c r="BO23" i="86"/>
  <c r="BR26" i="86"/>
  <c r="BQ26" i="86"/>
  <c r="BP26" i="86"/>
  <c r="F35" i="37"/>
  <c r="I35" i="37"/>
  <c r="F36" i="37"/>
  <c r="I36" i="37"/>
  <c r="F35" i="33"/>
  <c r="I35" i="33"/>
  <c r="F36" i="33"/>
  <c r="I36" i="33"/>
  <c r="F35" i="42"/>
  <c r="I35" i="42"/>
  <c r="F36" i="42"/>
  <c r="I36" i="42"/>
  <c r="F35" i="43"/>
  <c r="I35" i="43"/>
  <c r="F36" i="43"/>
  <c r="I36" i="43"/>
  <c r="F35" i="36"/>
  <c r="I35" i="36"/>
  <c r="F36" i="36"/>
  <c r="I36" i="36"/>
  <c r="I35" i="21"/>
  <c r="I36" i="21"/>
  <c r="F35" i="21"/>
  <c r="F36" i="21"/>
  <c r="V224" i="86" l="1"/>
  <c r="AR202" i="86"/>
  <c r="AQ202" i="86"/>
  <c r="M220" i="86"/>
  <c r="Q220" i="86" s="1"/>
  <c r="N220" i="86"/>
  <c r="R220" i="86" s="1"/>
  <c r="P220" i="86"/>
  <c r="T220" i="86" s="1"/>
  <c r="O220" i="86"/>
  <c r="S220" i="86" s="1"/>
  <c r="L227" i="86"/>
  <c r="K227" i="86"/>
  <c r="I227" i="86"/>
  <c r="AQ167" i="86"/>
  <c r="AR167" i="86"/>
  <c r="V177" i="86"/>
  <c r="AG148" i="86"/>
  <c r="AK148" i="86" s="1"/>
  <c r="AO148" i="86" s="1"/>
  <c r="AH148" i="86"/>
  <c r="AL148" i="86" s="1"/>
  <c r="AI148" i="86"/>
  <c r="AM148" i="86" s="1"/>
  <c r="AJ148" i="86"/>
  <c r="AN148" i="86" s="1"/>
  <c r="AC117" i="86"/>
  <c r="AE117" i="86"/>
  <c r="AF117" i="86"/>
  <c r="AI124" i="86"/>
  <c r="AM124" i="86" s="1"/>
  <c r="AG124" i="86"/>
  <c r="AK124" i="86" s="1"/>
  <c r="AJ124" i="86"/>
  <c r="AN124" i="86" s="1"/>
  <c r="AH124" i="86"/>
  <c r="AL124" i="86" s="1"/>
  <c r="BQ61" i="86"/>
  <c r="BQ68" i="86"/>
  <c r="BR68" i="86"/>
  <c r="BP68" i="86"/>
  <c r="AS75" i="86"/>
  <c r="V97" i="86"/>
  <c r="AT75" i="86"/>
  <c r="V83" i="86"/>
  <c r="AS61" i="86"/>
  <c r="AT61" i="86"/>
  <c r="BP30" i="86"/>
  <c r="BQ30" i="86"/>
  <c r="AS30" i="86"/>
  <c r="AT30" i="86"/>
  <c r="BR16" i="86"/>
  <c r="BP16" i="86"/>
  <c r="BQ23" i="86"/>
  <c r="BP23" i="86"/>
  <c r="BR23" i="86"/>
  <c r="BR19" i="86"/>
  <c r="BQ19" i="86"/>
  <c r="BP19" i="86"/>
  <c r="V48" i="86"/>
  <c r="AT26" i="86"/>
  <c r="AS26" i="86"/>
  <c r="AT19" i="86"/>
  <c r="AS19" i="86"/>
  <c r="V41" i="86"/>
  <c r="K104" i="37"/>
  <c r="K104" i="33"/>
  <c r="K104" i="21"/>
  <c r="J136" i="21"/>
  <c r="J137" i="21"/>
  <c r="J138" i="21"/>
  <c r="J139" i="21"/>
  <c r="J140" i="21"/>
  <c r="J141" i="21"/>
  <c r="J142" i="21"/>
  <c r="J143" i="21"/>
  <c r="J104" i="21"/>
  <c r="J105" i="21"/>
  <c r="J106" i="21"/>
  <c r="J107" i="21"/>
  <c r="J108" i="21"/>
  <c r="J109" i="21"/>
  <c r="J110" i="21"/>
  <c r="J111" i="21"/>
  <c r="J112" i="21"/>
  <c r="J118" i="21"/>
  <c r="J120" i="21"/>
  <c r="J121" i="21"/>
  <c r="J122" i="21"/>
  <c r="J123" i="21"/>
  <c r="J124" i="21"/>
  <c r="J125" i="21"/>
  <c r="J126" i="21"/>
  <c r="J127" i="21"/>
  <c r="J134" i="21"/>
  <c r="U220" i="86" l="1"/>
  <c r="P227" i="86"/>
  <c r="T227" i="86" s="1"/>
  <c r="N227" i="86"/>
  <c r="R227" i="86" s="1"/>
  <c r="O227" i="86"/>
  <c r="S227" i="86" s="1"/>
  <c r="M227" i="86"/>
  <c r="Q227" i="86" s="1"/>
  <c r="AO124" i="86"/>
  <c r="AH117" i="86"/>
  <c r="AL117" i="86" s="1"/>
  <c r="AJ117" i="86"/>
  <c r="AN117" i="86" s="1"/>
  <c r="AI117" i="86"/>
  <c r="AM117" i="86" s="1"/>
  <c r="AG117" i="86"/>
  <c r="AK117" i="86" s="1"/>
  <c r="AP148" i="86"/>
  <c r="AQ148" i="86"/>
  <c r="AR148" i="86"/>
  <c r="D20" i="65"/>
  <c r="D21" i="65"/>
  <c r="D22" i="65"/>
  <c r="D23" i="65"/>
  <c r="D24" i="65"/>
  <c r="D25" i="65"/>
  <c r="D26" i="65"/>
  <c r="D27" i="65"/>
  <c r="D6" i="65"/>
  <c r="D7" i="65"/>
  <c r="D8" i="65"/>
  <c r="D9" i="65"/>
  <c r="D10" i="65"/>
  <c r="D11" i="65"/>
  <c r="D12" i="65"/>
  <c r="D13" i="65"/>
  <c r="D14" i="65"/>
  <c r="D15" i="65"/>
  <c r="D16" i="65"/>
  <c r="D17" i="65"/>
  <c r="D18" i="65"/>
  <c r="D19" i="65"/>
  <c r="D5" i="65"/>
  <c r="D4" i="65"/>
  <c r="D26" i="26"/>
  <c r="U227" i="86" l="1"/>
  <c r="AR198" i="86"/>
  <c r="AQ198" i="86"/>
  <c r="V220" i="86"/>
  <c r="AO117" i="86"/>
  <c r="AQ117" i="86" s="1"/>
  <c r="AP124" i="86"/>
  <c r="AQ124" i="86"/>
  <c r="AR124" i="86"/>
  <c r="D7" i="35"/>
  <c r="E7" i="35" s="1"/>
  <c r="F7" i="35" s="1"/>
  <c r="AR205" i="86" l="1"/>
  <c r="AQ205" i="86"/>
  <c r="V227" i="86"/>
  <c r="AP117" i="86"/>
  <c r="AR117" i="86"/>
  <c r="J136" i="35"/>
  <c r="K136" i="35" s="1"/>
  <c r="N136" i="35"/>
  <c r="O136" i="35"/>
  <c r="P136" i="35"/>
  <c r="Q136" i="35"/>
  <c r="J131" i="35"/>
  <c r="K131" i="35" s="1"/>
  <c r="L131" i="35" s="1"/>
  <c r="N131" i="35"/>
  <c r="O131" i="35" s="1"/>
  <c r="P131" i="35" s="1"/>
  <c r="J141" i="35"/>
  <c r="K141" i="35"/>
  <c r="L141" i="35" s="1"/>
  <c r="N141" i="35"/>
  <c r="O141" i="35"/>
  <c r="P141" i="35"/>
  <c r="Q141" i="35"/>
  <c r="J126" i="35"/>
  <c r="K126" i="35" s="1"/>
  <c r="N126" i="35"/>
  <c r="O126" i="35"/>
  <c r="P126" i="35" s="1"/>
  <c r="D127" i="35"/>
  <c r="E127" i="35" s="1"/>
  <c r="F127" i="35" s="1"/>
  <c r="M127" i="35" s="1"/>
  <c r="J121" i="35"/>
  <c r="K121" i="35"/>
  <c r="L121" i="35" s="1"/>
  <c r="N121" i="35"/>
  <c r="O121" i="35"/>
  <c r="P121" i="35"/>
  <c r="Q121" i="35"/>
  <c r="J116" i="35"/>
  <c r="K116" i="35"/>
  <c r="L116" i="35" s="1"/>
  <c r="N116" i="35"/>
  <c r="O116" i="35" s="1"/>
  <c r="P116" i="35" s="1"/>
  <c r="J111" i="35"/>
  <c r="K111" i="35" s="1"/>
  <c r="L111" i="35" s="1"/>
  <c r="N111" i="35"/>
  <c r="O111" i="35" s="1"/>
  <c r="P111" i="35" s="1"/>
  <c r="Q111" i="35" s="1"/>
  <c r="J106" i="35"/>
  <c r="K106" i="35"/>
  <c r="L106" i="35" s="1"/>
  <c r="N106" i="35"/>
  <c r="O106" i="35" s="1"/>
  <c r="P106" i="35" s="1"/>
  <c r="J101" i="35"/>
  <c r="K101" i="35" s="1"/>
  <c r="N101" i="35"/>
  <c r="O101" i="35" s="1"/>
  <c r="P101" i="35" s="1"/>
  <c r="J96" i="35"/>
  <c r="K96" i="35"/>
  <c r="L96" i="35" s="1"/>
  <c r="N96" i="35"/>
  <c r="O96" i="35" s="1"/>
  <c r="P96" i="35" s="1"/>
  <c r="J86" i="35"/>
  <c r="K86" i="35" s="1"/>
  <c r="N86" i="35"/>
  <c r="O86" i="35" s="1"/>
  <c r="P86" i="35" s="1"/>
  <c r="Q91" i="35"/>
  <c r="P91" i="35"/>
  <c r="O91" i="35"/>
  <c r="N91" i="35"/>
  <c r="L91" i="35"/>
  <c r="K91" i="35"/>
  <c r="J91" i="35"/>
  <c r="P28" i="35"/>
  <c r="P29" i="35"/>
  <c r="P30" i="35"/>
  <c r="P31" i="35"/>
  <c r="P32" i="35"/>
  <c r="P33" i="35"/>
  <c r="P34" i="35"/>
  <c r="P35" i="35"/>
  <c r="P36" i="35"/>
  <c r="J81" i="35"/>
  <c r="K81" i="35" s="1"/>
  <c r="N81" i="35"/>
  <c r="O81" i="35" s="1"/>
  <c r="P81" i="35" s="1"/>
  <c r="J71" i="35"/>
  <c r="K71" i="35" s="1"/>
  <c r="L71" i="35" s="1"/>
  <c r="N71" i="35"/>
  <c r="O71" i="35" s="1"/>
  <c r="P71" i="35" s="1"/>
  <c r="Q71" i="35" s="1"/>
  <c r="J76" i="35"/>
  <c r="K76" i="35" s="1"/>
  <c r="N76" i="35"/>
  <c r="O76" i="35" s="1"/>
  <c r="P76" i="35" s="1"/>
  <c r="J66" i="35"/>
  <c r="K66" i="35" s="1"/>
  <c r="N66" i="35"/>
  <c r="O66" i="35" s="1"/>
  <c r="P66" i="35" s="1"/>
  <c r="J61" i="35"/>
  <c r="K61" i="35" s="1"/>
  <c r="N61" i="35"/>
  <c r="O61" i="35" s="1"/>
  <c r="P61" i="35" s="1"/>
  <c r="J56" i="35"/>
  <c r="K56" i="35" s="1"/>
  <c r="L56" i="35" s="1"/>
  <c r="N56" i="35"/>
  <c r="O56" i="35"/>
  <c r="P56" i="35" s="1"/>
  <c r="Q56" i="35" s="1"/>
  <c r="J51" i="35"/>
  <c r="K51" i="35" s="1"/>
  <c r="N51" i="35"/>
  <c r="O51" i="35"/>
  <c r="P51" i="35" s="1"/>
  <c r="J46" i="35"/>
  <c r="K46" i="35" s="1"/>
  <c r="N46" i="35"/>
  <c r="O46" i="35"/>
  <c r="P46" i="35"/>
  <c r="J41" i="35"/>
  <c r="K41" i="35" s="1"/>
  <c r="N41" i="35"/>
  <c r="O41" i="35"/>
  <c r="P41" i="35"/>
  <c r="Q41" i="35"/>
  <c r="J36" i="35"/>
  <c r="K36" i="35" s="1"/>
  <c r="L36" i="35" s="1"/>
  <c r="N36" i="35"/>
  <c r="O36" i="35" s="1"/>
  <c r="J31" i="35"/>
  <c r="K31" i="35" s="1"/>
  <c r="N31" i="35"/>
  <c r="O31" i="35"/>
  <c r="J26" i="35"/>
  <c r="K26" i="35" s="1"/>
  <c r="N26" i="35"/>
  <c r="O26" i="35" s="1"/>
  <c r="P26" i="35" s="1"/>
  <c r="J21" i="35"/>
  <c r="K21" i="35" s="1"/>
  <c r="N21" i="35"/>
  <c r="O21" i="35" s="1"/>
  <c r="P21" i="35" s="1"/>
  <c r="J16" i="35"/>
  <c r="K16" i="35" s="1"/>
  <c r="N16" i="35"/>
  <c r="O16" i="35"/>
  <c r="P16" i="35" s="1"/>
  <c r="J11" i="35"/>
  <c r="K11" i="35" s="1"/>
  <c r="N11" i="35"/>
  <c r="O11" i="35" s="1"/>
  <c r="P11" i="35" s="1"/>
  <c r="D137" i="35"/>
  <c r="E137" i="35" s="1"/>
  <c r="F137" i="35" s="1"/>
  <c r="D132" i="35"/>
  <c r="E132" i="35" s="1"/>
  <c r="F132" i="35" s="1"/>
  <c r="D122" i="35"/>
  <c r="E122" i="35" s="1"/>
  <c r="F122" i="35" s="1"/>
  <c r="D117" i="35"/>
  <c r="E117" i="35" s="1"/>
  <c r="F117" i="35" s="1"/>
  <c r="D112" i="35"/>
  <c r="E112" i="35" s="1"/>
  <c r="F112" i="35" s="1"/>
  <c r="D107" i="35"/>
  <c r="E107" i="35" s="1"/>
  <c r="F107" i="35" s="1"/>
  <c r="D102" i="35"/>
  <c r="E102" i="35" s="1"/>
  <c r="F102" i="35" s="1"/>
  <c r="D97" i="35"/>
  <c r="E97" i="35" s="1"/>
  <c r="F97" i="35" s="1"/>
  <c r="D92" i="35"/>
  <c r="E92" i="35" s="1"/>
  <c r="F92" i="35" s="1"/>
  <c r="D87" i="35"/>
  <c r="E87" i="35" s="1"/>
  <c r="F87" i="35" s="1"/>
  <c r="D82" i="35"/>
  <c r="E82" i="35" s="1"/>
  <c r="F82" i="35" s="1"/>
  <c r="D77" i="35"/>
  <c r="E77" i="35" s="1"/>
  <c r="F77" i="35" s="1"/>
  <c r="D72" i="35"/>
  <c r="E72" i="35" s="1"/>
  <c r="F72" i="35" s="1"/>
  <c r="D67" i="35"/>
  <c r="E67" i="35" s="1"/>
  <c r="F67" i="35" s="1"/>
  <c r="D62" i="35"/>
  <c r="E62" i="35" s="1"/>
  <c r="F62" i="35" s="1"/>
  <c r="D57" i="35"/>
  <c r="E57" i="35" s="1"/>
  <c r="F57" i="35" s="1"/>
  <c r="D52" i="35"/>
  <c r="E52" i="35" s="1"/>
  <c r="F52" i="35" s="1"/>
  <c r="D47" i="35"/>
  <c r="E47" i="35" s="1"/>
  <c r="F47" i="35" s="1"/>
  <c r="D42" i="35"/>
  <c r="E42" i="35" s="1"/>
  <c r="F42" i="35" s="1"/>
  <c r="D37" i="35"/>
  <c r="E37" i="35" s="1"/>
  <c r="F37" i="35" s="1"/>
  <c r="D32" i="35"/>
  <c r="E32" i="35" s="1"/>
  <c r="F32" i="35" s="1"/>
  <c r="D27" i="35"/>
  <c r="E27" i="35" s="1"/>
  <c r="F27" i="35" s="1"/>
  <c r="D22" i="35"/>
  <c r="E22" i="35" s="1"/>
  <c r="F22" i="35" s="1"/>
  <c r="D17" i="35"/>
  <c r="E17" i="35" s="1"/>
  <c r="F17" i="35" s="1"/>
  <c r="D12" i="35"/>
  <c r="E12" i="35" s="1"/>
  <c r="F12" i="35" s="1"/>
  <c r="D11" i="35"/>
  <c r="E11" i="35" s="1"/>
  <c r="F11" i="35" s="1"/>
  <c r="D121" i="35" l="1"/>
  <c r="E121" i="35" s="1"/>
  <c r="F121" i="35" s="1"/>
  <c r="M121" i="35" s="1"/>
  <c r="D56" i="35"/>
  <c r="E56" i="35" s="1"/>
  <c r="F56" i="35" s="1"/>
  <c r="R56" i="35" s="1"/>
  <c r="D86" i="35"/>
  <c r="E86" i="35" s="1"/>
  <c r="F86" i="35" s="1"/>
  <c r="R86" i="35" s="1"/>
  <c r="D21" i="35"/>
  <c r="E21" i="35" s="1"/>
  <c r="F21" i="35" s="1"/>
  <c r="R21" i="35" s="1"/>
  <c r="D41" i="35"/>
  <c r="E41" i="35" s="1"/>
  <c r="F41" i="35" s="1"/>
  <c r="M41" i="35" s="1"/>
  <c r="D16" i="35"/>
  <c r="E16" i="35" s="1"/>
  <c r="F16" i="35" s="1"/>
  <c r="M16" i="35" s="1"/>
  <c r="D66" i="35"/>
  <c r="E66" i="35" s="1"/>
  <c r="F66" i="35" s="1"/>
  <c r="M66" i="35" s="1"/>
  <c r="D61" i="35"/>
  <c r="E61" i="35" s="1"/>
  <c r="F61" i="35" s="1"/>
  <c r="M61" i="35" s="1"/>
  <c r="D141" i="35"/>
  <c r="E141" i="35" s="1"/>
  <c r="F141" i="35" s="1"/>
  <c r="R141" i="35" s="1"/>
  <c r="D31" i="35"/>
  <c r="E31" i="35" s="1"/>
  <c r="F31" i="35" s="1"/>
  <c r="M31" i="35" s="1"/>
  <c r="D81" i="35"/>
  <c r="E81" i="35" s="1"/>
  <c r="F81" i="35" s="1"/>
  <c r="R81" i="35" s="1"/>
  <c r="D111" i="35"/>
  <c r="E111" i="35" s="1"/>
  <c r="F111" i="35" s="1"/>
  <c r="R111" i="35" s="1"/>
  <c r="D51" i="35"/>
  <c r="E51" i="35" s="1"/>
  <c r="F51" i="35" s="1"/>
  <c r="R51" i="35" s="1"/>
  <c r="D76" i="35"/>
  <c r="E76" i="35" s="1"/>
  <c r="F76" i="35" s="1"/>
  <c r="R76" i="35" s="1"/>
  <c r="D96" i="35"/>
  <c r="E96" i="35" s="1"/>
  <c r="F96" i="35" s="1"/>
  <c r="M96" i="35" s="1"/>
  <c r="D136" i="35"/>
  <c r="E136" i="35" s="1"/>
  <c r="F136" i="35" s="1"/>
  <c r="M136" i="35" s="1"/>
  <c r="D126" i="35"/>
  <c r="E126" i="35" s="1"/>
  <c r="F126" i="35" s="1"/>
  <c r="R126" i="35" s="1"/>
  <c r="D26" i="35"/>
  <c r="E26" i="35" s="1"/>
  <c r="F26" i="35" s="1"/>
  <c r="R26" i="35" s="1"/>
  <c r="D46" i="35"/>
  <c r="E46" i="35" s="1"/>
  <c r="F46" i="35" s="1"/>
  <c r="R46" i="35" s="1"/>
  <c r="D71" i="35"/>
  <c r="E71" i="35" s="1"/>
  <c r="F71" i="35" s="1"/>
  <c r="R71" i="35" s="1"/>
  <c r="D36" i="35"/>
  <c r="E36" i="35" s="1"/>
  <c r="F36" i="35" s="1"/>
  <c r="M36" i="35" s="1"/>
  <c r="D91" i="35"/>
  <c r="E91" i="35" s="1"/>
  <c r="F91" i="35" s="1"/>
  <c r="M91" i="35" s="1"/>
  <c r="D116" i="35"/>
  <c r="E116" i="35" s="1"/>
  <c r="F116" i="35" s="1"/>
  <c r="R116" i="35" s="1"/>
  <c r="D131" i="35"/>
  <c r="E131" i="35" s="1"/>
  <c r="F131" i="35" s="1"/>
  <c r="R131" i="35" s="1"/>
  <c r="D106" i="35"/>
  <c r="E106" i="35" s="1"/>
  <c r="F106" i="35" s="1"/>
  <c r="M106" i="35" s="1"/>
  <c r="D101" i="35"/>
  <c r="E101" i="35" s="1"/>
  <c r="F101" i="35" s="1"/>
  <c r="R101" i="35" s="1"/>
  <c r="R121" i="35"/>
  <c r="L136" i="35"/>
  <c r="Q131" i="35"/>
  <c r="Q126" i="35"/>
  <c r="L126" i="35"/>
  <c r="Q116" i="35"/>
  <c r="Q106" i="35"/>
  <c r="Q101" i="35"/>
  <c r="L101" i="35"/>
  <c r="Q96" i="35"/>
  <c r="Q86" i="35"/>
  <c r="L86" i="35"/>
  <c r="Q81" i="35"/>
  <c r="L81" i="35"/>
  <c r="Q76" i="35"/>
  <c r="L76" i="35"/>
  <c r="Q66" i="35"/>
  <c r="L66" i="35"/>
  <c r="Q61" i="35"/>
  <c r="L61" i="35"/>
  <c r="Q51" i="35"/>
  <c r="L51" i="35"/>
  <c r="L46" i="35"/>
  <c r="Q46" i="35"/>
  <c r="L41" i="35"/>
  <c r="Q36" i="35"/>
  <c r="Q31" i="35"/>
  <c r="L31" i="35"/>
  <c r="Q26" i="35"/>
  <c r="L26" i="35"/>
  <c r="Q21" i="35"/>
  <c r="L21" i="35"/>
  <c r="Q16" i="35"/>
  <c r="L16" i="35"/>
  <c r="R11" i="35"/>
  <c r="Q11" i="35"/>
  <c r="L11" i="35"/>
  <c r="M11" i="35"/>
  <c r="M21" i="35" l="1"/>
  <c r="M81" i="35"/>
  <c r="M141" i="35"/>
  <c r="T121" i="35"/>
  <c r="M46" i="35"/>
  <c r="T141" i="35"/>
  <c r="M51" i="35"/>
  <c r="T51" i="35" s="1"/>
  <c r="M111" i="35"/>
  <c r="T111" i="35" s="1"/>
  <c r="R16" i="35"/>
  <c r="T16" i="35" s="1"/>
  <c r="M116" i="35"/>
  <c r="T116" i="35" s="1"/>
  <c r="M101" i="35"/>
  <c r="T101" i="35" s="1"/>
  <c r="R41" i="35"/>
  <c r="T41" i="35" s="1"/>
  <c r="M131" i="35"/>
  <c r="T131" i="35" s="1"/>
  <c r="M56" i="35"/>
  <c r="T56" i="35" s="1"/>
  <c r="M26" i="35"/>
  <c r="T26" i="35" s="1"/>
  <c r="R66" i="35"/>
  <c r="T66" i="35" s="1"/>
  <c r="M76" i="35"/>
  <c r="T76" i="35" s="1"/>
  <c r="M71" i="35"/>
  <c r="T71" i="35" s="1"/>
  <c r="R36" i="35"/>
  <c r="T36" i="35" s="1"/>
  <c r="M86" i="35"/>
  <c r="T86" i="35" s="1"/>
  <c r="R136" i="35"/>
  <c r="T136" i="35" s="1"/>
  <c r="R61" i="35"/>
  <c r="T61" i="35" s="1"/>
  <c r="R96" i="35"/>
  <c r="T96" i="35" s="1"/>
  <c r="R91" i="35"/>
  <c r="T91" i="35" s="1"/>
  <c r="M126" i="35"/>
  <c r="T126" i="35" s="1"/>
  <c r="R31" i="35"/>
  <c r="T31" i="35" s="1"/>
  <c r="R106" i="35"/>
  <c r="T106" i="35" s="1"/>
  <c r="T21" i="35"/>
  <c r="C23" i="26" s="1"/>
  <c r="T81" i="35"/>
  <c r="T11" i="35"/>
  <c r="T46" i="35"/>
  <c r="C13" i="26" l="1"/>
  <c r="C18" i="26"/>
  <c r="H13" i="1"/>
  <c r="H14" i="1"/>
  <c r="H15" i="1"/>
  <c r="H16" i="1"/>
  <c r="H17" i="1"/>
  <c r="H18" i="1"/>
  <c r="H19" i="1"/>
  <c r="H20" i="1"/>
  <c r="H21" i="1"/>
  <c r="H22" i="1"/>
  <c r="H23" i="1"/>
  <c r="H24" i="1"/>
  <c r="H25" i="1"/>
  <c r="H26" i="1"/>
  <c r="H27" i="1"/>
  <c r="H28" i="1"/>
  <c r="H6" i="1"/>
  <c r="H7" i="1"/>
  <c r="H8" i="1"/>
  <c r="H9" i="1"/>
  <c r="H10" i="1"/>
  <c r="H11" i="1"/>
  <c r="H12" i="1"/>
  <c r="H5" i="1"/>
  <c r="J5" i="1"/>
  <c r="M6" i="1" l="1"/>
  <c r="M7" i="1"/>
  <c r="M8" i="1"/>
  <c r="M9" i="1"/>
  <c r="M10" i="1"/>
  <c r="M11" i="1"/>
  <c r="M12" i="1"/>
  <c r="M13" i="1"/>
  <c r="M14" i="1"/>
  <c r="M15" i="1"/>
  <c r="M16" i="1"/>
  <c r="M17" i="1"/>
  <c r="M18" i="1"/>
  <c r="M19" i="1"/>
  <c r="M20" i="1"/>
  <c r="M21" i="1"/>
  <c r="M22" i="1"/>
  <c r="M23" i="1"/>
  <c r="M24" i="1"/>
  <c r="M25" i="1"/>
  <c r="M26" i="1"/>
  <c r="M27" i="1"/>
  <c r="M28" i="1"/>
  <c r="N6" i="1"/>
  <c r="N7" i="1"/>
  <c r="N8" i="1"/>
  <c r="N9" i="1"/>
  <c r="N10" i="1"/>
  <c r="N11" i="1"/>
  <c r="N12" i="1"/>
  <c r="N13" i="1"/>
  <c r="N14" i="1"/>
  <c r="N15" i="1"/>
  <c r="N16" i="1"/>
  <c r="N17" i="1"/>
  <c r="N18" i="1"/>
  <c r="N19" i="1"/>
  <c r="N20" i="1"/>
  <c r="N21" i="1"/>
  <c r="N22" i="1"/>
  <c r="N23" i="1"/>
  <c r="N24" i="1"/>
  <c r="N25" i="1"/>
  <c r="N26" i="1"/>
  <c r="N27" i="1"/>
  <c r="N28" i="1"/>
  <c r="Q6" i="1"/>
  <c r="Q7" i="1"/>
  <c r="Q8" i="1"/>
  <c r="Q9" i="1"/>
  <c r="Q10" i="1"/>
  <c r="Q11" i="1"/>
  <c r="Q12" i="1"/>
  <c r="Q13" i="1"/>
  <c r="Q14" i="1"/>
  <c r="Q15" i="1"/>
  <c r="Q16" i="1"/>
  <c r="Q17" i="1"/>
  <c r="Q18" i="1"/>
  <c r="Q19" i="1"/>
  <c r="Q20" i="1"/>
  <c r="Q21" i="1"/>
  <c r="Q22" i="1"/>
  <c r="Q23" i="1"/>
  <c r="Q24" i="1"/>
  <c r="Q25" i="1"/>
  <c r="Q26" i="1"/>
  <c r="Q27" i="1"/>
  <c r="Q28" i="1"/>
  <c r="P5" i="1"/>
  <c r="O5" i="1"/>
  <c r="N5" i="1"/>
  <c r="M5" i="1"/>
  <c r="Q5" i="1"/>
  <c r="Y12" i="86" l="1"/>
  <c r="AJ120" i="21"/>
  <c r="AJ123" i="21"/>
  <c r="AJ126" i="21"/>
  <c r="AJ125" i="21"/>
  <c r="AJ127" i="21"/>
  <c r="AJ122" i="21"/>
  <c r="AJ124" i="21"/>
  <c r="AJ121" i="21"/>
  <c r="AJ143" i="21"/>
  <c r="AJ137" i="21"/>
  <c r="AJ136" i="21"/>
  <c r="AJ138" i="21"/>
  <c r="AJ139" i="21"/>
  <c r="AJ142" i="21"/>
  <c r="AJ140" i="21"/>
  <c r="AJ141" i="21"/>
  <c r="AJ104" i="33"/>
  <c r="AJ104" i="42"/>
  <c r="AJ108" i="21"/>
  <c r="AJ118" i="21"/>
  <c r="AJ110" i="21"/>
  <c r="AJ107" i="21"/>
  <c r="AJ109" i="21"/>
  <c r="AJ112" i="21"/>
  <c r="AJ104" i="21"/>
  <c r="AJ105" i="21"/>
  <c r="AJ106" i="21"/>
  <c r="AJ111" i="21"/>
  <c r="J144" i="37"/>
  <c r="J143" i="37"/>
  <c r="J142" i="37"/>
  <c r="J141" i="37"/>
  <c r="J140" i="37"/>
  <c r="J139" i="37"/>
  <c r="J138" i="37"/>
  <c r="J137" i="37"/>
  <c r="J135" i="37"/>
  <c r="J128" i="37"/>
  <c r="J127" i="37"/>
  <c r="J126" i="37"/>
  <c r="J125" i="37"/>
  <c r="J124" i="37"/>
  <c r="J123" i="37"/>
  <c r="J122" i="37"/>
  <c r="J121" i="37"/>
  <c r="J119" i="37"/>
  <c r="J112" i="37"/>
  <c r="J111" i="37"/>
  <c r="J110" i="37"/>
  <c r="J109" i="37"/>
  <c r="J108" i="37"/>
  <c r="J107" i="37"/>
  <c r="J106" i="37"/>
  <c r="J105" i="37"/>
  <c r="J103" i="37"/>
  <c r="J96" i="37"/>
  <c r="J95" i="37"/>
  <c r="J94" i="37"/>
  <c r="J93" i="37"/>
  <c r="J92" i="37"/>
  <c r="J91" i="37"/>
  <c r="J90" i="37"/>
  <c r="J89" i="37"/>
  <c r="J87" i="37"/>
  <c r="J80" i="37"/>
  <c r="J79" i="37"/>
  <c r="J78" i="37"/>
  <c r="J77" i="37"/>
  <c r="J76" i="37"/>
  <c r="J75" i="37"/>
  <c r="J74" i="37"/>
  <c r="J73" i="37"/>
  <c r="J71" i="37"/>
  <c r="J64" i="37"/>
  <c r="J63" i="37"/>
  <c r="J62" i="37"/>
  <c r="J61" i="37"/>
  <c r="J60" i="37"/>
  <c r="J59" i="37"/>
  <c r="J58" i="37"/>
  <c r="J57" i="37"/>
  <c r="J55" i="37"/>
  <c r="J48" i="37"/>
  <c r="J47" i="37"/>
  <c r="J46" i="37"/>
  <c r="J45" i="37"/>
  <c r="J44" i="37"/>
  <c r="J43" i="37"/>
  <c r="J42" i="37"/>
  <c r="J41" i="37"/>
  <c r="J31" i="37"/>
  <c r="J30" i="37"/>
  <c r="J29" i="37"/>
  <c r="J28" i="37"/>
  <c r="J27" i="37"/>
  <c r="J26" i="37"/>
  <c r="J25" i="37"/>
  <c r="J24" i="37"/>
  <c r="J22" i="37"/>
  <c r="J15" i="37"/>
  <c r="J14" i="37"/>
  <c r="J13" i="37"/>
  <c r="J12" i="37"/>
  <c r="J11" i="37"/>
  <c r="J10" i="37"/>
  <c r="J9" i="37"/>
  <c r="J8" i="37"/>
  <c r="J128" i="43"/>
  <c r="J127" i="43"/>
  <c r="J126" i="43"/>
  <c r="J125" i="43"/>
  <c r="J124" i="43"/>
  <c r="J123" i="43"/>
  <c r="J122" i="43"/>
  <c r="J121" i="43"/>
  <c r="J119" i="43"/>
  <c r="J112" i="43"/>
  <c r="J111" i="43"/>
  <c r="J110" i="43"/>
  <c r="J109" i="43"/>
  <c r="J108" i="43"/>
  <c r="J107" i="43"/>
  <c r="J106" i="43"/>
  <c r="J105" i="43"/>
  <c r="J103" i="43"/>
  <c r="J96" i="43"/>
  <c r="J95" i="43"/>
  <c r="J94" i="43"/>
  <c r="J93" i="43"/>
  <c r="J92" i="43"/>
  <c r="J91" i="43"/>
  <c r="J90" i="43"/>
  <c r="J89" i="43"/>
  <c r="J87" i="43"/>
  <c r="J80" i="43"/>
  <c r="J79" i="43"/>
  <c r="J78" i="43"/>
  <c r="J77" i="43"/>
  <c r="J76" i="43"/>
  <c r="J75" i="43"/>
  <c r="J74" i="43"/>
  <c r="J73" i="43"/>
  <c r="J71" i="43"/>
  <c r="J64" i="43"/>
  <c r="J63" i="43"/>
  <c r="J62" i="43"/>
  <c r="J61" i="43"/>
  <c r="J60" i="43"/>
  <c r="J59" i="43"/>
  <c r="J58" i="43"/>
  <c r="J57" i="43"/>
  <c r="J55" i="43"/>
  <c r="J48" i="43"/>
  <c r="J47" i="43"/>
  <c r="J46" i="43"/>
  <c r="J45" i="43"/>
  <c r="J44" i="43"/>
  <c r="J43" i="43"/>
  <c r="J42" i="43"/>
  <c r="J41" i="43"/>
  <c r="J31" i="43"/>
  <c r="J30" i="43"/>
  <c r="J29" i="43"/>
  <c r="J28" i="43"/>
  <c r="J27" i="43"/>
  <c r="J26" i="43"/>
  <c r="J25" i="43"/>
  <c r="J24" i="43"/>
  <c r="J22" i="43"/>
  <c r="J15" i="43"/>
  <c r="J14" i="43"/>
  <c r="J13" i="43"/>
  <c r="J12" i="43"/>
  <c r="J11" i="43"/>
  <c r="J10" i="43"/>
  <c r="J9" i="43"/>
  <c r="J8" i="43"/>
  <c r="J144" i="36"/>
  <c r="J143" i="36"/>
  <c r="J142" i="36"/>
  <c r="J141" i="36"/>
  <c r="J140" i="36"/>
  <c r="J139" i="36"/>
  <c r="J138" i="36"/>
  <c r="J137" i="36"/>
  <c r="J135" i="36"/>
  <c r="J128" i="36"/>
  <c r="J127" i="36"/>
  <c r="J126" i="36"/>
  <c r="J125" i="36"/>
  <c r="J124" i="36"/>
  <c r="J123" i="36"/>
  <c r="J122" i="36"/>
  <c r="J121" i="36"/>
  <c r="J119" i="36"/>
  <c r="J112" i="36"/>
  <c r="J111" i="36"/>
  <c r="J110" i="36"/>
  <c r="J109" i="36"/>
  <c r="J108" i="36"/>
  <c r="J107" i="36"/>
  <c r="J106" i="36"/>
  <c r="J105" i="36"/>
  <c r="J103" i="36"/>
  <c r="J96" i="36"/>
  <c r="J95" i="36"/>
  <c r="J94" i="36"/>
  <c r="J93" i="36"/>
  <c r="J92" i="36"/>
  <c r="J91" i="36"/>
  <c r="J90" i="36"/>
  <c r="J89" i="36"/>
  <c r="J87" i="36"/>
  <c r="J80" i="36"/>
  <c r="J79" i="36"/>
  <c r="J78" i="36"/>
  <c r="J77" i="36"/>
  <c r="J76" i="36"/>
  <c r="J75" i="36"/>
  <c r="J74" i="36"/>
  <c r="J73" i="36"/>
  <c r="J71" i="36"/>
  <c r="J64" i="36"/>
  <c r="J63" i="36"/>
  <c r="J62" i="36"/>
  <c r="J61" i="36"/>
  <c r="J60" i="36"/>
  <c r="J59" i="36"/>
  <c r="J58" i="36"/>
  <c r="J57" i="36"/>
  <c r="J55" i="36"/>
  <c r="J48" i="36"/>
  <c r="J47" i="36"/>
  <c r="J46" i="36"/>
  <c r="J45" i="36"/>
  <c r="J44" i="36"/>
  <c r="J43" i="36"/>
  <c r="J42" i="36"/>
  <c r="J41" i="36"/>
  <c r="J31" i="36"/>
  <c r="J30" i="36"/>
  <c r="J29" i="36"/>
  <c r="J28" i="36"/>
  <c r="J27" i="36"/>
  <c r="J26" i="36"/>
  <c r="J25" i="36"/>
  <c r="J24" i="36"/>
  <c r="J22" i="36"/>
  <c r="J15" i="36"/>
  <c r="J14" i="36"/>
  <c r="J13" i="36"/>
  <c r="J12" i="36"/>
  <c r="J11" i="36"/>
  <c r="J10" i="36"/>
  <c r="J9" i="36"/>
  <c r="J8" i="36"/>
  <c r="J144" i="42"/>
  <c r="J143" i="42"/>
  <c r="J142" i="42"/>
  <c r="J141" i="42"/>
  <c r="J140" i="42"/>
  <c r="J139" i="42"/>
  <c r="J138" i="42"/>
  <c r="J137" i="42"/>
  <c r="J135" i="42"/>
  <c r="J128" i="42"/>
  <c r="J127" i="42"/>
  <c r="J126" i="42"/>
  <c r="J125" i="42"/>
  <c r="J124" i="42"/>
  <c r="J123" i="42"/>
  <c r="J122" i="42"/>
  <c r="J121" i="42"/>
  <c r="J119" i="42"/>
  <c r="J112" i="42"/>
  <c r="J111" i="42"/>
  <c r="J110" i="42"/>
  <c r="J109" i="42"/>
  <c r="J108" i="42"/>
  <c r="J107" i="42"/>
  <c r="J106" i="42"/>
  <c r="J105" i="42"/>
  <c r="J103" i="42"/>
  <c r="J96" i="42"/>
  <c r="J95" i="42"/>
  <c r="J94" i="42"/>
  <c r="J93" i="42"/>
  <c r="J92" i="42"/>
  <c r="J91" i="42"/>
  <c r="J90" i="42"/>
  <c r="J89" i="42"/>
  <c r="J87" i="42"/>
  <c r="J80" i="42"/>
  <c r="J79" i="42"/>
  <c r="J78" i="42"/>
  <c r="J77" i="42"/>
  <c r="J76" i="42"/>
  <c r="J75" i="42"/>
  <c r="J74" i="42"/>
  <c r="J73" i="42"/>
  <c r="J71" i="42"/>
  <c r="J64" i="42"/>
  <c r="J63" i="42"/>
  <c r="J62" i="42"/>
  <c r="J61" i="42"/>
  <c r="J60" i="42"/>
  <c r="J59" i="42"/>
  <c r="J58" i="42"/>
  <c r="J57" i="42"/>
  <c r="J55" i="42"/>
  <c r="J48" i="42"/>
  <c r="J47" i="42"/>
  <c r="J46" i="42"/>
  <c r="J45" i="42"/>
  <c r="J44" i="42"/>
  <c r="J43" i="42"/>
  <c r="J42" i="42"/>
  <c r="J41" i="42"/>
  <c r="J31" i="42"/>
  <c r="J30" i="42"/>
  <c r="J29" i="42"/>
  <c r="J28" i="42"/>
  <c r="J27" i="42"/>
  <c r="J26" i="42"/>
  <c r="J25" i="42"/>
  <c r="J24" i="42"/>
  <c r="J22" i="42"/>
  <c r="J15" i="42"/>
  <c r="J14" i="42"/>
  <c r="J13" i="42"/>
  <c r="J12" i="42"/>
  <c r="J11" i="42"/>
  <c r="J10" i="42"/>
  <c r="J9" i="42"/>
  <c r="J8" i="42"/>
  <c r="J103" i="21"/>
  <c r="J96" i="21"/>
  <c r="J95" i="21"/>
  <c r="J94" i="21"/>
  <c r="J93" i="21"/>
  <c r="J92" i="21"/>
  <c r="J91" i="21"/>
  <c r="J90" i="21"/>
  <c r="J89" i="21"/>
  <c r="J87" i="21"/>
  <c r="J80" i="21"/>
  <c r="J79" i="21"/>
  <c r="J78" i="21"/>
  <c r="J77" i="21"/>
  <c r="J76" i="21"/>
  <c r="J75" i="21"/>
  <c r="J74" i="21"/>
  <c r="J73" i="21"/>
  <c r="J71" i="21"/>
  <c r="J64" i="21"/>
  <c r="J63" i="21"/>
  <c r="J62" i="21"/>
  <c r="J61" i="21"/>
  <c r="J60" i="21"/>
  <c r="J59" i="21"/>
  <c r="J58" i="21"/>
  <c r="J57" i="21"/>
  <c r="J55" i="21"/>
  <c r="J48" i="21"/>
  <c r="J47" i="21"/>
  <c r="J46" i="21"/>
  <c r="J45" i="21"/>
  <c r="J44" i="21"/>
  <c r="J43" i="21"/>
  <c r="J42" i="21"/>
  <c r="J41" i="21"/>
  <c r="J31" i="21"/>
  <c r="J30" i="21"/>
  <c r="J29" i="21"/>
  <c r="J28" i="21"/>
  <c r="J27" i="21"/>
  <c r="J26" i="21"/>
  <c r="J25" i="21"/>
  <c r="J24" i="21"/>
  <c r="J22" i="21"/>
  <c r="J15" i="21"/>
  <c r="J14" i="21"/>
  <c r="J13" i="21"/>
  <c r="J12" i="21"/>
  <c r="J11" i="21"/>
  <c r="J10" i="21"/>
  <c r="J9" i="21"/>
  <c r="J8" i="21"/>
  <c r="J119" i="33"/>
  <c r="J112" i="33"/>
  <c r="J111" i="33"/>
  <c r="J110" i="33"/>
  <c r="J109" i="33"/>
  <c r="J108" i="33"/>
  <c r="J107" i="33"/>
  <c r="J106" i="33"/>
  <c r="J105" i="33"/>
  <c r="J144" i="33"/>
  <c r="J143" i="33"/>
  <c r="J142" i="33"/>
  <c r="J141" i="33"/>
  <c r="J140" i="33"/>
  <c r="J139" i="33"/>
  <c r="J138" i="33"/>
  <c r="J137" i="33"/>
  <c r="J135" i="33"/>
  <c r="J128" i="33"/>
  <c r="J127" i="33"/>
  <c r="J126" i="33"/>
  <c r="J125" i="33"/>
  <c r="J124" i="33"/>
  <c r="J123" i="33"/>
  <c r="J122" i="33"/>
  <c r="J121" i="33"/>
  <c r="J103" i="33"/>
  <c r="J96" i="33"/>
  <c r="J95" i="33"/>
  <c r="J94" i="33"/>
  <c r="J93" i="33"/>
  <c r="J92" i="33"/>
  <c r="J91" i="33"/>
  <c r="J90" i="33"/>
  <c r="J89" i="33"/>
  <c r="J87" i="33"/>
  <c r="J80" i="33"/>
  <c r="J79" i="33"/>
  <c r="J78" i="33"/>
  <c r="J77" i="33"/>
  <c r="J76" i="33"/>
  <c r="J75" i="33"/>
  <c r="J74" i="33"/>
  <c r="J73" i="33"/>
  <c r="J71" i="33"/>
  <c r="J64" i="33"/>
  <c r="J63" i="33"/>
  <c r="J62" i="33"/>
  <c r="J61" i="33"/>
  <c r="J60" i="33"/>
  <c r="J59" i="33"/>
  <c r="J58" i="33"/>
  <c r="J57" i="33"/>
  <c r="J55" i="33"/>
  <c r="J48" i="33"/>
  <c r="J47" i="33"/>
  <c r="J46" i="33"/>
  <c r="J45" i="33"/>
  <c r="J44" i="33"/>
  <c r="J43" i="33"/>
  <c r="J42" i="33"/>
  <c r="J41" i="33"/>
  <c r="J31" i="33"/>
  <c r="J30" i="33"/>
  <c r="J29" i="33"/>
  <c r="J28" i="33"/>
  <c r="J27" i="33"/>
  <c r="J26" i="33"/>
  <c r="J25" i="33"/>
  <c r="J24" i="33"/>
  <c r="J9" i="33"/>
  <c r="J10" i="33"/>
  <c r="J11" i="33"/>
  <c r="J12" i="33"/>
  <c r="J13" i="33"/>
  <c r="J14" i="33"/>
  <c r="J15" i="33"/>
  <c r="J22" i="33"/>
  <c r="J8" i="33"/>
  <c r="K3" i="10"/>
  <c r="K4" i="10"/>
  <c r="K5" i="10"/>
  <c r="K6" i="10"/>
  <c r="K7" i="10"/>
  <c r="K8" i="10"/>
  <c r="K9" i="10"/>
  <c r="K10" i="10"/>
  <c r="K11" i="10"/>
  <c r="K12" i="10"/>
  <c r="K13" i="10"/>
  <c r="K14" i="10"/>
  <c r="K15" i="10"/>
  <c r="K16" i="10"/>
  <c r="K17" i="10"/>
  <c r="K18" i="10"/>
  <c r="K19" i="10"/>
  <c r="K20" i="10"/>
  <c r="K27" i="10"/>
  <c r="K28" i="10"/>
  <c r="K29" i="10"/>
  <c r="K30" i="10"/>
  <c r="K31" i="10"/>
  <c r="K32" i="10"/>
  <c r="K33" i="10"/>
  <c r="K34" i="10"/>
  <c r="K35" i="10"/>
  <c r="K36" i="10"/>
  <c r="K37" i="10"/>
  <c r="K38" i="10"/>
  <c r="K42" i="10"/>
  <c r="K43" i="10"/>
  <c r="K44" i="10"/>
  <c r="K45" i="10"/>
  <c r="K46" i="10"/>
  <c r="K47" i="10"/>
  <c r="K48" i="10"/>
  <c r="K49" i="10"/>
  <c r="K50" i="10"/>
  <c r="K51" i="10"/>
  <c r="K52" i="10"/>
  <c r="K60" i="10"/>
  <c r="K61" i="10"/>
  <c r="K62" i="10"/>
  <c r="K63" i="10"/>
  <c r="K64" i="10"/>
  <c r="K65" i="10"/>
  <c r="K66" i="10"/>
  <c r="K67" i="10"/>
  <c r="K68" i="10"/>
  <c r="K69" i="10"/>
  <c r="K70" i="10"/>
  <c r="K71" i="10"/>
  <c r="K72" i="10"/>
  <c r="K73" i="10"/>
  <c r="K74" i="10"/>
  <c r="K75" i="10"/>
  <c r="K76" i="10"/>
  <c r="K77" i="10"/>
  <c r="K78" i="10"/>
  <c r="K79" i="10"/>
  <c r="K86" i="10"/>
  <c r="K88" i="10"/>
  <c r="K89" i="10"/>
  <c r="K90" i="10"/>
  <c r="K91" i="10"/>
  <c r="K92" i="10"/>
  <c r="K93" i="10"/>
  <c r="K94" i="10"/>
  <c r="K95" i="10"/>
  <c r="K96" i="10"/>
  <c r="K98" i="10"/>
  <c r="K99" i="10"/>
  <c r="K104" i="10"/>
  <c r="K105" i="10"/>
  <c r="K107" i="10"/>
  <c r="K108" i="10"/>
  <c r="K109" i="10"/>
  <c r="K110" i="10"/>
  <c r="K111" i="10"/>
  <c r="K119" i="10"/>
  <c r="K120" i="10"/>
  <c r="K121" i="10"/>
  <c r="K122" i="10"/>
  <c r="K123" i="10"/>
  <c r="K124" i="10"/>
  <c r="K125" i="10"/>
  <c r="K126" i="10"/>
  <c r="K127" i="10"/>
  <c r="K128" i="10"/>
  <c r="K129" i="10"/>
  <c r="K130" i="10"/>
  <c r="K131" i="10"/>
  <c r="K132" i="10"/>
  <c r="K133" i="10"/>
  <c r="K134" i="10"/>
  <c r="K135" i="10"/>
  <c r="K136" i="10"/>
  <c r="K137" i="10"/>
  <c r="K138" i="10"/>
  <c r="K145" i="10"/>
  <c r="K146" i="10"/>
  <c r="K147" i="10"/>
  <c r="K148" i="10"/>
  <c r="K149" i="10"/>
  <c r="K150" i="10"/>
  <c r="K151" i="10"/>
  <c r="K152" i="10"/>
  <c r="K153" i="10"/>
  <c r="K154" i="10"/>
  <c r="K155" i="10"/>
  <c r="K156" i="10"/>
  <c r="K157" i="10"/>
  <c r="K158" i="10"/>
  <c r="K159" i="10"/>
  <c r="K160" i="10"/>
  <c r="K161" i="10"/>
  <c r="K162" i="10"/>
  <c r="K163" i="10"/>
  <c r="K164" i="10"/>
  <c r="K171" i="10"/>
  <c r="K172" i="10"/>
  <c r="K173" i="10"/>
  <c r="K174" i="10"/>
  <c r="K175" i="10"/>
  <c r="K176" i="10"/>
  <c r="K177" i="10"/>
  <c r="K178" i="10"/>
  <c r="K179" i="10"/>
  <c r="K180" i="10"/>
  <c r="K181" i="10"/>
  <c r="K182" i="10"/>
  <c r="K183" i="10"/>
  <c r="K184" i="10"/>
  <c r="K185" i="10"/>
  <c r="K186" i="10"/>
  <c r="K187" i="10"/>
  <c r="K188" i="10"/>
  <c r="K189" i="10"/>
  <c r="K190" i="10"/>
  <c r="K197" i="10"/>
  <c r="K198" i="10"/>
  <c r="K199" i="10"/>
  <c r="K200" i="10"/>
  <c r="K201" i="10"/>
  <c r="K202" i="10"/>
  <c r="K203" i="10"/>
  <c r="K204" i="10"/>
  <c r="K205" i="10"/>
  <c r="K206" i="10"/>
  <c r="K207" i="10"/>
  <c r="K209" i="10"/>
  <c r="K210" i="10"/>
  <c r="K212" i="10"/>
  <c r="K213" i="10"/>
  <c r="K214" i="10"/>
  <c r="K215" i="10"/>
  <c r="K216" i="10"/>
  <c r="K217" i="10"/>
  <c r="K218" i="10"/>
  <c r="K225" i="10"/>
  <c r="K226" i="10"/>
  <c r="K227" i="10"/>
  <c r="K228" i="10"/>
  <c r="K229" i="10"/>
  <c r="K230" i="10"/>
  <c r="K231" i="10"/>
  <c r="K232" i="10"/>
  <c r="K233" i="10"/>
  <c r="K234" i="10"/>
  <c r="K235" i="10"/>
  <c r="K237" i="10"/>
  <c r="K238" i="10"/>
  <c r="K243" i="10"/>
  <c r="K244" i="10"/>
  <c r="K249" i="10"/>
  <c r="K250" i="10"/>
  <c r="K251" i="10"/>
  <c r="K252" i="10"/>
  <c r="K253" i="10"/>
  <c r="K262" i="10"/>
  <c r="K263" i="10"/>
  <c r="K264" i="10"/>
  <c r="K265" i="10"/>
  <c r="K266" i="10"/>
  <c r="K267" i="10"/>
  <c r="K268" i="10"/>
  <c r="K269" i="10"/>
  <c r="K270" i="10"/>
  <c r="K271" i="10"/>
  <c r="K272" i="10"/>
  <c r="K273" i="10"/>
  <c r="K274" i="10"/>
  <c r="K275" i="10"/>
  <c r="K276" i="10"/>
  <c r="K277" i="10"/>
  <c r="K278" i="10"/>
  <c r="K279" i="10"/>
  <c r="K280" i="10"/>
  <c r="K2" i="10"/>
  <c r="AB15" i="86" l="1"/>
  <c r="Y15" i="86"/>
  <c r="Y16" i="86"/>
  <c r="AB14" i="86"/>
  <c r="Y14" i="86"/>
  <c r="AB12" i="86"/>
  <c r="AJ24" i="36"/>
  <c r="AJ94" i="36"/>
  <c r="AJ10" i="43"/>
  <c r="AJ95" i="43"/>
  <c r="AJ58" i="37"/>
  <c r="L9" i="21"/>
  <c r="M9" i="21" s="1"/>
  <c r="AJ14" i="36"/>
  <c r="X14" i="36"/>
  <c r="R14" i="36"/>
  <c r="AD14" i="36"/>
  <c r="L14" i="36"/>
  <c r="AJ29" i="36"/>
  <c r="AJ46" i="36"/>
  <c r="AJ61" i="36"/>
  <c r="AJ76" i="36"/>
  <c r="AJ91" i="36"/>
  <c r="AJ121" i="36"/>
  <c r="AJ144" i="36"/>
  <c r="AJ15" i="43"/>
  <c r="AJ30" i="43"/>
  <c r="AJ47" i="43"/>
  <c r="AJ62" i="43"/>
  <c r="AJ77" i="43"/>
  <c r="AJ92" i="43"/>
  <c r="AJ106" i="43"/>
  <c r="AJ121" i="43"/>
  <c r="AJ8" i="37"/>
  <c r="AJ31" i="37"/>
  <c r="AJ48" i="37"/>
  <c r="AJ63" i="37"/>
  <c r="AJ78" i="37"/>
  <c r="AJ93" i="37"/>
  <c r="AJ123" i="37"/>
  <c r="AJ138" i="37"/>
  <c r="AJ139" i="36"/>
  <c r="AJ80" i="43"/>
  <c r="AJ11" i="37"/>
  <c r="AJ96" i="37"/>
  <c r="L10" i="21"/>
  <c r="M10" i="21" s="1"/>
  <c r="AD15" i="36"/>
  <c r="X15" i="36"/>
  <c r="R15" i="36"/>
  <c r="AJ15" i="36"/>
  <c r="L15" i="36"/>
  <c r="AJ30" i="36"/>
  <c r="AJ47" i="36"/>
  <c r="AJ62" i="36"/>
  <c r="AJ77" i="36"/>
  <c r="AJ92" i="36"/>
  <c r="AJ122" i="36"/>
  <c r="AJ137" i="36"/>
  <c r="AJ8" i="43"/>
  <c r="AJ31" i="43"/>
  <c r="AJ48" i="43"/>
  <c r="AJ63" i="43"/>
  <c r="AJ78" i="43"/>
  <c r="AJ93" i="43"/>
  <c r="AJ107" i="43"/>
  <c r="AJ122" i="43"/>
  <c r="AJ9" i="37"/>
  <c r="AJ24" i="37"/>
  <c r="AJ41" i="37"/>
  <c r="AJ64" i="37"/>
  <c r="AJ79" i="37"/>
  <c r="AJ94" i="37"/>
  <c r="AJ124" i="37"/>
  <c r="AJ139" i="37"/>
  <c r="AJ79" i="36"/>
  <c r="AJ73" i="37"/>
  <c r="L11" i="21"/>
  <c r="AJ8" i="36"/>
  <c r="L8" i="36"/>
  <c r="M8" i="36" s="1"/>
  <c r="AD8" i="36"/>
  <c r="X8" i="36"/>
  <c r="R8" i="36"/>
  <c r="AJ31" i="36"/>
  <c r="AJ48" i="36"/>
  <c r="AJ63" i="36"/>
  <c r="AJ78" i="36"/>
  <c r="AJ93" i="36"/>
  <c r="AJ123" i="36"/>
  <c r="AJ138" i="36"/>
  <c r="AJ9" i="43"/>
  <c r="AJ24" i="43"/>
  <c r="AJ41" i="43"/>
  <c r="AJ64" i="43"/>
  <c r="AJ79" i="43"/>
  <c r="AJ94" i="43"/>
  <c r="AJ108" i="43"/>
  <c r="AJ123" i="43"/>
  <c r="AJ10" i="37"/>
  <c r="AJ25" i="37"/>
  <c r="AJ42" i="37"/>
  <c r="AJ57" i="37"/>
  <c r="AJ80" i="37"/>
  <c r="AJ95" i="37"/>
  <c r="AJ125" i="37"/>
  <c r="AJ140" i="37"/>
  <c r="AJ41" i="36"/>
  <c r="AJ42" i="43"/>
  <c r="AJ26" i="37"/>
  <c r="AJ126" i="37"/>
  <c r="L13" i="21"/>
  <c r="M13" i="21" s="1"/>
  <c r="AD10" i="36"/>
  <c r="X10" i="36"/>
  <c r="R10" i="36"/>
  <c r="AJ10" i="36"/>
  <c r="L10" i="36"/>
  <c r="AJ25" i="36"/>
  <c r="AJ42" i="36"/>
  <c r="AJ57" i="36"/>
  <c r="AJ80" i="36"/>
  <c r="AJ95" i="36"/>
  <c r="AJ125" i="36"/>
  <c r="AJ140" i="36"/>
  <c r="AJ11" i="43"/>
  <c r="AJ26" i="43"/>
  <c r="AJ43" i="43"/>
  <c r="AJ58" i="43"/>
  <c r="AJ73" i="43"/>
  <c r="AJ96" i="43"/>
  <c r="AJ110" i="43"/>
  <c r="AJ125" i="43"/>
  <c r="AJ12" i="37"/>
  <c r="AJ27" i="37"/>
  <c r="AJ44" i="37"/>
  <c r="AJ59" i="37"/>
  <c r="AJ74" i="37"/>
  <c r="AJ89" i="37"/>
  <c r="AJ127" i="37"/>
  <c r="AJ142" i="37"/>
  <c r="R9" i="36"/>
  <c r="AJ9" i="36"/>
  <c r="L9" i="36"/>
  <c r="M9" i="36" s="1"/>
  <c r="AD9" i="36"/>
  <c r="X9" i="36"/>
  <c r="AJ124" i="36"/>
  <c r="AJ124" i="43"/>
  <c r="AJ141" i="37"/>
  <c r="L14" i="21"/>
  <c r="M14" i="21" s="1"/>
  <c r="AJ11" i="36"/>
  <c r="X11" i="36"/>
  <c r="R11" i="36"/>
  <c r="AD11" i="36"/>
  <c r="L11" i="36"/>
  <c r="M11" i="36" s="1"/>
  <c r="AJ26" i="36"/>
  <c r="AJ43" i="36"/>
  <c r="AJ58" i="36"/>
  <c r="AJ73" i="36"/>
  <c r="AJ96" i="36"/>
  <c r="AJ126" i="36"/>
  <c r="AJ141" i="36"/>
  <c r="AJ12" i="43"/>
  <c r="AJ27" i="43"/>
  <c r="AJ44" i="43"/>
  <c r="AJ59" i="43"/>
  <c r="AJ74" i="43"/>
  <c r="AJ89" i="43"/>
  <c r="AJ111" i="43"/>
  <c r="AJ126" i="43"/>
  <c r="AJ13" i="37"/>
  <c r="AJ28" i="37"/>
  <c r="AJ45" i="37"/>
  <c r="AJ60" i="37"/>
  <c r="AJ75" i="37"/>
  <c r="AJ90" i="37"/>
  <c r="AJ128" i="37"/>
  <c r="AJ143" i="37"/>
  <c r="AJ25" i="43"/>
  <c r="AJ109" i="43"/>
  <c r="L15" i="21"/>
  <c r="M15" i="21" s="1"/>
  <c r="AJ12" i="36"/>
  <c r="X12" i="36"/>
  <c r="R12" i="36"/>
  <c r="AD12" i="36"/>
  <c r="L12" i="36"/>
  <c r="AJ27" i="36"/>
  <c r="AJ44" i="36"/>
  <c r="AJ59" i="36"/>
  <c r="AJ74" i="36"/>
  <c r="AJ89" i="36"/>
  <c r="AJ127" i="36"/>
  <c r="AJ142" i="36"/>
  <c r="AJ13" i="43"/>
  <c r="AJ28" i="43"/>
  <c r="AJ45" i="43"/>
  <c r="AJ60" i="43"/>
  <c r="AJ75" i="43"/>
  <c r="AJ90" i="43"/>
  <c r="AJ112" i="43"/>
  <c r="AJ127" i="43"/>
  <c r="AJ14" i="37"/>
  <c r="AJ29" i="37"/>
  <c r="AJ46" i="37"/>
  <c r="AJ61" i="37"/>
  <c r="AJ76" i="37"/>
  <c r="AJ91" i="37"/>
  <c r="AJ121" i="37"/>
  <c r="AJ144" i="37"/>
  <c r="L12" i="21"/>
  <c r="AJ64" i="36"/>
  <c r="AJ57" i="43"/>
  <c r="AJ43" i="37"/>
  <c r="L8" i="21"/>
  <c r="AJ13" i="36"/>
  <c r="X13" i="36"/>
  <c r="R13" i="36"/>
  <c r="AD13" i="36"/>
  <c r="L13" i="36"/>
  <c r="AJ28" i="36"/>
  <c r="AJ45" i="36"/>
  <c r="AJ60" i="36"/>
  <c r="AJ75" i="36"/>
  <c r="AJ90" i="36"/>
  <c r="AJ128" i="36"/>
  <c r="AJ143" i="36"/>
  <c r="AJ14" i="43"/>
  <c r="AJ29" i="43"/>
  <c r="AJ46" i="43"/>
  <c r="AJ61" i="43"/>
  <c r="AJ76" i="43"/>
  <c r="AJ91" i="43"/>
  <c r="AJ105" i="43"/>
  <c r="AJ128" i="43"/>
  <c r="AJ15" i="37"/>
  <c r="AJ30" i="37"/>
  <c r="AJ47" i="37"/>
  <c r="AJ62" i="37"/>
  <c r="AJ77" i="37"/>
  <c r="AJ92" i="37"/>
  <c r="AJ122" i="37"/>
  <c r="AJ137" i="37"/>
  <c r="AJ31" i="33"/>
  <c r="AJ93" i="33"/>
  <c r="AJ24" i="33"/>
  <c r="AJ41" i="33"/>
  <c r="AJ64" i="33"/>
  <c r="AJ79" i="33"/>
  <c r="AJ94" i="33"/>
  <c r="AJ125" i="33"/>
  <c r="AJ140" i="33"/>
  <c r="AJ108" i="33"/>
  <c r="AJ63" i="33"/>
  <c r="AJ15" i="33"/>
  <c r="AJ25" i="33"/>
  <c r="AJ42" i="33"/>
  <c r="AJ57" i="33"/>
  <c r="AJ80" i="33"/>
  <c r="AJ95" i="33"/>
  <c r="AJ126" i="33"/>
  <c r="AJ141" i="33"/>
  <c r="AJ109" i="33"/>
  <c r="AJ9" i="33"/>
  <c r="AJ124" i="33"/>
  <c r="AJ14" i="33"/>
  <c r="AJ26" i="33"/>
  <c r="AJ43" i="33"/>
  <c r="AJ58" i="33"/>
  <c r="AJ73" i="33"/>
  <c r="AJ96" i="33"/>
  <c r="AJ127" i="33"/>
  <c r="AJ142" i="33"/>
  <c r="AJ110" i="33"/>
  <c r="AJ48" i="33"/>
  <c r="AJ107" i="33"/>
  <c r="AJ13" i="33"/>
  <c r="AJ27" i="33"/>
  <c r="AJ44" i="33"/>
  <c r="AJ59" i="33"/>
  <c r="AJ74" i="33"/>
  <c r="AJ89" i="33"/>
  <c r="AJ128" i="33"/>
  <c r="AJ143" i="33"/>
  <c r="AJ111" i="33"/>
  <c r="AJ139" i="33"/>
  <c r="AJ12" i="33"/>
  <c r="AJ28" i="33"/>
  <c r="AJ45" i="33"/>
  <c r="AJ60" i="33"/>
  <c r="AJ75" i="33"/>
  <c r="AJ90" i="33"/>
  <c r="AJ121" i="33"/>
  <c r="AJ144" i="33"/>
  <c r="AJ112" i="33"/>
  <c r="AJ8" i="33"/>
  <c r="AJ78" i="33"/>
  <c r="AJ11" i="33"/>
  <c r="AJ29" i="33"/>
  <c r="AJ46" i="33"/>
  <c r="AJ61" i="33"/>
  <c r="AJ76" i="33"/>
  <c r="AJ91" i="33"/>
  <c r="AJ122" i="33"/>
  <c r="AJ137" i="33"/>
  <c r="AJ105" i="33"/>
  <c r="AJ119" i="33"/>
  <c r="AJ10" i="33"/>
  <c r="AJ30" i="33"/>
  <c r="AJ47" i="33"/>
  <c r="AJ62" i="33"/>
  <c r="AJ77" i="33"/>
  <c r="AJ92" i="33"/>
  <c r="AJ123" i="33"/>
  <c r="AJ138" i="33"/>
  <c r="AJ106" i="33"/>
  <c r="AJ27" i="42"/>
  <c r="AJ12" i="42"/>
  <c r="AJ60" i="42"/>
  <c r="AJ75" i="42"/>
  <c r="AJ90" i="42"/>
  <c r="AJ105" i="42"/>
  <c r="AJ119" i="42"/>
  <c r="AJ128" i="42"/>
  <c r="AJ143" i="42"/>
  <c r="AJ89" i="42"/>
  <c r="AJ45" i="42"/>
  <c r="AJ29" i="42"/>
  <c r="AJ46" i="42"/>
  <c r="AJ61" i="42"/>
  <c r="AJ76" i="42"/>
  <c r="AJ91" i="42"/>
  <c r="AJ106" i="42"/>
  <c r="AJ121" i="42"/>
  <c r="AJ144" i="42"/>
  <c r="AJ59" i="42"/>
  <c r="AJ14" i="42"/>
  <c r="AJ15" i="42"/>
  <c r="AJ30" i="42"/>
  <c r="AJ47" i="42"/>
  <c r="AJ62" i="42"/>
  <c r="AJ77" i="42"/>
  <c r="AJ92" i="42"/>
  <c r="AJ107" i="42"/>
  <c r="AJ122" i="42"/>
  <c r="AJ137" i="42"/>
  <c r="AJ142" i="42"/>
  <c r="AJ31" i="42"/>
  <c r="AJ48" i="42"/>
  <c r="AJ63" i="42"/>
  <c r="AJ78" i="42"/>
  <c r="AJ93" i="42"/>
  <c r="AJ108" i="42"/>
  <c r="AJ123" i="42"/>
  <c r="AJ138" i="42"/>
  <c r="AJ127" i="42"/>
  <c r="AJ13" i="42"/>
  <c r="AJ9" i="42"/>
  <c r="AJ24" i="42"/>
  <c r="AJ41" i="42"/>
  <c r="AJ64" i="42"/>
  <c r="AJ79" i="42"/>
  <c r="AJ94" i="42"/>
  <c r="AJ109" i="42"/>
  <c r="AJ124" i="42"/>
  <c r="AJ139" i="42"/>
  <c r="AJ44" i="42"/>
  <c r="AJ112" i="42"/>
  <c r="AJ8" i="42"/>
  <c r="AJ10" i="42"/>
  <c r="AJ25" i="42"/>
  <c r="AJ42" i="42"/>
  <c r="AJ57" i="42"/>
  <c r="AJ80" i="42"/>
  <c r="AJ95" i="42"/>
  <c r="AJ110" i="42"/>
  <c r="AJ125" i="42"/>
  <c r="AJ140" i="42"/>
  <c r="AJ74" i="42"/>
  <c r="AJ28" i="42"/>
  <c r="AJ11" i="42"/>
  <c r="AJ26" i="42"/>
  <c r="AJ43" i="42"/>
  <c r="AJ58" i="42"/>
  <c r="AJ73" i="42"/>
  <c r="AJ96" i="42"/>
  <c r="AJ111" i="42"/>
  <c r="AJ126" i="42"/>
  <c r="AJ141" i="42"/>
  <c r="AJ64" i="21"/>
  <c r="AJ80" i="21"/>
  <c r="X11" i="21"/>
  <c r="AD11" i="21"/>
  <c r="AJ11" i="21"/>
  <c r="R11" i="21"/>
  <c r="AJ26" i="21"/>
  <c r="AJ43" i="21"/>
  <c r="AJ58" i="21"/>
  <c r="AJ73" i="21"/>
  <c r="AJ96" i="21"/>
  <c r="AJ79" i="21"/>
  <c r="AJ57" i="21"/>
  <c r="X12" i="21"/>
  <c r="AD12" i="21"/>
  <c r="AJ12" i="21"/>
  <c r="R12" i="21"/>
  <c r="AJ27" i="21"/>
  <c r="AJ44" i="21"/>
  <c r="AJ59" i="21"/>
  <c r="AJ74" i="21"/>
  <c r="AJ89" i="21"/>
  <c r="AJ25" i="21"/>
  <c r="AJ42" i="21"/>
  <c r="R13" i="21"/>
  <c r="X13" i="21"/>
  <c r="AD13" i="21"/>
  <c r="AJ13" i="21"/>
  <c r="AJ28" i="21"/>
  <c r="AJ45" i="21"/>
  <c r="AJ60" i="21"/>
  <c r="AJ75" i="21"/>
  <c r="AJ90" i="21"/>
  <c r="AJ41" i="21"/>
  <c r="X10" i="21"/>
  <c r="AD10" i="21"/>
  <c r="AJ10" i="21"/>
  <c r="R10" i="21"/>
  <c r="AJ95" i="21"/>
  <c r="R14" i="21"/>
  <c r="X14" i="21"/>
  <c r="AD14" i="21"/>
  <c r="AJ14" i="21"/>
  <c r="AJ29" i="21"/>
  <c r="AJ46" i="21"/>
  <c r="AJ61" i="21"/>
  <c r="AJ76" i="21"/>
  <c r="AJ91" i="21"/>
  <c r="AD9" i="21"/>
  <c r="AJ9" i="21"/>
  <c r="R9" i="21"/>
  <c r="X9" i="21"/>
  <c r="AJ94" i="21"/>
  <c r="AJ15" i="21"/>
  <c r="R15" i="21"/>
  <c r="X15" i="21"/>
  <c r="AD15" i="21"/>
  <c r="AJ30" i="21"/>
  <c r="AJ47" i="21"/>
  <c r="AJ62" i="21"/>
  <c r="AJ77" i="21"/>
  <c r="AJ92" i="21"/>
  <c r="AJ24" i="21"/>
  <c r="R8" i="21"/>
  <c r="AJ8" i="21"/>
  <c r="X8" i="21"/>
  <c r="AD8" i="21"/>
  <c r="AJ31" i="21"/>
  <c r="AJ48" i="21"/>
  <c r="AJ63" i="21"/>
  <c r="AJ78" i="21"/>
  <c r="AJ93" i="21"/>
  <c r="J240" i="10"/>
  <c r="J241" i="10"/>
  <c r="J246" i="10"/>
  <c r="J247" i="10"/>
  <c r="C246" i="10"/>
  <c r="C247" i="10"/>
  <c r="C240" i="10"/>
  <c r="C241" i="10"/>
  <c r="C101" i="10"/>
  <c r="C102" i="10"/>
  <c r="C39" i="10"/>
  <c r="C40" i="10"/>
  <c r="D39" i="10"/>
  <c r="K39" i="10" s="1"/>
  <c r="J40" i="10"/>
  <c r="J38" i="86" l="1"/>
  <c r="I38" i="86" s="1"/>
  <c r="AB16" i="86"/>
  <c r="O8" i="21"/>
  <c r="P8" i="21" s="1"/>
  <c r="N8" i="21"/>
  <c r="M13" i="36"/>
  <c r="M8" i="21"/>
  <c r="M12" i="36"/>
  <c r="M12" i="21"/>
  <c r="M14" i="36"/>
  <c r="M10" i="36"/>
  <c r="M11" i="21"/>
  <c r="M15" i="36"/>
  <c r="O8" i="36"/>
  <c r="P8" i="36" s="1"/>
  <c r="N8" i="36"/>
  <c r="J102" i="10"/>
  <c r="J101" i="10"/>
  <c r="G240" i="10"/>
  <c r="G241" i="10"/>
  <c r="K241" i="10" s="1"/>
  <c r="G246" i="10"/>
  <c r="K246" i="10" s="1"/>
  <c r="G247" i="10"/>
  <c r="G101" i="10"/>
  <c r="G102" i="10"/>
  <c r="D101" i="10"/>
  <c r="D102" i="10"/>
  <c r="J39" i="10"/>
  <c r="D40" i="10"/>
  <c r="P34" i="86" l="1"/>
  <c r="T34" i="86" s="1"/>
  <c r="O34" i="86"/>
  <c r="S34" i="86" s="1"/>
  <c r="N34" i="86"/>
  <c r="R34" i="86" s="1"/>
  <c r="Q34" i="86"/>
  <c r="L38" i="86"/>
  <c r="K38" i="86"/>
  <c r="G103" i="10"/>
  <c r="K101" i="10"/>
  <c r="G248" i="10"/>
  <c r="K248" i="10" s="1"/>
  <c r="K247" i="10"/>
  <c r="D41" i="10"/>
  <c r="K41" i="10" s="1"/>
  <c r="K40" i="10"/>
  <c r="K102" i="10"/>
  <c r="G242" i="10"/>
  <c r="K242" i="10" s="1"/>
  <c r="K240" i="10"/>
  <c r="D103" i="10"/>
  <c r="J248" i="10"/>
  <c r="C248" i="10"/>
  <c r="C242" i="10"/>
  <c r="C103" i="10"/>
  <c r="J41" i="10"/>
  <c r="M38" i="86" l="1"/>
  <c r="Q38" i="86" s="1"/>
  <c r="P38" i="86"/>
  <c r="T38" i="86" s="1"/>
  <c r="O38" i="86"/>
  <c r="S38" i="86" s="1"/>
  <c r="N38" i="86"/>
  <c r="R38" i="86" s="1"/>
  <c r="U34" i="86"/>
  <c r="AS12" i="86" s="1"/>
  <c r="E103" i="10"/>
  <c r="H103" i="10"/>
  <c r="K103" i="10"/>
  <c r="J242" i="10"/>
  <c r="H242" i="10"/>
  <c r="H248" i="10"/>
  <c r="E41" i="10"/>
  <c r="J103" i="10"/>
  <c r="C41" i="10"/>
  <c r="AT12" i="86" l="1"/>
  <c r="V34" i="86"/>
  <c r="U38" i="86"/>
  <c r="H35" i="43"/>
  <c r="H35" i="33"/>
  <c r="H35" i="37"/>
  <c r="H35" i="42"/>
  <c r="H35" i="36"/>
  <c r="H35" i="21"/>
  <c r="C22" i="37"/>
  <c r="C39" i="37"/>
  <c r="C55" i="37"/>
  <c r="C71" i="37"/>
  <c r="C87" i="37"/>
  <c r="C103" i="37"/>
  <c r="C119" i="37"/>
  <c r="C135" i="37"/>
  <c r="C152" i="37"/>
  <c r="V38" i="86" l="1"/>
  <c r="AT16" i="86"/>
  <c r="AS16" i="86"/>
  <c r="C26" i="10"/>
  <c r="C287" i="10"/>
  <c r="C260" i="10"/>
  <c r="C224" i="10"/>
  <c r="C196" i="10"/>
  <c r="C170" i="10"/>
  <c r="C144" i="10"/>
  <c r="C118" i="10"/>
  <c r="C85" i="10"/>
  <c r="C59" i="10"/>
  <c r="R61" i="16" l="1"/>
  <c r="N61" i="16"/>
  <c r="R60" i="16"/>
  <c r="R59" i="16"/>
  <c r="J58" i="16"/>
  <c r="R58" i="16" s="1"/>
  <c r="S58" i="16" s="1"/>
  <c r="S61" i="16" l="1"/>
  <c r="S59" i="16"/>
  <c r="S60" i="16"/>
  <c r="J258" i="10" l="1"/>
  <c r="C258" i="10"/>
  <c r="G245" i="10"/>
  <c r="K245" i="10" s="1"/>
  <c r="C245" i="10"/>
  <c r="C117" i="10"/>
  <c r="G106" i="10"/>
  <c r="K106" i="10" s="1"/>
  <c r="D106" i="10"/>
  <c r="C106" i="10"/>
  <c r="G35" i="43" l="1"/>
  <c r="G35" i="21"/>
  <c r="G35" i="33"/>
  <c r="G35" i="37"/>
  <c r="G35" i="42"/>
  <c r="G35" i="36"/>
  <c r="J117" i="10"/>
  <c r="K35" i="42" l="1"/>
  <c r="AC35" i="42"/>
  <c r="Q35" i="42"/>
  <c r="AI35" i="42"/>
  <c r="W35" i="42"/>
  <c r="K35" i="37"/>
  <c r="AC35" i="37"/>
  <c r="Q35" i="37"/>
  <c r="AI35" i="37"/>
  <c r="W35" i="37"/>
  <c r="K35" i="33"/>
  <c r="AC35" i="33"/>
  <c r="W35" i="33"/>
  <c r="AI35" i="33"/>
  <c r="Q35" i="33"/>
  <c r="K35" i="36"/>
  <c r="Q35" i="36"/>
  <c r="AC35" i="36"/>
  <c r="W35" i="36"/>
  <c r="AI35" i="36"/>
  <c r="K35" i="21"/>
  <c r="AI35" i="21"/>
  <c r="AC35" i="21"/>
  <c r="Q35" i="21"/>
  <c r="W35" i="21"/>
  <c r="K35" i="43"/>
  <c r="W35" i="43"/>
  <c r="AI35" i="43"/>
  <c r="AC35" i="43"/>
  <c r="Q35" i="43"/>
  <c r="S5" i="16"/>
  <c r="D47" i="10"/>
  <c r="C47" i="10"/>
  <c r="J57" i="10"/>
  <c r="C57" i="10"/>
  <c r="N49" i="16"/>
  <c r="N45" i="16"/>
  <c r="N37" i="16"/>
  <c r="N33" i="16"/>
  <c r="N40" i="16"/>
  <c r="N38" i="16"/>
  <c r="N39" i="16"/>
  <c r="N52" i="16"/>
  <c r="N51" i="16"/>
  <c r="N50" i="16"/>
  <c r="N48" i="16"/>
  <c r="N47" i="16"/>
  <c r="N46" i="16"/>
  <c r="S37" i="16" l="1"/>
  <c r="S38" i="16"/>
  <c r="S39" i="16"/>
  <c r="S40" i="16"/>
  <c r="S29" i="16"/>
  <c r="S30" i="16"/>
  <c r="S31" i="16"/>
  <c r="S32" i="16"/>
  <c r="S33" i="16"/>
  <c r="S34" i="16"/>
  <c r="S35" i="16"/>
  <c r="S36" i="16"/>
  <c r="S17" i="16"/>
  <c r="S18" i="16"/>
  <c r="S19" i="16"/>
  <c r="S20" i="16"/>
  <c r="S21" i="16"/>
  <c r="S22" i="16"/>
  <c r="S23" i="16"/>
  <c r="S24" i="16"/>
  <c r="S25" i="16"/>
  <c r="S26" i="16"/>
  <c r="S27" i="16"/>
  <c r="S28" i="16"/>
  <c r="G76" i="16" l="1"/>
  <c r="G75" i="16"/>
  <c r="G74" i="16"/>
  <c r="G73" i="16"/>
  <c r="G72" i="16"/>
  <c r="G71" i="16"/>
  <c r="G70" i="16"/>
  <c r="G69" i="16"/>
  <c r="G68" i="16"/>
  <c r="G67" i="16"/>
  <c r="G66" i="16"/>
  <c r="G65" i="16"/>
  <c r="G64" i="16"/>
  <c r="G63" i="16"/>
  <c r="G62" i="16"/>
  <c r="G61" i="16"/>
  <c r="G60" i="16"/>
  <c r="G59" i="16"/>
  <c r="G58" i="16"/>
  <c r="G57" i="16"/>
  <c r="G56" i="16"/>
  <c r="G55" i="16"/>
  <c r="G53" i="16"/>
  <c r="G54" i="16"/>
  <c r="L37" i="16" l="1"/>
  <c r="L38" i="16"/>
  <c r="L39" i="16"/>
  <c r="L40" i="16"/>
  <c r="L41" i="16"/>
  <c r="L42" i="16"/>
  <c r="L43" i="16"/>
  <c r="L44" i="16"/>
  <c r="L45" i="16"/>
  <c r="L46" i="16"/>
  <c r="L47" i="16"/>
  <c r="L48" i="16"/>
  <c r="L49" i="16"/>
  <c r="L50" i="16"/>
  <c r="L51" i="16"/>
  <c r="L52" i="16"/>
  <c r="E53" i="16"/>
  <c r="E54" i="16"/>
  <c r="E55" i="16"/>
  <c r="E56" i="16"/>
  <c r="E57" i="16"/>
  <c r="E58" i="16"/>
  <c r="E59" i="16"/>
  <c r="E60" i="16"/>
  <c r="E61" i="16"/>
  <c r="E62" i="16"/>
  <c r="E63" i="16"/>
  <c r="E64" i="16"/>
  <c r="E65" i="16"/>
  <c r="E66" i="16"/>
  <c r="E67" i="16"/>
  <c r="E68" i="16"/>
  <c r="E69" i="16"/>
  <c r="E70" i="16"/>
  <c r="E71" i="16"/>
  <c r="E72" i="16"/>
  <c r="E73" i="16"/>
  <c r="E74" i="16"/>
  <c r="E75" i="16"/>
  <c r="E76" i="16"/>
  <c r="N28" i="16" l="1"/>
  <c r="N27" i="16"/>
  <c r="N26" i="16"/>
  <c r="N25" i="16"/>
  <c r="N34" i="16" l="1"/>
  <c r="N35" i="16"/>
  <c r="N36" i="16"/>
  <c r="N30" i="16"/>
  <c r="N31" i="16"/>
  <c r="N32" i="16"/>
  <c r="N29" i="16"/>
  <c r="N22" i="16"/>
  <c r="N23" i="16"/>
  <c r="N24" i="16"/>
  <c r="N21" i="16"/>
  <c r="N18" i="16"/>
  <c r="N19" i="16"/>
  <c r="N20" i="16"/>
  <c r="N17" i="16"/>
  <c r="N14" i="16"/>
  <c r="N15" i="16"/>
  <c r="N16" i="16"/>
  <c r="N13" i="16"/>
  <c r="N12" i="16"/>
  <c r="N11" i="16"/>
  <c r="N10" i="16"/>
  <c r="N9" i="16"/>
  <c r="N8" i="16"/>
  <c r="N7" i="16"/>
  <c r="N6" i="16"/>
  <c r="N5" i="16"/>
  <c r="C135" i="43"/>
  <c r="C132" i="43"/>
  <c r="C131" i="43"/>
  <c r="C130" i="43"/>
  <c r="C129" i="43"/>
  <c r="C128" i="43"/>
  <c r="C127" i="43"/>
  <c r="C126" i="43"/>
  <c r="C125" i="43"/>
  <c r="C124" i="43"/>
  <c r="C123" i="43"/>
  <c r="C122" i="43"/>
  <c r="C118" i="43"/>
  <c r="C116" i="43"/>
  <c r="C115" i="43"/>
  <c r="C114" i="43"/>
  <c r="C113" i="43"/>
  <c r="C112" i="43"/>
  <c r="C111" i="43"/>
  <c r="C110" i="43"/>
  <c r="C109" i="43"/>
  <c r="C108" i="43"/>
  <c r="C107" i="43"/>
  <c r="C106" i="43"/>
  <c r="C102" i="43"/>
  <c r="C100" i="43"/>
  <c r="C99" i="43"/>
  <c r="C98" i="43"/>
  <c r="C97" i="43"/>
  <c r="C96" i="43"/>
  <c r="C95" i="43"/>
  <c r="C94" i="43"/>
  <c r="C93" i="43"/>
  <c r="C92" i="43"/>
  <c r="C91" i="43"/>
  <c r="C90" i="43"/>
  <c r="C86" i="43"/>
  <c r="C84" i="43"/>
  <c r="C83" i="43"/>
  <c r="C82" i="43"/>
  <c r="C81" i="43"/>
  <c r="C80" i="43"/>
  <c r="C79" i="43"/>
  <c r="C78" i="43"/>
  <c r="C77" i="43"/>
  <c r="C76" i="43"/>
  <c r="C75" i="43"/>
  <c r="C74" i="43"/>
  <c r="C70" i="43"/>
  <c r="C68" i="43"/>
  <c r="C67" i="43"/>
  <c r="C66" i="43"/>
  <c r="C65" i="43"/>
  <c r="C64" i="43"/>
  <c r="C63" i="43"/>
  <c r="C62" i="43"/>
  <c r="C61" i="43"/>
  <c r="C60" i="43"/>
  <c r="C59" i="43"/>
  <c r="C58" i="43"/>
  <c r="C54" i="43"/>
  <c r="C52" i="43"/>
  <c r="C51" i="43"/>
  <c r="C50" i="43"/>
  <c r="C49" i="43"/>
  <c r="C48" i="43"/>
  <c r="C47" i="43"/>
  <c r="C46" i="43"/>
  <c r="C45" i="43"/>
  <c r="C44" i="43"/>
  <c r="C43" i="43"/>
  <c r="C42" i="43"/>
  <c r="C38" i="43"/>
  <c r="C34" i="43"/>
  <c r="C33" i="43"/>
  <c r="C32" i="43"/>
  <c r="C31" i="43"/>
  <c r="C30" i="43"/>
  <c r="C29" i="43"/>
  <c r="C28" i="43"/>
  <c r="C27" i="43"/>
  <c r="C26" i="43"/>
  <c r="C36" i="43" s="1"/>
  <c r="C25" i="43"/>
  <c r="C35" i="43" s="1"/>
  <c r="C21" i="43"/>
  <c r="C19" i="43"/>
  <c r="C18" i="43"/>
  <c r="C17" i="43"/>
  <c r="C16" i="43"/>
  <c r="C15" i="43"/>
  <c r="C14" i="43"/>
  <c r="C13" i="43"/>
  <c r="C12" i="43"/>
  <c r="C11" i="43"/>
  <c r="C10" i="43"/>
  <c r="C9" i="43"/>
  <c r="C151" i="42"/>
  <c r="C148" i="42"/>
  <c r="C147" i="42"/>
  <c r="C146" i="42"/>
  <c r="C145" i="42"/>
  <c r="C144" i="42"/>
  <c r="C143" i="42"/>
  <c r="C142" i="42"/>
  <c r="C141" i="42"/>
  <c r="C140" i="42"/>
  <c r="C139" i="42"/>
  <c r="C138" i="42"/>
  <c r="C134" i="42"/>
  <c r="C132" i="42"/>
  <c r="C131" i="42"/>
  <c r="C130" i="42"/>
  <c r="C129" i="42"/>
  <c r="C128" i="42"/>
  <c r="C127" i="42"/>
  <c r="C126" i="42"/>
  <c r="C125" i="42"/>
  <c r="C124" i="42"/>
  <c r="C123" i="42"/>
  <c r="C122" i="42"/>
  <c r="C118" i="42"/>
  <c r="C116" i="42"/>
  <c r="C115" i="42"/>
  <c r="C114" i="42"/>
  <c r="C113" i="42"/>
  <c r="C112" i="42"/>
  <c r="C111" i="42"/>
  <c r="C110" i="42"/>
  <c r="C109" i="42"/>
  <c r="C108" i="42"/>
  <c r="C107" i="42"/>
  <c r="C106" i="42"/>
  <c r="C102" i="42"/>
  <c r="C100" i="42"/>
  <c r="C99" i="42"/>
  <c r="C98" i="42"/>
  <c r="C97" i="42"/>
  <c r="C96" i="42"/>
  <c r="C95" i="42"/>
  <c r="C94" i="42"/>
  <c r="C93" i="42"/>
  <c r="C92" i="42"/>
  <c r="C91" i="42"/>
  <c r="C90" i="42"/>
  <c r="C86" i="42"/>
  <c r="C84" i="42"/>
  <c r="C83" i="42"/>
  <c r="C82" i="42"/>
  <c r="C81" i="42"/>
  <c r="C80" i="42"/>
  <c r="C79" i="42"/>
  <c r="C78" i="42"/>
  <c r="C77" i="42"/>
  <c r="C76" i="42"/>
  <c r="C75" i="42"/>
  <c r="C74" i="42"/>
  <c r="C70" i="42"/>
  <c r="C68" i="42"/>
  <c r="C67" i="42"/>
  <c r="C66" i="42"/>
  <c r="C65" i="42"/>
  <c r="C64" i="42"/>
  <c r="C63" i="42"/>
  <c r="C62" i="42"/>
  <c r="C61" i="42"/>
  <c r="C60" i="42"/>
  <c r="C59" i="42"/>
  <c r="C58" i="42"/>
  <c r="C54" i="42"/>
  <c r="C52" i="42"/>
  <c r="C51" i="42"/>
  <c r="C50" i="42"/>
  <c r="C49" i="42"/>
  <c r="C48" i="42"/>
  <c r="C47" i="42"/>
  <c r="C46" i="42"/>
  <c r="C45" i="42"/>
  <c r="C44" i="42"/>
  <c r="C43" i="42"/>
  <c r="C42" i="42"/>
  <c r="C38" i="42"/>
  <c r="C36" i="42"/>
  <c r="C34" i="42"/>
  <c r="C33" i="42"/>
  <c r="C32" i="42"/>
  <c r="C31" i="42"/>
  <c r="C30" i="42"/>
  <c r="C29" i="42"/>
  <c r="C28" i="42"/>
  <c r="C27" i="42"/>
  <c r="C26" i="42"/>
  <c r="C25" i="42"/>
  <c r="C35" i="42" s="1"/>
  <c r="C21" i="42"/>
  <c r="C19" i="42"/>
  <c r="C18" i="42"/>
  <c r="C17" i="42"/>
  <c r="C16" i="42"/>
  <c r="C15" i="42"/>
  <c r="C14" i="42"/>
  <c r="C13" i="42"/>
  <c r="C12" i="42"/>
  <c r="C11" i="42"/>
  <c r="C10" i="42"/>
  <c r="C9" i="42"/>
  <c r="R27" i="35"/>
  <c r="R32" i="35"/>
  <c r="AA7" i="28"/>
  <c r="AA32" i="28"/>
  <c r="AA33" i="28"/>
  <c r="AA34" i="28"/>
  <c r="AA35" i="28"/>
  <c r="AA36" i="28"/>
  <c r="AA37" i="28"/>
  <c r="AA38" i="28"/>
  <c r="AA39" i="28"/>
  <c r="AA40" i="28"/>
  <c r="AA41" i="28"/>
  <c r="AA42" i="28"/>
  <c r="AA43" i="28"/>
  <c r="AA44" i="28"/>
  <c r="AA45" i="28"/>
  <c r="AA46" i="28"/>
  <c r="AA47" i="28"/>
  <c r="AA48" i="28"/>
  <c r="AA49" i="28"/>
  <c r="AA50" i="28"/>
  <c r="AA51" i="28"/>
  <c r="AA52" i="28"/>
  <c r="AA53" i="28"/>
  <c r="AA54" i="28"/>
  <c r="AA55" i="28"/>
  <c r="AA56" i="28"/>
  <c r="AA57" i="28"/>
  <c r="AA58" i="28"/>
  <c r="AA59" i="28"/>
  <c r="AA60" i="28"/>
  <c r="AA61" i="28"/>
  <c r="AA62" i="28"/>
  <c r="AA63" i="28"/>
  <c r="AA64" i="28"/>
  <c r="AA65" i="28"/>
  <c r="AA66" i="28"/>
  <c r="AA67" i="28"/>
  <c r="AA68" i="28"/>
  <c r="AA69" i="28"/>
  <c r="AA70" i="28"/>
  <c r="AA71" i="28"/>
  <c r="AA72" i="28"/>
  <c r="AA73" i="28"/>
  <c r="AA74" i="28"/>
  <c r="AA75" i="28"/>
  <c r="AA76" i="28"/>
  <c r="AA77" i="28"/>
  <c r="AA78" i="28"/>
  <c r="AA79" i="28"/>
  <c r="AA80" i="28"/>
  <c r="AA81" i="28"/>
  <c r="AA82" i="28"/>
  <c r="AA83" i="28"/>
  <c r="AA84" i="28"/>
  <c r="AA85" i="28"/>
  <c r="AA86" i="28"/>
  <c r="AA87" i="28"/>
  <c r="AA88" i="28"/>
  <c r="AA89" i="28"/>
  <c r="AA90" i="28"/>
  <c r="AA91" i="28"/>
  <c r="AA92" i="28"/>
  <c r="AA93" i="28"/>
  <c r="AA94" i="28"/>
  <c r="AA95" i="28"/>
  <c r="AA96" i="28"/>
  <c r="AA97" i="28"/>
  <c r="AA98" i="28"/>
  <c r="AA99" i="28"/>
  <c r="AA100" i="28"/>
  <c r="AA101" i="28"/>
  <c r="AA102" i="28"/>
  <c r="AA103" i="28"/>
  <c r="AA104" i="28"/>
  <c r="AA105" i="28"/>
  <c r="AA106" i="28"/>
  <c r="AA107" i="28"/>
  <c r="AA108" i="28"/>
  <c r="AA109" i="28"/>
  <c r="AA110" i="28"/>
  <c r="AA111" i="28"/>
  <c r="AA112" i="28"/>
  <c r="AA113" i="28"/>
  <c r="AA6" i="28"/>
  <c r="Z7" i="28"/>
  <c r="Z19" i="28"/>
  <c r="AA19" i="28" s="1"/>
  <c r="Z32" i="28"/>
  <c r="Z33" i="28"/>
  <c r="Z34" i="28"/>
  <c r="Z35" i="28"/>
  <c r="Z36" i="28"/>
  <c r="Z37" i="28"/>
  <c r="Z38" i="28"/>
  <c r="Z39" i="28"/>
  <c r="Z40" i="28"/>
  <c r="Z41" i="28"/>
  <c r="Z42" i="28"/>
  <c r="Z43" i="28"/>
  <c r="Z44" i="28"/>
  <c r="Z45" i="28"/>
  <c r="Z46" i="28"/>
  <c r="Z47" i="28"/>
  <c r="Z48" i="28"/>
  <c r="Z49" i="28"/>
  <c r="Z50" i="28"/>
  <c r="Z51" i="28"/>
  <c r="Z52" i="28"/>
  <c r="Z53" i="28"/>
  <c r="Z54" i="28"/>
  <c r="Z55" i="28"/>
  <c r="Z56" i="28"/>
  <c r="Z57" i="28"/>
  <c r="Z58" i="28"/>
  <c r="Z59" i="28"/>
  <c r="Z60" i="28"/>
  <c r="Z61" i="28"/>
  <c r="Z62" i="28"/>
  <c r="Z63" i="28"/>
  <c r="Z64" i="28"/>
  <c r="Z65" i="28"/>
  <c r="Z66" i="28"/>
  <c r="Z67" i="28"/>
  <c r="Z68" i="28"/>
  <c r="Z69" i="28"/>
  <c r="Z70" i="28"/>
  <c r="Z71" i="28"/>
  <c r="Z72" i="28"/>
  <c r="Z73" i="28"/>
  <c r="Z74" i="28"/>
  <c r="Z75" i="28"/>
  <c r="Z76" i="28"/>
  <c r="Z77" i="28"/>
  <c r="Z78" i="28"/>
  <c r="Z79" i="28"/>
  <c r="Z80" i="28"/>
  <c r="Z81" i="28"/>
  <c r="Z82" i="28"/>
  <c r="Z83" i="28"/>
  <c r="Z84" i="28"/>
  <c r="Z85" i="28"/>
  <c r="Z86" i="28"/>
  <c r="Z87" i="28"/>
  <c r="Z88" i="28"/>
  <c r="Z89" i="28"/>
  <c r="Z90" i="28"/>
  <c r="Z91" i="28"/>
  <c r="Z92" i="28"/>
  <c r="Z93" i="28"/>
  <c r="Z94" i="28"/>
  <c r="Z95" i="28"/>
  <c r="Z96" i="28"/>
  <c r="Z97" i="28"/>
  <c r="Z98" i="28"/>
  <c r="Z99" i="28"/>
  <c r="Z100" i="28"/>
  <c r="Z101" i="28"/>
  <c r="Z102" i="28"/>
  <c r="Z103" i="28"/>
  <c r="Z104" i="28"/>
  <c r="Z105" i="28"/>
  <c r="Z106" i="28"/>
  <c r="Z107" i="28"/>
  <c r="Z108" i="28"/>
  <c r="Z109" i="28"/>
  <c r="Z110" i="28"/>
  <c r="Z111" i="28"/>
  <c r="Z112" i="28"/>
  <c r="Z113" i="28"/>
  <c r="Z114" i="28"/>
  <c r="Z115" i="28"/>
  <c r="Z116" i="28"/>
  <c r="Z117" i="28"/>
  <c r="Z118" i="28"/>
  <c r="Z119" i="28"/>
  <c r="Z120" i="28"/>
  <c r="Z121" i="28"/>
  <c r="Z122" i="28"/>
  <c r="Z6" i="28"/>
  <c r="P7" i="28"/>
  <c r="P32" i="28"/>
  <c r="P33" i="28"/>
  <c r="P34" i="28"/>
  <c r="P35" i="28"/>
  <c r="P36" i="28"/>
  <c r="P37" i="28"/>
  <c r="P38" i="28"/>
  <c r="P39" i="28"/>
  <c r="P40" i="28"/>
  <c r="P41" i="28"/>
  <c r="P42" i="28"/>
  <c r="P43" i="28"/>
  <c r="P44" i="28"/>
  <c r="P45" i="28"/>
  <c r="P46" i="28"/>
  <c r="P47" i="28"/>
  <c r="P48" i="28"/>
  <c r="P49" i="28"/>
  <c r="P50" i="28"/>
  <c r="P51" i="28"/>
  <c r="P52" i="28"/>
  <c r="P53" i="28"/>
  <c r="P54" i="28"/>
  <c r="P55" i="28"/>
  <c r="P56" i="28"/>
  <c r="P57" i="28"/>
  <c r="P58"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P107" i="28"/>
  <c r="P108" i="28"/>
  <c r="P109" i="28"/>
  <c r="P110" i="28"/>
  <c r="P111" i="28"/>
  <c r="P112" i="28"/>
  <c r="P113" i="28"/>
  <c r="P6" i="28"/>
  <c r="O7" i="28"/>
  <c r="O19" i="28"/>
  <c r="P19" i="28" s="1"/>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6" i="28"/>
  <c r="O67" i="28"/>
  <c r="O68" i="28"/>
  <c r="O69" i="28"/>
  <c r="O70" i="28"/>
  <c r="O71" i="28"/>
  <c r="O72" i="28"/>
  <c r="O73" i="28"/>
  <c r="O74" i="28"/>
  <c r="O75" i="28"/>
  <c r="O76" i="28"/>
  <c r="O77" i="28"/>
  <c r="O78" i="28"/>
  <c r="O79" i="28"/>
  <c r="O80" i="28"/>
  <c r="O81" i="28"/>
  <c r="O82" i="28"/>
  <c r="O83" i="28"/>
  <c r="O84" i="28"/>
  <c r="O85" i="28"/>
  <c r="O86" i="28"/>
  <c r="O87" i="28"/>
  <c r="O88" i="28"/>
  <c r="O89" i="28"/>
  <c r="O90" i="28"/>
  <c r="O91" i="28"/>
  <c r="O92" i="28"/>
  <c r="O93" i="28"/>
  <c r="O94" i="28"/>
  <c r="O95" i="28"/>
  <c r="O96" i="28"/>
  <c r="O97" i="28"/>
  <c r="O98" i="28"/>
  <c r="O99" i="28"/>
  <c r="O100" i="28"/>
  <c r="O101" i="28"/>
  <c r="O102" i="28"/>
  <c r="O103" i="28"/>
  <c r="O104" i="28"/>
  <c r="O105" i="28"/>
  <c r="O106" i="28"/>
  <c r="O107" i="28"/>
  <c r="O108" i="28"/>
  <c r="O109" i="28"/>
  <c r="O110" i="28"/>
  <c r="O111" i="28"/>
  <c r="O112" i="28"/>
  <c r="O113" i="28"/>
  <c r="O6" i="28"/>
  <c r="D19" i="28"/>
  <c r="E19" i="28" s="1"/>
  <c r="D32" i="28"/>
  <c r="E32" i="28" s="1"/>
  <c r="D45" i="28"/>
  <c r="E45" i="28" s="1"/>
  <c r="D58" i="28"/>
  <c r="E58" i="28" s="1"/>
  <c r="D71" i="28"/>
  <c r="E71" i="28" s="1"/>
  <c r="D84" i="28"/>
  <c r="E84" i="28" s="1"/>
  <c r="D97" i="28"/>
  <c r="E97" i="28" s="1"/>
  <c r="D110" i="28"/>
  <c r="E110" i="28" s="1"/>
  <c r="D6" i="28"/>
  <c r="E6" i="28" s="1"/>
  <c r="C149" i="42" l="1"/>
  <c r="C150" i="42"/>
  <c r="C37" i="43"/>
  <c r="C69" i="43"/>
  <c r="C101" i="43"/>
  <c r="C117" i="43"/>
  <c r="C20" i="43"/>
  <c r="C53" i="43"/>
  <c r="C85" i="43"/>
  <c r="C133" i="43"/>
  <c r="C134" i="43"/>
  <c r="C117" i="42"/>
  <c r="C119" i="42"/>
  <c r="C101" i="42"/>
  <c r="C103" i="42"/>
  <c r="C152" i="42"/>
  <c r="C133" i="42"/>
  <c r="C135" i="42"/>
  <c r="C69" i="42"/>
  <c r="C71" i="42"/>
  <c r="C53" i="42"/>
  <c r="C55" i="42"/>
  <c r="C85" i="42"/>
  <c r="C87" i="42"/>
  <c r="C37" i="42"/>
  <c r="C39" i="42"/>
  <c r="C20" i="42"/>
  <c r="C22" i="42"/>
  <c r="G239" i="10" l="1"/>
  <c r="K239" i="10" s="1"/>
  <c r="D239" i="10"/>
  <c r="G236" i="10"/>
  <c r="K236" i="10" s="1"/>
  <c r="D236" i="10"/>
  <c r="C239" i="10"/>
  <c r="C236" i="10"/>
  <c r="G211" i="10"/>
  <c r="K211" i="10" s="1"/>
  <c r="D211" i="10"/>
  <c r="C211" i="10"/>
  <c r="G208" i="10"/>
  <c r="K208" i="10" s="1"/>
  <c r="D208" i="10"/>
  <c r="C208" i="10"/>
  <c r="C209" i="10"/>
  <c r="G100" i="10"/>
  <c r="K100" i="10" s="1"/>
  <c r="G97" i="10"/>
  <c r="K97" i="10" s="1"/>
  <c r="D100" i="10"/>
  <c r="D97" i="10"/>
  <c r="C100" i="10"/>
  <c r="C97" i="10"/>
  <c r="D44" i="10"/>
  <c r="D38" i="10"/>
  <c r="C44" i="10"/>
  <c r="C38" i="10"/>
  <c r="C151" i="37"/>
  <c r="C148" i="37"/>
  <c r="C147" i="37"/>
  <c r="C146" i="37"/>
  <c r="C145" i="37"/>
  <c r="C144" i="37"/>
  <c r="C143" i="37"/>
  <c r="C142" i="37"/>
  <c r="C141" i="37"/>
  <c r="C140" i="37"/>
  <c r="C139" i="37"/>
  <c r="C138" i="37"/>
  <c r="C134" i="37"/>
  <c r="C132" i="37"/>
  <c r="C131" i="37"/>
  <c r="C130" i="37"/>
  <c r="C129" i="37"/>
  <c r="C128" i="37"/>
  <c r="C127" i="37"/>
  <c r="C126" i="37"/>
  <c r="C125" i="37"/>
  <c r="C124" i="37"/>
  <c r="C123" i="37"/>
  <c r="C122" i="37"/>
  <c r="C118" i="37"/>
  <c r="C116" i="37"/>
  <c r="C115" i="37"/>
  <c r="C114" i="37"/>
  <c r="C113" i="37"/>
  <c r="C112" i="37"/>
  <c r="C111" i="37"/>
  <c r="C110" i="37"/>
  <c r="C109" i="37"/>
  <c r="C108" i="37"/>
  <c r="C107" i="37"/>
  <c r="C106" i="37"/>
  <c r="C102" i="37"/>
  <c r="C100" i="37"/>
  <c r="C99" i="37"/>
  <c r="C98" i="37"/>
  <c r="C97" i="37"/>
  <c r="C96" i="37"/>
  <c r="C95" i="37"/>
  <c r="C94" i="37"/>
  <c r="C93" i="37"/>
  <c r="C92" i="37"/>
  <c r="C91" i="37"/>
  <c r="C90" i="37"/>
  <c r="C86" i="37"/>
  <c r="C84" i="37"/>
  <c r="C83" i="37"/>
  <c r="C82" i="37"/>
  <c r="C81" i="37"/>
  <c r="C80" i="37"/>
  <c r="C79" i="37"/>
  <c r="C78" i="37"/>
  <c r="C77" i="37"/>
  <c r="C76" i="37"/>
  <c r="C75" i="37"/>
  <c r="C74" i="37"/>
  <c r="C70" i="37"/>
  <c r="C68" i="37"/>
  <c r="C67" i="37"/>
  <c r="C66" i="37"/>
  <c r="C65" i="37"/>
  <c r="C64" i="37"/>
  <c r="C63" i="37"/>
  <c r="C62" i="37"/>
  <c r="C61" i="37"/>
  <c r="C60" i="37"/>
  <c r="C59" i="37"/>
  <c r="C58" i="37"/>
  <c r="C54" i="37"/>
  <c r="C52" i="37"/>
  <c r="C51" i="37"/>
  <c r="C50" i="37"/>
  <c r="C49" i="37"/>
  <c r="C48" i="37"/>
  <c r="C47" i="37"/>
  <c r="C46" i="37"/>
  <c r="C45" i="37"/>
  <c r="C44" i="37"/>
  <c r="C43" i="37"/>
  <c r="C42" i="37"/>
  <c r="C38" i="37"/>
  <c r="C36" i="37"/>
  <c r="C34" i="37"/>
  <c r="C33" i="37"/>
  <c r="C32" i="37"/>
  <c r="C31" i="37"/>
  <c r="C30" i="37"/>
  <c r="C29" i="37"/>
  <c r="C28" i="37"/>
  <c r="C27" i="37"/>
  <c r="C26" i="37"/>
  <c r="C25" i="37"/>
  <c r="C35" i="37" s="1"/>
  <c r="C21" i="37"/>
  <c r="C19" i="37"/>
  <c r="C18" i="37"/>
  <c r="C17" i="37"/>
  <c r="C16" i="37"/>
  <c r="C15" i="37"/>
  <c r="C14" i="37"/>
  <c r="C13" i="37"/>
  <c r="C12" i="37"/>
  <c r="C11" i="37"/>
  <c r="C10" i="37"/>
  <c r="C9" i="37"/>
  <c r="C151" i="36"/>
  <c r="C148" i="36"/>
  <c r="C147" i="36"/>
  <c r="C146" i="36"/>
  <c r="C145" i="36"/>
  <c r="C144" i="36"/>
  <c r="C143" i="36"/>
  <c r="C142" i="36"/>
  <c r="C141" i="36"/>
  <c r="C140" i="36"/>
  <c r="C139" i="36"/>
  <c r="C138" i="36"/>
  <c r="C134" i="36"/>
  <c r="C132" i="36"/>
  <c r="C131" i="36"/>
  <c r="C130" i="36"/>
  <c r="C129" i="36"/>
  <c r="C128" i="36"/>
  <c r="C127" i="36"/>
  <c r="C126" i="36"/>
  <c r="C125" i="36"/>
  <c r="C124" i="36"/>
  <c r="C123" i="36"/>
  <c r="C122" i="36"/>
  <c r="C118" i="36"/>
  <c r="C116" i="36"/>
  <c r="C115" i="36"/>
  <c r="C114" i="36"/>
  <c r="C113" i="36"/>
  <c r="C112" i="36"/>
  <c r="C111" i="36"/>
  <c r="C110" i="36"/>
  <c r="C109" i="36"/>
  <c r="C108" i="36"/>
  <c r="C107" i="36"/>
  <c r="C106" i="36"/>
  <c r="C102" i="36"/>
  <c r="C100" i="36"/>
  <c r="C99" i="36"/>
  <c r="C98" i="36"/>
  <c r="C97" i="36"/>
  <c r="C96" i="36"/>
  <c r="C95" i="36"/>
  <c r="C94" i="36"/>
  <c r="C93" i="36"/>
  <c r="C92" i="36"/>
  <c r="C91" i="36"/>
  <c r="C90" i="36"/>
  <c r="C86" i="36"/>
  <c r="C84" i="36"/>
  <c r="C83" i="36"/>
  <c r="C82" i="36"/>
  <c r="C81" i="36"/>
  <c r="C80" i="36"/>
  <c r="C79" i="36"/>
  <c r="C78" i="36"/>
  <c r="C77" i="36"/>
  <c r="C76" i="36"/>
  <c r="C75" i="36"/>
  <c r="C74" i="36"/>
  <c r="C70" i="36"/>
  <c r="C68" i="36"/>
  <c r="C67" i="36"/>
  <c r="C66" i="36"/>
  <c r="C65" i="36"/>
  <c r="C64" i="36"/>
  <c r="C63" i="36"/>
  <c r="C62" i="36"/>
  <c r="C61" i="36"/>
  <c r="C60" i="36"/>
  <c r="C59" i="36"/>
  <c r="C58" i="36"/>
  <c r="C54" i="36"/>
  <c r="C52" i="36"/>
  <c r="C51" i="36"/>
  <c r="C50" i="36"/>
  <c r="C49" i="36"/>
  <c r="C48" i="36"/>
  <c r="C47" i="36"/>
  <c r="C46" i="36"/>
  <c r="C45" i="36"/>
  <c r="C44" i="36"/>
  <c r="C43" i="36"/>
  <c r="C42" i="36"/>
  <c r="C38" i="36"/>
  <c r="C34" i="36"/>
  <c r="C33" i="36"/>
  <c r="C32" i="36"/>
  <c r="C31" i="36"/>
  <c r="C30" i="36"/>
  <c r="C29" i="36"/>
  <c r="C28" i="36"/>
  <c r="C27" i="36"/>
  <c r="C26" i="36"/>
  <c r="C36" i="36" s="1"/>
  <c r="C25" i="36"/>
  <c r="C35" i="36" s="1"/>
  <c r="C21" i="36"/>
  <c r="C19" i="36"/>
  <c r="C18" i="36"/>
  <c r="C17" i="36"/>
  <c r="C16" i="36"/>
  <c r="C15" i="36"/>
  <c r="C14" i="36"/>
  <c r="C13" i="36"/>
  <c r="C12" i="36"/>
  <c r="C11" i="36"/>
  <c r="C10" i="36"/>
  <c r="C9" i="36"/>
  <c r="C37" i="37" l="1"/>
  <c r="C69" i="37"/>
  <c r="C101" i="37"/>
  <c r="C133" i="37"/>
  <c r="C20" i="37"/>
  <c r="C53" i="37"/>
  <c r="C85" i="37"/>
  <c r="C117" i="37"/>
  <c r="C149" i="37"/>
  <c r="C150" i="37"/>
  <c r="O9" i="36"/>
  <c r="P9" i="36" s="1"/>
  <c r="N9" i="36"/>
  <c r="C149" i="36"/>
  <c r="C150" i="36"/>
  <c r="O11" i="36"/>
  <c r="P11" i="36" s="1"/>
  <c r="N11" i="36"/>
  <c r="O12" i="36"/>
  <c r="P12" i="36" s="1"/>
  <c r="N12" i="36"/>
  <c r="O13" i="36"/>
  <c r="P13" i="36" s="1"/>
  <c r="N13" i="36"/>
  <c r="O10" i="36"/>
  <c r="P10" i="36" s="1"/>
  <c r="N10" i="36"/>
  <c r="O14" i="36"/>
  <c r="P14" i="36" s="1"/>
  <c r="N14" i="36"/>
  <c r="N15" i="36"/>
  <c r="O15" i="36"/>
  <c r="P15" i="36" s="1"/>
  <c r="C152" i="36"/>
  <c r="C133" i="36"/>
  <c r="C135" i="36"/>
  <c r="C117" i="36"/>
  <c r="C119" i="36"/>
  <c r="C101" i="36"/>
  <c r="C103" i="36"/>
  <c r="C85" i="36"/>
  <c r="C87" i="36"/>
  <c r="C69" i="36"/>
  <c r="C71" i="36"/>
  <c r="C53" i="36"/>
  <c r="C55" i="36"/>
  <c r="C37" i="36"/>
  <c r="C39" i="36"/>
  <c r="C20" i="36"/>
  <c r="C22" i="36"/>
  <c r="I32" i="26" l="1"/>
  <c r="I33" i="26"/>
  <c r="I34" i="26"/>
  <c r="I35" i="26"/>
  <c r="I36" i="26"/>
  <c r="I37" i="26"/>
  <c r="I38" i="26"/>
  <c r="I39" i="26"/>
  <c r="I40" i="26"/>
  <c r="I41" i="26"/>
  <c r="I42" i="26"/>
  <c r="I43" i="26"/>
  <c r="I44" i="26"/>
  <c r="I45" i="26"/>
  <c r="I46" i="26"/>
  <c r="I47" i="26"/>
  <c r="I48" i="26"/>
  <c r="I49" i="26"/>
  <c r="I31" i="26"/>
  <c r="G32" i="26"/>
  <c r="G33" i="26"/>
  <c r="G34" i="26"/>
  <c r="G35" i="26"/>
  <c r="G36" i="26"/>
  <c r="G37" i="26"/>
  <c r="G38" i="26"/>
  <c r="G39" i="26"/>
  <c r="G40" i="26"/>
  <c r="G41" i="26"/>
  <c r="G42" i="26"/>
  <c r="G43" i="26"/>
  <c r="G44" i="26"/>
  <c r="G45" i="26"/>
  <c r="G46" i="26"/>
  <c r="G47" i="26"/>
  <c r="G48" i="26"/>
  <c r="G49" i="26"/>
  <c r="G31" i="26"/>
  <c r="F32" i="26"/>
  <c r="F33" i="26"/>
  <c r="F34" i="26"/>
  <c r="F35" i="26"/>
  <c r="F36" i="26"/>
  <c r="F37" i="26"/>
  <c r="F38" i="26"/>
  <c r="F39" i="26"/>
  <c r="F40" i="26"/>
  <c r="F41" i="26"/>
  <c r="F42" i="26"/>
  <c r="F43" i="26"/>
  <c r="F44" i="26"/>
  <c r="F45" i="26"/>
  <c r="F46" i="26"/>
  <c r="F47" i="26"/>
  <c r="F48" i="26"/>
  <c r="F49" i="26"/>
  <c r="F31" i="26"/>
  <c r="H32" i="26"/>
  <c r="H33" i="26"/>
  <c r="H34" i="26"/>
  <c r="H35" i="26"/>
  <c r="H36" i="26"/>
  <c r="H37" i="26"/>
  <c r="H38" i="26"/>
  <c r="H39" i="26"/>
  <c r="H40" i="26"/>
  <c r="H41" i="26"/>
  <c r="H42" i="26"/>
  <c r="H43" i="26"/>
  <c r="H44" i="26"/>
  <c r="H45" i="26"/>
  <c r="H46" i="26"/>
  <c r="H47" i="26"/>
  <c r="H48" i="26"/>
  <c r="H49" i="26"/>
  <c r="H31" i="26"/>
  <c r="N140" i="35" l="1"/>
  <c r="O140" i="35" s="1"/>
  <c r="P140" i="35" s="1"/>
  <c r="J140" i="35"/>
  <c r="K140" i="35" s="1"/>
  <c r="D140" i="35"/>
  <c r="E140" i="35" s="1"/>
  <c r="F140" i="35" s="1"/>
  <c r="N139" i="35"/>
  <c r="O139" i="35" s="1"/>
  <c r="P139" i="35" s="1"/>
  <c r="J139" i="35"/>
  <c r="K139" i="35" s="1"/>
  <c r="L139" i="35" s="1"/>
  <c r="D139" i="35"/>
  <c r="E139" i="35" s="1"/>
  <c r="F139" i="35" s="1"/>
  <c r="N138" i="35"/>
  <c r="O138" i="35" s="1"/>
  <c r="P138" i="35" s="1"/>
  <c r="J138" i="35"/>
  <c r="K138" i="35" s="1"/>
  <c r="D138" i="35"/>
  <c r="E138" i="35" s="1"/>
  <c r="F138" i="35" s="1"/>
  <c r="N137" i="35"/>
  <c r="O137" i="35" s="1"/>
  <c r="P137" i="35" s="1"/>
  <c r="J137" i="35"/>
  <c r="K137" i="35" s="1"/>
  <c r="L137" i="35" s="1"/>
  <c r="N135" i="35"/>
  <c r="O135" i="35" s="1"/>
  <c r="P135" i="35" s="1"/>
  <c r="J135" i="35"/>
  <c r="K135" i="35" s="1"/>
  <c r="D135" i="35"/>
  <c r="E135" i="35" s="1"/>
  <c r="F135" i="35" s="1"/>
  <c r="N134" i="35"/>
  <c r="O134" i="35" s="1"/>
  <c r="P134" i="35" s="1"/>
  <c r="J134" i="35"/>
  <c r="K134" i="35" s="1"/>
  <c r="D134" i="35"/>
  <c r="E134" i="35" s="1"/>
  <c r="F134" i="35" s="1"/>
  <c r="N133" i="35"/>
  <c r="O133" i="35" s="1"/>
  <c r="P133" i="35" s="1"/>
  <c r="J133" i="35"/>
  <c r="K133" i="35" s="1"/>
  <c r="L133" i="35" s="1"/>
  <c r="D133" i="35"/>
  <c r="E133" i="35" s="1"/>
  <c r="F133" i="35" s="1"/>
  <c r="N132" i="35"/>
  <c r="O132" i="35" s="1"/>
  <c r="P132" i="35" s="1"/>
  <c r="Q132" i="35" s="1"/>
  <c r="J132" i="35"/>
  <c r="K132" i="35" s="1"/>
  <c r="N130" i="35"/>
  <c r="O130" i="35" s="1"/>
  <c r="P130" i="35" s="1"/>
  <c r="J130" i="35"/>
  <c r="K130" i="35" s="1"/>
  <c r="D130" i="35"/>
  <c r="E130" i="35" s="1"/>
  <c r="F130" i="35" s="1"/>
  <c r="N129" i="35"/>
  <c r="O129" i="35" s="1"/>
  <c r="P129" i="35" s="1"/>
  <c r="Q129" i="35" s="1"/>
  <c r="J129" i="35"/>
  <c r="K129" i="35" s="1"/>
  <c r="D129" i="35"/>
  <c r="E129" i="35" s="1"/>
  <c r="F129" i="35" s="1"/>
  <c r="N128" i="35"/>
  <c r="O128" i="35" s="1"/>
  <c r="P128" i="35" s="1"/>
  <c r="J128" i="35"/>
  <c r="K128" i="35" s="1"/>
  <c r="D128" i="35"/>
  <c r="E128" i="35" s="1"/>
  <c r="F128" i="35" s="1"/>
  <c r="N127" i="35"/>
  <c r="O127" i="35" s="1"/>
  <c r="P127" i="35" s="1"/>
  <c r="J127" i="35"/>
  <c r="K127" i="35" s="1"/>
  <c r="N125" i="35"/>
  <c r="O125" i="35" s="1"/>
  <c r="P125" i="35" s="1"/>
  <c r="Q125" i="35" s="1"/>
  <c r="J125" i="35"/>
  <c r="K125" i="35" s="1"/>
  <c r="D125" i="35"/>
  <c r="E125" i="35" s="1"/>
  <c r="F125" i="35" s="1"/>
  <c r="N124" i="35"/>
  <c r="O124" i="35" s="1"/>
  <c r="P124" i="35" s="1"/>
  <c r="J124" i="35"/>
  <c r="K124" i="35" s="1"/>
  <c r="D124" i="35"/>
  <c r="E124" i="35" s="1"/>
  <c r="F124" i="35" s="1"/>
  <c r="N123" i="35"/>
  <c r="O123" i="35" s="1"/>
  <c r="P123" i="35" s="1"/>
  <c r="J123" i="35"/>
  <c r="K123" i="35" s="1"/>
  <c r="D123" i="35"/>
  <c r="E123" i="35" s="1"/>
  <c r="F123" i="35" s="1"/>
  <c r="N122" i="35"/>
  <c r="O122" i="35" s="1"/>
  <c r="P122" i="35" s="1"/>
  <c r="J122" i="35"/>
  <c r="K122" i="35" s="1"/>
  <c r="N120" i="35"/>
  <c r="O120" i="35" s="1"/>
  <c r="P120" i="35" s="1"/>
  <c r="Q120" i="35" s="1"/>
  <c r="J120" i="35"/>
  <c r="K120" i="35" s="1"/>
  <c r="L120" i="35" s="1"/>
  <c r="D120" i="35"/>
  <c r="E120" i="35" s="1"/>
  <c r="F120" i="35" s="1"/>
  <c r="N119" i="35"/>
  <c r="O119" i="35" s="1"/>
  <c r="P119" i="35" s="1"/>
  <c r="J119" i="35"/>
  <c r="K119" i="35" s="1"/>
  <c r="D119" i="35"/>
  <c r="E119" i="35" s="1"/>
  <c r="F119" i="35" s="1"/>
  <c r="N118" i="35"/>
  <c r="O118" i="35" s="1"/>
  <c r="P118" i="35" s="1"/>
  <c r="J118" i="35"/>
  <c r="K118" i="35" s="1"/>
  <c r="D118" i="35"/>
  <c r="E118" i="35" s="1"/>
  <c r="F118" i="35" s="1"/>
  <c r="N117" i="35"/>
  <c r="O117" i="35" s="1"/>
  <c r="P117" i="35" s="1"/>
  <c r="J117" i="35"/>
  <c r="K117" i="35" s="1"/>
  <c r="N115" i="35"/>
  <c r="O115" i="35" s="1"/>
  <c r="P115" i="35" s="1"/>
  <c r="J115" i="35"/>
  <c r="K115" i="35" s="1"/>
  <c r="L115" i="35" s="1"/>
  <c r="D115" i="35"/>
  <c r="E115" i="35" s="1"/>
  <c r="F115" i="35" s="1"/>
  <c r="N114" i="35"/>
  <c r="O114" i="35" s="1"/>
  <c r="P114" i="35" s="1"/>
  <c r="Q114" i="35" s="1"/>
  <c r="J114" i="35"/>
  <c r="K114" i="35" s="1"/>
  <c r="D114" i="35"/>
  <c r="E114" i="35" s="1"/>
  <c r="F114" i="35" s="1"/>
  <c r="N113" i="35"/>
  <c r="O113" i="35" s="1"/>
  <c r="P113" i="35" s="1"/>
  <c r="Q113" i="35" s="1"/>
  <c r="J113" i="35"/>
  <c r="K113" i="35" s="1"/>
  <c r="D113" i="35"/>
  <c r="E113" i="35" s="1"/>
  <c r="F113" i="35" s="1"/>
  <c r="N112" i="35"/>
  <c r="O112" i="35" s="1"/>
  <c r="P112" i="35" s="1"/>
  <c r="J112" i="35"/>
  <c r="K112" i="35" s="1"/>
  <c r="N110" i="35"/>
  <c r="O110" i="35" s="1"/>
  <c r="P110" i="35" s="1"/>
  <c r="Q110" i="35" s="1"/>
  <c r="J110" i="35"/>
  <c r="K110" i="35" s="1"/>
  <c r="D110" i="35"/>
  <c r="E110" i="35" s="1"/>
  <c r="F110" i="35" s="1"/>
  <c r="N109" i="35"/>
  <c r="O109" i="35" s="1"/>
  <c r="P109" i="35" s="1"/>
  <c r="J109" i="35"/>
  <c r="K109" i="35" s="1"/>
  <c r="L109" i="35" s="1"/>
  <c r="D109" i="35"/>
  <c r="E109" i="35" s="1"/>
  <c r="F109" i="35" s="1"/>
  <c r="N108" i="35"/>
  <c r="O108" i="35" s="1"/>
  <c r="P108" i="35" s="1"/>
  <c r="Q108" i="35" s="1"/>
  <c r="J108" i="35"/>
  <c r="K108" i="35" s="1"/>
  <c r="D108" i="35"/>
  <c r="E108" i="35" s="1"/>
  <c r="F108" i="35" s="1"/>
  <c r="N107" i="35"/>
  <c r="O107" i="35" s="1"/>
  <c r="P107" i="35" s="1"/>
  <c r="J107" i="35"/>
  <c r="K107" i="35" s="1"/>
  <c r="N105" i="35"/>
  <c r="O105" i="35" s="1"/>
  <c r="P105" i="35" s="1"/>
  <c r="J105" i="35"/>
  <c r="K105" i="35" s="1"/>
  <c r="L105" i="35" s="1"/>
  <c r="D105" i="35"/>
  <c r="E105" i="35" s="1"/>
  <c r="F105" i="35" s="1"/>
  <c r="N104" i="35"/>
  <c r="O104" i="35" s="1"/>
  <c r="P104" i="35" s="1"/>
  <c r="J104" i="35"/>
  <c r="K104" i="35" s="1"/>
  <c r="D104" i="35"/>
  <c r="E104" i="35" s="1"/>
  <c r="F104" i="35" s="1"/>
  <c r="N103" i="35"/>
  <c r="O103" i="35" s="1"/>
  <c r="P103" i="35" s="1"/>
  <c r="J103" i="35"/>
  <c r="K103" i="35" s="1"/>
  <c r="L103" i="35" s="1"/>
  <c r="D103" i="35"/>
  <c r="E103" i="35" s="1"/>
  <c r="F103" i="35" s="1"/>
  <c r="N102" i="35"/>
  <c r="O102" i="35" s="1"/>
  <c r="P102" i="35" s="1"/>
  <c r="J102" i="35"/>
  <c r="K102" i="35" s="1"/>
  <c r="L102" i="35" s="1"/>
  <c r="N100" i="35"/>
  <c r="O100" i="35" s="1"/>
  <c r="P100" i="35" s="1"/>
  <c r="J100" i="35"/>
  <c r="K100" i="35" s="1"/>
  <c r="D100" i="35"/>
  <c r="E100" i="35" s="1"/>
  <c r="F100" i="35" s="1"/>
  <c r="N99" i="35"/>
  <c r="O99" i="35" s="1"/>
  <c r="P99" i="35" s="1"/>
  <c r="J99" i="35"/>
  <c r="K99" i="35" s="1"/>
  <c r="L99" i="35" s="1"/>
  <c r="D99" i="35"/>
  <c r="E99" i="35" s="1"/>
  <c r="F99" i="35" s="1"/>
  <c r="N98" i="35"/>
  <c r="O98" i="35" s="1"/>
  <c r="P98" i="35" s="1"/>
  <c r="J98" i="35"/>
  <c r="K98" i="35" s="1"/>
  <c r="D98" i="35"/>
  <c r="E98" i="35" s="1"/>
  <c r="F98" i="35" s="1"/>
  <c r="N97" i="35"/>
  <c r="O97" i="35" s="1"/>
  <c r="P97" i="35" s="1"/>
  <c r="J97" i="35"/>
  <c r="K97" i="35" s="1"/>
  <c r="L97" i="35" s="1"/>
  <c r="N95" i="35"/>
  <c r="O95" i="35" s="1"/>
  <c r="P95" i="35" s="1"/>
  <c r="Q95" i="35" s="1"/>
  <c r="J95" i="35"/>
  <c r="K95" i="35" s="1"/>
  <c r="D95" i="35"/>
  <c r="E95" i="35" s="1"/>
  <c r="F95" i="35" s="1"/>
  <c r="N94" i="35"/>
  <c r="O94" i="35" s="1"/>
  <c r="P94" i="35" s="1"/>
  <c r="J94" i="35"/>
  <c r="K94" i="35" s="1"/>
  <c r="D94" i="35"/>
  <c r="E94" i="35" s="1"/>
  <c r="F94" i="35" s="1"/>
  <c r="N93" i="35"/>
  <c r="O93" i="35" s="1"/>
  <c r="P93" i="35" s="1"/>
  <c r="J93" i="35"/>
  <c r="K93" i="35" s="1"/>
  <c r="D93" i="35"/>
  <c r="E93" i="35" s="1"/>
  <c r="F93" i="35" s="1"/>
  <c r="N92" i="35"/>
  <c r="O92" i="35" s="1"/>
  <c r="P92" i="35" s="1"/>
  <c r="Q92" i="35" s="1"/>
  <c r="J92" i="35"/>
  <c r="K92" i="35" s="1"/>
  <c r="N90" i="35"/>
  <c r="O90" i="35" s="1"/>
  <c r="P90" i="35" s="1"/>
  <c r="J90" i="35"/>
  <c r="K90" i="35" s="1"/>
  <c r="L90" i="35" s="1"/>
  <c r="D90" i="35"/>
  <c r="E90" i="35" s="1"/>
  <c r="F90" i="35" s="1"/>
  <c r="N89" i="35"/>
  <c r="O89" i="35" s="1"/>
  <c r="P89" i="35" s="1"/>
  <c r="J89" i="35"/>
  <c r="K89" i="35" s="1"/>
  <c r="D89" i="35"/>
  <c r="E89" i="35" s="1"/>
  <c r="F89" i="35" s="1"/>
  <c r="N88" i="35"/>
  <c r="O88" i="35" s="1"/>
  <c r="P88" i="35" s="1"/>
  <c r="J88" i="35"/>
  <c r="K88" i="35" s="1"/>
  <c r="L88" i="35" s="1"/>
  <c r="D88" i="35"/>
  <c r="E88" i="35" s="1"/>
  <c r="F88" i="35" s="1"/>
  <c r="N87" i="35"/>
  <c r="O87" i="35" s="1"/>
  <c r="P87" i="35" s="1"/>
  <c r="J87" i="35"/>
  <c r="K87" i="35" s="1"/>
  <c r="N85" i="35"/>
  <c r="O85" i="35" s="1"/>
  <c r="P85" i="35" s="1"/>
  <c r="J85" i="35"/>
  <c r="K85" i="35" s="1"/>
  <c r="D85" i="35"/>
  <c r="E85" i="35" s="1"/>
  <c r="F85" i="35" s="1"/>
  <c r="N84" i="35"/>
  <c r="O84" i="35" s="1"/>
  <c r="P84" i="35" s="1"/>
  <c r="J84" i="35"/>
  <c r="K84" i="35" s="1"/>
  <c r="D84" i="35"/>
  <c r="E84" i="35" s="1"/>
  <c r="F84" i="35" s="1"/>
  <c r="N83" i="35"/>
  <c r="O83" i="35" s="1"/>
  <c r="P83" i="35" s="1"/>
  <c r="J83" i="35"/>
  <c r="K83" i="35" s="1"/>
  <c r="D83" i="35"/>
  <c r="E83" i="35" s="1"/>
  <c r="F83" i="35" s="1"/>
  <c r="N82" i="35"/>
  <c r="O82" i="35" s="1"/>
  <c r="P82" i="35" s="1"/>
  <c r="J82" i="35"/>
  <c r="K82" i="35" s="1"/>
  <c r="N80" i="35"/>
  <c r="O80" i="35" s="1"/>
  <c r="P80" i="35" s="1"/>
  <c r="J80" i="35"/>
  <c r="K80" i="35" s="1"/>
  <c r="L80" i="35" s="1"/>
  <c r="D80" i="35"/>
  <c r="E80" i="35" s="1"/>
  <c r="F80" i="35" s="1"/>
  <c r="N79" i="35"/>
  <c r="O79" i="35" s="1"/>
  <c r="P79" i="35" s="1"/>
  <c r="J79" i="35"/>
  <c r="K79" i="35" s="1"/>
  <c r="D79" i="35"/>
  <c r="E79" i="35" s="1"/>
  <c r="F79" i="35" s="1"/>
  <c r="N78" i="35"/>
  <c r="O78" i="35" s="1"/>
  <c r="P78" i="35" s="1"/>
  <c r="J78" i="35"/>
  <c r="K78" i="35" s="1"/>
  <c r="L78" i="35" s="1"/>
  <c r="D78" i="35"/>
  <c r="E78" i="35" s="1"/>
  <c r="F78" i="35" s="1"/>
  <c r="N77" i="35"/>
  <c r="O77" i="35" s="1"/>
  <c r="P77" i="35" s="1"/>
  <c r="J77" i="35"/>
  <c r="K77" i="35" s="1"/>
  <c r="N75" i="35"/>
  <c r="O75" i="35" s="1"/>
  <c r="P75" i="35" s="1"/>
  <c r="Q75" i="35" s="1"/>
  <c r="J75" i="35"/>
  <c r="K75" i="35" s="1"/>
  <c r="L75" i="35" s="1"/>
  <c r="D75" i="35"/>
  <c r="E75" i="35" s="1"/>
  <c r="F75" i="35" s="1"/>
  <c r="N74" i="35"/>
  <c r="O74" i="35" s="1"/>
  <c r="P74" i="35" s="1"/>
  <c r="J74" i="35"/>
  <c r="K74" i="35" s="1"/>
  <c r="L74" i="35" s="1"/>
  <c r="D74" i="35"/>
  <c r="E74" i="35" s="1"/>
  <c r="F74" i="35" s="1"/>
  <c r="N73" i="35"/>
  <c r="O73" i="35" s="1"/>
  <c r="P73" i="35" s="1"/>
  <c r="Q73" i="35" s="1"/>
  <c r="J73" i="35"/>
  <c r="K73" i="35" s="1"/>
  <c r="L73" i="35" s="1"/>
  <c r="D73" i="35"/>
  <c r="E73" i="35" s="1"/>
  <c r="F73" i="35" s="1"/>
  <c r="N72" i="35"/>
  <c r="O72" i="35" s="1"/>
  <c r="P72" i="35" s="1"/>
  <c r="J72" i="35"/>
  <c r="K72" i="35" s="1"/>
  <c r="N70" i="35"/>
  <c r="O70" i="35" s="1"/>
  <c r="P70" i="35" s="1"/>
  <c r="Q70" i="35" s="1"/>
  <c r="J70" i="35"/>
  <c r="K70" i="35" s="1"/>
  <c r="L70" i="35" s="1"/>
  <c r="D70" i="35"/>
  <c r="E70" i="35" s="1"/>
  <c r="F70" i="35" s="1"/>
  <c r="N69" i="35"/>
  <c r="O69" i="35" s="1"/>
  <c r="P69" i="35" s="1"/>
  <c r="Q69" i="35" s="1"/>
  <c r="J69" i="35"/>
  <c r="K69" i="35" s="1"/>
  <c r="L69" i="35" s="1"/>
  <c r="D69" i="35"/>
  <c r="E69" i="35" s="1"/>
  <c r="F69" i="35" s="1"/>
  <c r="N68" i="35"/>
  <c r="O68" i="35" s="1"/>
  <c r="P68" i="35" s="1"/>
  <c r="J68" i="35"/>
  <c r="K68" i="35" s="1"/>
  <c r="D68" i="35"/>
  <c r="E68" i="35" s="1"/>
  <c r="F68" i="35" s="1"/>
  <c r="N67" i="35"/>
  <c r="O67" i="35" s="1"/>
  <c r="P67" i="35" s="1"/>
  <c r="J67" i="35"/>
  <c r="K67" i="35" s="1"/>
  <c r="L67" i="35" s="1"/>
  <c r="N65" i="35"/>
  <c r="O65" i="35" s="1"/>
  <c r="P65" i="35" s="1"/>
  <c r="J65" i="35"/>
  <c r="K65" i="35" s="1"/>
  <c r="D65" i="35"/>
  <c r="E65" i="35" s="1"/>
  <c r="F65" i="35" s="1"/>
  <c r="N64" i="35"/>
  <c r="O64" i="35" s="1"/>
  <c r="P64" i="35" s="1"/>
  <c r="Q64" i="35" s="1"/>
  <c r="J64" i="35"/>
  <c r="K64" i="35" s="1"/>
  <c r="L64" i="35" s="1"/>
  <c r="D64" i="35"/>
  <c r="E64" i="35" s="1"/>
  <c r="F64" i="35" s="1"/>
  <c r="N63" i="35"/>
  <c r="O63" i="35" s="1"/>
  <c r="P63" i="35" s="1"/>
  <c r="J63" i="35"/>
  <c r="K63" i="35" s="1"/>
  <c r="D63" i="35"/>
  <c r="E63" i="35" s="1"/>
  <c r="F63" i="35" s="1"/>
  <c r="N62" i="35"/>
  <c r="O62" i="35" s="1"/>
  <c r="P62" i="35" s="1"/>
  <c r="Q62" i="35" s="1"/>
  <c r="J62" i="35"/>
  <c r="K62" i="35" s="1"/>
  <c r="L62" i="35" s="1"/>
  <c r="N60" i="35"/>
  <c r="O60" i="35" s="1"/>
  <c r="P60" i="35" s="1"/>
  <c r="Q60" i="35" s="1"/>
  <c r="J60" i="35"/>
  <c r="K60" i="35" s="1"/>
  <c r="D60" i="35"/>
  <c r="E60" i="35" s="1"/>
  <c r="F60" i="35" s="1"/>
  <c r="N59" i="35"/>
  <c r="O59" i="35" s="1"/>
  <c r="P59" i="35" s="1"/>
  <c r="J59" i="35"/>
  <c r="K59" i="35" s="1"/>
  <c r="D59" i="35"/>
  <c r="E59" i="35" s="1"/>
  <c r="F59" i="35" s="1"/>
  <c r="N58" i="35"/>
  <c r="O58" i="35" s="1"/>
  <c r="P58" i="35" s="1"/>
  <c r="Q58" i="35" s="1"/>
  <c r="J58" i="35"/>
  <c r="K58" i="35" s="1"/>
  <c r="L58" i="35" s="1"/>
  <c r="D58" i="35"/>
  <c r="E58" i="35" s="1"/>
  <c r="F58" i="35" s="1"/>
  <c r="N57" i="35"/>
  <c r="O57" i="35" s="1"/>
  <c r="P57" i="35" s="1"/>
  <c r="Q57" i="35" s="1"/>
  <c r="J57" i="35"/>
  <c r="K57" i="35" s="1"/>
  <c r="N55" i="35"/>
  <c r="O55" i="35" s="1"/>
  <c r="P55" i="35" s="1"/>
  <c r="Q55" i="35" s="1"/>
  <c r="J55" i="35"/>
  <c r="K55" i="35" s="1"/>
  <c r="L55" i="35" s="1"/>
  <c r="D55" i="35"/>
  <c r="N54" i="35"/>
  <c r="O54" i="35" s="1"/>
  <c r="P54" i="35" s="1"/>
  <c r="Q54" i="35" s="1"/>
  <c r="J54" i="35"/>
  <c r="K54" i="35" s="1"/>
  <c r="L54" i="35" s="1"/>
  <c r="D54" i="35"/>
  <c r="N53" i="35"/>
  <c r="O53" i="35" s="1"/>
  <c r="P53" i="35" s="1"/>
  <c r="J53" i="35"/>
  <c r="K53" i="35" s="1"/>
  <c r="D53" i="35"/>
  <c r="N52" i="35"/>
  <c r="O52" i="35" s="1"/>
  <c r="P52" i="35" s="1"/>
  <c r="Q52" i="35" s="1"/>
  <c r="J52" i="35"/>
  <c r="K52" i="35" s="1"/>
  <c r="N50" i="35"/>
  <c r="O50" i="35" s="1"/>
  <c r="P50" i="35" s="1"/>
  <c r="J50" i="35"/>
  <c r="K50" i="35" s="1"/>
  <c r="D50" i="35"/>
  <c r="E50" i="35" s="1"/>
  <c r="F50" i="35" s="1"/>
  <c r="N49" i="35"/>
  <c r="O49" i="35" s="1"/>
  <c r="P49" i="35" s="1"/>
  <c r="J49" i="35"/>
  <c r="K49" i="35" s="1"/>
  <c r="D49" i="35"/>
  <c r="E49" i="35" s="1"/>
  <c r="F49" i="35" s="1"/>
  <c r="N48" i="35"/>
  <c r="O48" i="35" s="1"/>
  <c r="P48" i="35" s="1"/>
  <c r="J48" i="35"/>
  <c r="K48" i="35" s="1"/>
  <c r="L48" i="35" s="1"/>
  <c r="D48" i="35"/>
  <c r="E48" i="35" s="1"/>
  <c r="F48" i="35" s="1"/>
  <c r="N47" i="35"/>
  <c r="O47" i="35" s="1"/>
  <c r="P47" i="35" s="1"/>
  <c r="Q47" i="35" s="1"/>
  <c r="J47" i="35"/>
  <c r="K47" i="35" s="1"/>
  <c r="L47" i="35" s="1"/>
  <c r="N45" i="35"/>
  <c r="O45" i="35" s="1"/>
  <c r="P45" i="35" s="1"/>
  <c r="Q45" i="35" s="1"/>
  <c r="J45" i="35"/>
  <c r="K45" i="35" s="1"/>
  <c r="D45" i="35"/>
  <c r="E45" i="35" s="1"/>
  <c r="F45" i="35" s="1"/>
  <c r="N44" i="35"/>
  <c r="O44" i="35" s="1"/>
  <c r="P44" i="35" s="1"/>
  <c r="J44" i="35"/>
  <c r="K44" i="35" s="1"/>
  <c r="D44" i="35"/>
  <c r="E44" i="35" s="1"/>
  <c r="F44" i="35" s="1"/>
  <c r="N43" i="35"/>
  <c r="O43" i="35" s="1"/>
  <c r="P43" i="35" s="1"/>
  <c r="J43" i="35"/>
  <c r="K43" i="35" s="1"/>
  <c r="L43" i="35" s="1"/>
  <c r="D43" i="35"/>
  <c r="E43" i="35" s="1"/>
  <c r="F43" i="35" s="1"/>
  <c r="N42" i="35"/>
  <c r="O42" i="35" s="1"/>
  <c r="P42" i="35" s="1"/>
  <c r="Q42" i="35" s="1"/>
  <c r="J42" i="35"/>
  <c r="K42" i="35" s="1"/>
  <c r="N40" i="35"/>
  <c r="O40" i="35" s="1"/>
  <c r="P40" i="35" s="1"/>
  <c r="J40" i="35"/>
  <c r="K40" i="35" s="1"/>
  <c r="D40" i="35"/>
  <c r="E40" i="35" s="1"/>
  <c r="F40" i="35" s="1"/>
  <c r="N39" i="35"/>
  <c r="O39" i="35" s="1"/>
  <c r="P39" i="35" s="1"/>
  <c r="J39" i="35"/>
  <c r="K39" i="35" s="1"/>
  <c r="L39" i="35" s="1"/>
  <c r="D39" i="35"/>
  <c r="E39" i="35" s="1"/>
  <c r="F39" i="35" s="1"/>
  <c r="N38" i="35"/>
  <c r="O38" i="35" s="1"/>
  <c r="P38" i="35" s="1"/>
  <c r="J38" i="35"/>
  <c r="K38" i="35" s="1"/>
  <c r="D38" i="35"/>
  <c r="E38" i="35" s="1"/>
  <c r="F38" i="35" s="1"/>
  <c r="N37" i="35"/>
  <c r="O37" i="35" s="1"/>
  <c r="P37" i="35" s="1"/>
  <c r="J37" i="35"/>
  <c r="K37" i="35" s="1"/>
  <c r="N35" i="35"/>
  <c r="O35" i="35" s="1"/>
  <c r="Q35" i="35" s="1"/>
  <c r="J35" i="35"/>
  <c r="K35" i="35" s="1"/>
  <c r="D35" i="35"/>
  <c r="E35" i="35" s="1"/>
  <c r="F35" i="35" s="1"/>
  <c r="N34" i="35"/>
  <c r="O34" i="35" s="1"/>
  <c r="J34" i="35"/>
  <c r="K34" i="35" s="1"/>
  <c r="L34" i="35" s="1"/>
  <c r="D34" i="35"/>
  <c r="N33" i="35"/>
  <c r="O33" i="35" s="1"/>
  <c r="Q33" i="35" s="1"/>
  <c r="J33" i="35"/>
  <c r="K33" i="35" s="1"/>
  <c r="D33" i="35"/>
  <c r="N32" i="35"/>
  <c r="O32" i="35" s="1"/>
  <c r="J32" i="35"/>
  <c r="K32" i="35" s="1"/>
  <c r="N30" i="35"/>
  <c r="O30" i="35" s="1"/>
  <c r="J30" i="35"/>
  <c r="K30" i="35" s="1"/>
  <c r="D30" i="35"/>
  <c r="N29" i="35"/>
  <c r="O29" i="35" s="1"/>
  <c r="J29" i="35"/>
  <c r="K29" i="35" s="1"/>
  <c r="D29" i="35"/>
  <c r="N28" i="35"/>
  <c r="O28" i="35" s="1"/>
  <c r="J28" i="35"/>
  <c r="K28" i="35" s="1"/>
  <c r="D28" i="35"/>
  <c r="N27" i="35"/>
  <c r="O27" i="35" s="1"/>
  <c r="P27" i="35" s="1"/>
  <c r="J27" i="35"/>
  <c r="K27" i="35" s="1"/>
  <c r="N25" i="35"/>
  <c r="J25" i="35"/>
  <c r="K25" i="35" s="1"/>
  <c r="L25" i="35" s="1"/>
  <c r="D25" i="35"/>
  <c r="N24" i="35"/>
  <c r="O24" i="35" s="1"/>
  <c r="P24" i="35" s="1"/>
  <c r="J24" i="35"/>
  <c r="K24" i="35" s="1"/>
  <c r="D24" i="35"/>
  <c r="N23" i="35"/>
  <c r="O23" i="35" s="1"/>
  <c r="P23" i="35" s="1"/>
  <c r="J23" i="35"/>
  <c r="K23" i="35" s="1"/>
  <c r="D23" i="35"/>
  <c r="N22" i="35"/>
  <c r="O22" i="35" s="1"/>
  <c r="P22" i="35" s="1"/>
  <c r="J22" i="35"/>
  <c r="K22" i="35" s="1"/>
  <c r="N20" i="35"/>
  <c r="O20" i="35" s="1"/>
  <c r="P20" i="35" s="1"/>
  <c r="J20" i="35"/>
  <c r="K20" i="35" s="1"/>
  <c r="D20" i="35"/>
  <c r="E20" i="35" s="1"/>
  <c r="F20" i="35" s="1"/>
  <c r="N19" i="35"/>
  <c r="O19" i="35" s="1"/>
  <c r="P19" i="35" s="1"/>
  <c r="J19" i="35"/>
  <c r="K19" i="35" s="1"/>
  <c r="L19" i="35" s="1"/>
  <c r="D19" i="35"/>
  <c r="E19" i="35" s="1"/>
  <c r="F19" i="35" s="1"/>
  <c r="N18" i="35"/>
  <c r="O18" i="35" s="1"/>
  <c r="P18" i="35" s="1"/>
  <c r="Q18" i="35" s="1"/>
  <c r="J18" i="35"/>
  <c r="K18" i="35" s="1"/>
  <c r="D18" i="35"/>
  <c r="E18" i="35" s="1"/>
  <c r="F18" i="35" s="1"/>
  <c r="N17" i="35"/>
  <c r="O17" i="35" s="1"/>
  <c r="P17" i="35" s="1"/>
  <c r="J17" i="35"/>
  <c r="K17" i="35" s="1"/>
  <c r="N15" i="35"/>
  <c r="O15" i="35" s="1"/>
  <c r="P15" i="35" s="1"/>
  <c r="J15" i="35"/>
  <c r="K15" i="35" s="1"/>
  <c r="L15" i="35" s="1"/>
  <c r="D15" i="35"/>
  <c r="E15" i="35" s="1"/>
  <c r="F15" i="35" s="1"/>
  <c r="N14" i="35"/>
  <c r="O14" i="35" s="1"/>
  <c r="P14" i="35" s="1"/>
  <c r="J14" i="35"/>
  <c r="K14" i="35" s="1"/>
  <c r="D14" i="35"/>
  <c r="E14" i="35" s="1"/>
  <c r="F14" i="35" s="1"/>
  <c r="N13" i="35"/>
  <c r="O13" i="35" s="1"/>
  <c r="P13" i="35" s="1"/>
  <c r="J13" i="35"/>
  <c r="K13" i="35" s="1"/>
  <c r="L13" i="35" s="1"/>
  <c r="D13" i="35"/>
  <c r="E13" i="35" s="1"/>
  <c r="F13" i="35" s="1"/>
  <c r="N12" i="35"/>
  <c r="O12" i="35" s="1"/>
  <c r="P12" i="35" s="1"/>
  <c r="J12" i="35"/>
  <c r="K12" i="35" s="1"/>
  <c r="N10" i="35"/>
  <c r="O10" i="35" s="1"/>
  <c r="P10" i="35" s="1"/>
  <c r="J10" i="35"/>
  <c r="K10" i="35" s="1"/>
  <c r="D10" i="35"/>
  <c r="E10" i="35" s="1"/>
  <c r="F10" i="35" s="1"/>
  <c r="N9" i="35"/>
  <c r="O9" i="35" s="1"/>
  <c r="P9" i="35" s="1"/>
  <c r="J9" i="35"/>
  <c r="K9" i="35" s="1"/>
  <c r="D9" i="35"/>
  <c r="E9" i="35" s="1"/>
  <c r="F9" i="35" s="1"/>
  <c r="N8" i="35"/>
  <c r="O8" i="35" s="1"/>
  <c r="P8" i="35" s="1"/>
  <c r="J8" i="35"/>
  <c r="K8" i="35" s="1"/>
  <c r="L8" i="35" s="1"/>
  <c r="D8" i="35"/>
  <c r="E8" i="35" s="1"/>
  <c r="F8" i="35" s="1"/>
  <c r="N7" i="35"/>
  <c r="O7" i="35" s="1"/>
  <c r="P7" i="35" s="1"/>
  <c r="J7" i="35"/>
  <c r="K7" i="35" s="1"/>
  <c r="M7" i="35" s="1"/>
  <c r="E55" i="35" l="1"/>
  <c r="F55" i="35" s="1"/>
  <c r="M55" i="35" s="1"/>
  <c r="E30" i="35"/>
  <c r="F30" i="35" s="1"/>
  <c r="R30" i="35" s="1"/>
  <c r="E34" i="35"/>
  <c r="F34" i="35" s="1"/>
  <c r="R34" i="35" s="1"/>
  <c r="E29" i="35"/>
  <c r="F29" i="35" s="1"/>
  <c r="R29" i="35" s="1"/>
  <c r="E53" i="35"/>
  <c r="F53" i="35" s="1"/>
  <c r="M53" i="35" s="1"/>
  <c r="E23" i="35"/>
  <c r="F23" i="35" s="1"/>
  <c r="R23" i="35" s="1"/>
  <c r="E28" i="35"/>
  <c r="F28" i="35" s="1"/>
  <c r="R28" i="35" s="1"/>
  <c r="E33" i="35"/>
  <c r="F33" i="35" s="1"/>
  <c r="R33" i="35" s="1"/>
  <c r="E24" i="35"/>
  <c r="F24" i="35" s="1"/>
  <c r="R24" i="35" s="1"/>
  <c r="E25" i="35"/>
  <c r="F25" i="35" s="1"/>
  <c r="M25" i="35" s="1"/>
  <c r="E54" i="35"/>
  <c r="F54" i="35" s="1"/>
  <c r="M54" i="35" s="1"/>
  <c r="M35" i="35"/>
  <c r="R35" i="35"/>
  <c r="M113" i="35"/>
  <c r="R15" i="35"/>
  <c r="R45" i="35"/>
  <c r="R90" i="35"/>
  <c r="R68" i="35"/>
  <c r="M39" i="35"/>
  <c r="R125" i="35"/>
  <c r="R63" i="35"/>
  <c r="R104" i="35"/>
  <c r="M99" i="35"/>
  <c r="R98" i="35"/>
  <c r="M140" i="35"/>
  <c r="R20" i="35"/>
  <c r="R50" i="35"/>
  <c r="M47" i="35"/>
  <c r="M22" i="35"/>
  <c r="L63" i="35"/>
  <c r="M102" i="35"/>
  <c r="L114" i="35"/>
  <c r="M62" i="35"/>
  <c r="M37" i="35"/>
  <c r="L94" i="35"/>
  <c r="M94" i="35"/>
  <c r="L127" i="35"/>
  <c r="Q102" i="35"/>
  <c r="R102" i="35"/>
  <c r="M112" i="35"/>
  <c r="L112" i="35"/>
  <c r="Q104" i="35"/>
  <c r="M12" i="35"/>
  <c r="L12" i="35"/>
  <c r="L24" i="35"/>
  <c r="Q83" i="35"/>
  <c r="Q98" i="35"/>
  <c r="R113" i="35"/>
  <c r="R132" i="35"/>
  <c r="R67" i="35"/>
  <c r="R92" i="35"/>
  <c r="R117" i="35"/>
  <c r="R52" i="35"/>
  <c r="Q27" i="35"/>
  <c r="M97" i="35"/>
  <c r="M137" i="35"/>
  <c r="M67" i="35"/>
  <c r="R107" i="35"/>
  <c r="O25" i="35"/>
  <c r="P25" i="35" s="1"/>
  <c r="Q19" i="35"/>
  <c r="R37" i="35"/>
  <c r="Q37" i="35"/>
  <c r="Q43" i="35"/>
  <c r="Q48" i="35"/>
  <c r="Q63" i="35"/>
  <c r="R17" i="35"/>
  <c r="Q17" i="35"/>
  <c r="Q40" i="35"/>
  <c r="Q49" i="35"/>
  <c r="Q13" i="35"/>
  <c r="L33" i="35"/>
  <c r="Q15" i="35"/>
  <c r="Q30" i="35"/>
  <c r="L44" i="35"/>
  <c r="L50" i="35"/>
  <c r="Q78" i="35"/>
  <c r="L7" i="35"/>
  <c r="L10" i="35"/>
  <c r="Q12" i="35"/>
  <c r="R12" i="35"/>
  <c r="L14" i="35"/>
  <c r="L23" i="35"/>
  <c r="Q24" i="35"/>
  <c r="M27" i="35"/>
  <c r="L27" i="35"/>
  <c r="Q44" i="35"/>
  <c r="Q50" i="35"/>
  <c r="Q53" i="35"/>
  <c r="Q65" i="35"/>
  <c r="R72" i="35"/>
  <c r="Q72" i="35"/>
  <c r="L42" i="35"/>
  <c r="M42" i="35"/>
  <c r="L59" i="35"/>
  <c r="R22" i="35"/>
  <c r="Q22" i="35"/>
  <c r="L35" i="35"/>
  <c r="L18" i="35"/>
  <c r="Q28" i="35"/>
  <c r="L53" i="35"/>
  <c r="Q8" i="35"/>
  <c r="R7" i="35"/>
  <c r="Q7" i="35"/>
  <c r="R77" i="35"/>
  <c r="Q77" i="35"/>
  <c r="Q10" i="35"/>
  <c r="M17" i="35"/>
  <c r="L17" i="35"/>
  <c r="Q20" i="35"/>
  <c r="Q23" i="35"/>
  <c r="M32" i="35"/>
  <c r="L32" i="35"/>
  <c r="Q34" i="35"/>
  <c r="Q38" i="35"/>
  <c r="L45" i="35"/>
  <c r="M52" i="35"/>
  <c r="L52" i="35"/>
  <c r="L82" i="35"/>
  <c r="M82" i="35"/>
  <c r="Q29" i="35"/>
  <c r="Q32" i="35"/>
  <c r="L38" i="35"/>
  <c r="R57" i="35"/>
  <c r="Q59" i="35"/>
  <c r="L65" i="35"/>
  <c r="Q68" i="35"/>
  <c r="Q79" i="35"/>
  <c r="L83" i="35"/>
  <c r="Q14" i="35"/>
  <c r="L20" i="35"/>
  <c r="L29" i="35"/>
  <c r="M77" i="35"/>
  <c r="L77" i="35"/>
  <c r="Q84" i="35"/>
  <c r="Q87" i="35"/>
  <c r="R87" i="35"/>
  <c r="L104" i="35"/>
  <c r="Q67" i="35"/>
  <c r="Q9" i="35"/>
  <c r="L49" i="35"/>
  <c r="Q90" i="35"/>
  <c r="L98" i="35"/>
  <c r="M98" i="35"/>
  <c r="L22" i="35"/>
  <c r="L30" i="35"/>
  <c r="L9" i="35"/>
  <c r="R42" i="35"/>
  <c r="R47" i="35"/>
  <c r="M57" i="35"/>
  <c r="M72" i="35"/>
  <c r="L72" i="35"/>
  <c r="Q74" i="35"/>
  <c r="R82" i="35"/>
  <c r="Q82" i="35"/>
  <c r="L93" i="35"/>
  <c r="R94" i="35"/>
  <c r="Q94" i="35"/>
  <c r="Q85" i="35"/>
  <c r="Q89" i="35"/>
  <c r="L110" i="35"/>
  <c r="L40" i="35"/>
  <c r="L57" i="35"/>
  <c r="L28" i="35"/>
  <c r="L37" i="35"/>
  <c r="Q39" i="35"/>
  <c r="R62" i="35"/>
  <c r="M68" i="35"/>
  <c r="L68" i="35"/>
  <c r="L79" i="35"/>
  <c r="M88" i="35"/>
  <c r="L92" i="35"/>
  <c r="M92" i="35"/>
  <c r="Q93" i="35"/>
  <c r="Q103" i="35"/>
  <c r="L60" i="35"/>
  <c r="Q80" i="35"/>
  <c r="L87" i="35"/>
  <c r="M87" i="35"/>
  <c r="R88" i="35"/>
  <c r="Q88" i="35"/>
  <c r="Q97" i="35"/>
  <c r="R97" i="35"/>
  <c r="L113" i="35"/>
  <c r="Q115" i="35"/>
  <c r="L123" i="35"/>
  <c r="Q128" i="35"/>
  <c r="L134" i="35"/>
  <c r="Q119" i="35"/>
  <c r="Q134" i="35"/>
  <c r="L95" i="35"/>
  <c r="L108" i="35"/>
  <c r="L118" i="35"/>
  <c r="M122" i="35"/>
  <c r="Q123" i="35"/>
  <c r="L125" i="35"/>
  <c r="M125" i="35"/>
  <c r="R127" i="35"/>
  <c r="Q127" i="35"/>
  <c r="L89" i="35"/>
  <c r="L100" i="35"/>
  <c r="L107" i="35"/>
  <c r="M107" i="35"/>
  <c r="Q118" i="35"/>
  <c r="L130" i="35"/>
  <c r="R137" i="35"/>
  <c r="Q137" i="35"/>
  <c r="Q139" i="35"/>
  <c r="M117" i="35"/>
  <c r="L117" i="35"/>
  <c r="R122" i="35"/>
  <c r="Q122" i="35"/>
  <c r="L129" i="35"/>
  <c r="Q130" i="35"/>
  <c r="Q99" i="35"/>
  <c r="Q109" i="35"/>
  <c r="Q112" i="35"/>
  <c r="R112" i="35"/>
  <c r="Q133" i="35"/>
  <c r="Q100" i="35"/>
  <c r="Q107" i="35"/>
  <c r="Q117" i="35"/>
  <c r="L119" i="35"/>
  <c r="L124" i="35"/>
  <c r="L128" i="35"/>
  <c r="M132" i="35"/>
  <c r="L132" i="35"/>
  <c r="Q135" i="35"/>
  <c r="L138" i="35"/>
  <c r="L140" i="35"/>
  <c r="L84" i="35"/>
  <c r="L85" i="35"/>
  <c r="Q105" i="35"/>
  <c r="Q124" i="35"/>
  <c r="Q138" i="35"/>
  <c r="R140" i="35"/>
  <c r="Q140" i="35"/>
  <c r="L122" i="35"/>
  <c r="L135" i="35"/>
  <c r="T35" i="35" l="1"/>
  <c r="R25" i="35"/>
  <c r="T97" i="35"/>
  <c r="R99" i="35"/>
  <c r="T99" i="35" s="1"/>
  <c r="T67" i="35"/>
  <c r="M45" i="35"/>
  <c r="T45" i="35" s="1"/>
  <c r="T47" i="35"/>
  <c r="T102" i="35"/>
  <c r="M63" i="35"/>
  <c r="T63" i="35" s="1"/>
  <c r="R95" i="35"/>
  <c r="M95" i="35"/>
  <c r="R108" i="35"/>
  <c r="M108" i="35"/>
  <c r="R55" i="35"/>
  <c r="R78" i="35"/>
  <c r="M78" i="35"/>
  <c r="R49" i="35"/>
  <c r="M49" i="35"/>
  <c r="M114" i="35"/>
  <c r="R114" i="35"/>
  <c r="M139" i="35"/>
  <c r="R139" i="35"/>
  <c r="R119" i="35"/>
  <c r="M119" i="35"/>
  <c r="R58" i="35"/>
  <c r="M58" i="35"/>
  <c r="M38" i="35"/>
  <c r="R38" i="35"/>
  <c r="M29" i="35"/>
  <c r="R54" i="35"/>
  <c r="T54" i="35" s="1"/>
  <c r="R134" i="35"/>
  <c r="M134" i="35"/>
  <c r="R10" i="35"/>
  <c r="M10" i="35"/>
  <c r="M69" i="35"/>
  <c r="R69" i="35"/>
  <c r="M19" i="35"/>
  <c r="R19" i="35"/>
  <c r="R138" i="35"/>
  <c r="M138" i="35"/>
  <c r="M109" i="35"/>
  <c r="R109" i="35"/>
  <c r="M23" i="35"/>
  <c r="M103" i="35"/>
  <c r="R103" i="35"/>
  <c r="R115" i="35"/>
  <c r="M115" i="35"/>
  <c r="M28" i="35"/>
  <c r="R118" i="35"/>
  <c r="M118" i="35"/>
  <c r="M24" i="35"/>
  <c r="R130" i="35"/>
  <c r="M130" i="35"/>
  <c r="R79" i="35"/>
  <c r="M79" i="35"/>
  <c r="R13" i="35"/>
  <c r="M13" i="35"/>
  <c r="R75" i="35"/>
  <c r="M75" i="35"/>
  <c r="M84" i="35"/>
  <c r="R84" i="35"/>
  <c r="M74" i="35"/>
  <c r="R74" i="35"/>
  <c r="R53" i="35"/>
  <c r="R64" i="35"/>
  <c r="M64" i="35"/>
  <c r="M30" i="35"/>
  <c r="R43" i="35"/>
  <c r="M43" i="35"/>
  <c r="M123" i="35"/>
  <c r="R123" i="35"/>
  <c r="R40" i="35"/>
  <c r="M40" i="35"/>
  <c r="M33" i="35"/>
  <c r="T33" i="35" s="1"/>
  <c r="R44" i="35"/>
  <c r="M44" i="35"/>
  <c r="R128" i="35"/>
  <c r="M128" i="35"/>
  <c r="M34" i="35"/>
  <c r="T34" i="35" s="1"/>
  <c r="R85" i="35"/>
  <c r="M85" i="35"/>
  <c r="M9" i="35"/>
  <c r="R9" i="35"/>
  <c r="R105" i="35"/>
  <c r="M105" i="35"/>
  <c r="R18" i="35"/>
  <c r="M18" i="35"/>
  <c r="M83" i="35"/>
  <c r="R83" i="35"/>
  <c r="M124" i="35"/>
  <c r="R124" i="35"/>
  <c r="R73" i="35"/>
  <c r="M73" i="35"/>
  <c r="R133" i="35"/>
  <c r="M133" i="35"/>
  <c r="R65" i="35"/>
  <c r="M65" i="35"/>
  <c r="R8" i="35"/>
  <c r="M8" i="35"/>
  <c r="R70" i="35"/>
  <c r="M70" i="35"/>
  <c r="M93" i="35"/>
  <c r="R93" i="35"/>
  <c r="M110" i="35"/>
  <c r="R110" i="35"/>
  <c r="M135" i="35"/>
  <c r="R135" i="35"/>
  <c r="R89" i="35"/>
  <c r="M89" i="35"/>
  <c r="M14" i="35"/>
  <c r="R14" i="35"/>
  <c r="M60" i="35"/>
  <c r="R60" i="35"/>
  <c r="M59" i="35"/>
  <c r="R59" i="35"/>
  <c r="M120" i="35"/>
  <c r="R120" i="35"/>
  <c r="R100" i="35"/>
  <c r="M100" i="35"/>
  <c r="M48" i="35"/>
  <c r="R48" i="35"/>
  <c r="R129" i="35"/>
  <c r="M129" i="35"/>
  <c r="M80" i="35"/>
  <c r="R80" i="35"/>
  <c r="M90" i="35"/>
  <c r="T90" i="35" s="1"/>
  <c r="M20" i="35"/>
  <c r="T20" i="35" s="1"/>
  <c r="C22" i="26" s="1"/>
  <c r="M104" i="35"/>
  <c r="T104" i="35" s="1"/>
  <c r="R39" i="35"/>
  <c r="T39" i="35" s="1"/>
  <c r="M50" i="35"/>
  <c r="T50" i="35" s="1"/>
  <c r="M15" i="35"/>
  <c r="T15" i="35" s="1"/>
  <c r="T62" i="35"/>
  <c r="T137" i="35"/>
  <c r="T94" i="35"/>
  <c r="T37" i="35"/>
  <c r="T127" i="35"/>
  <c r="Q25" i="35"/>
  <c r="T88" i="35"/>
  <c r="T87" i="35"/>
  <c r="T7" i="35"/>
  <c r="T125" i="35"/>
  <c r="T112" i="35"/>
  <c r="T113" i="35"/>
  <c r="T22" i="35"/>
  <c r="T122" i="35"/>
  <c r="T92" i="35"/>
  <c r="T98" i="35"/>
  <c r="T27" i="35"/>
  <c r="T12" i="35"/>
  <c r="T77" i="35"/>
  <c r="T82" i="35"/>
  <c r="T107" i="35"/>
  <c r="T68" i="35"/>
  <c r="T52" i="35"/>
  <c r="T17" i="35"/>
  <c r="T117" i="35"/>
  <c r="T140" i="35"/>
  <c r="T72" i="35"/>
  <c r="T132" i="35"/>
  <c r="T57" i="35"/>
  <c r="T32" i="35"/>
  <c r="T42" i="35"/>
  <c r="C9" i="26" l="1"/>
  <c r="C19" i="26"/>
  <c r="C26" i="26" s="1"/>
  <c r="C14" i="26"/>
  <c r="T78" i="35"/>
  <c r="T119" i="35"/>
  <c r="T133" i="35"/>
  <c r="T18" i="35"/>
  <c r="T89" i="35"/>
  <c r="T70" i="35"/>
  <c r="T75" i="35"/>
  <c r="T40" i="35"/>
  <c r="T64" i="35"/>
  <c r="T100" i="35"/>
  <c r="T93" i="35"/>
  <c r="T65" i="35"/>
  <c r="T83" i="35"/>
  <c r="T85" i="35"/>
  <c r="T30" i="35"/>
  <c r="T130" i="35"/>
  <c r="T115" i="35"/>
  <c r="T138" i="35"/>
  <c r="T134" i="35"/>
  <c r="T58" i="35"/>
  <c r="T49" i="35"/>
  <c r="T95" i="35"/>
  <c r="T53" i="35"/>
  <c r="T48" i="35"/>
  <c r="T60" i="35"/>
  <c r="T110" i="35"/>
  <c r="T124" i="35"/>
  <c r="T44" i="35"/>
  <c r="T43" i="35"/>
  <c r="T74" i="35"/>
  <c r="T79" i="35"/>
  <c r="T28" i="35"/>
  <c r="T109" i="35"/>
  <c r="T10" i="35"/>
  <c r="T38" i="35"/>
  <c r="T59" i="35"/>
  <c r="T80" i="35"/>
  <c r="T129" i="35"/>
  <c r="T114" i="35"/>
  <c r="T108" i="35"/>
  <c r="T84" i="35"/>
  <c r="T103" i="35"/>
  <c r="T8" i="35"/>
  <c r="T73" i="35"/>
  <c r="T105" i="35"/>
  <c r="T128" i="35"/>
  <c r="T13" i="35"/>
  <c r="T118" i="35"/>
  <c r="T29" i="35"/>
  <c r="T14" i="35"/>
  <c r="T9" i="35"/>
  <c r="T24" i="35"/>
  <c r="T19" i="35"/>
  <c r="T139" i="35"/>
  <c r="T135" i="35"/>
  <c r="C17" i="26" s="1"/>
  <c r="T123" i="35"/>
  <c r="T23" i="35"/>
  <c r="T55" i="35"/>
  <c r="T69" i="35"/>
  <c r="T120" i="35"/>
  <c r="T25" i="35"/>
  <c r="H80" i="26"/>
  <c r="H81" i="26"/>
  <c r="H82" i="26"/>
  <c r="H83" i="26"/>
  <c r="H84" i="26"/>
  <c r="H85" i="26"/>
  <c r="H86" i="26"/>
  <c r="H87" i="26"/>
  <c r="H88" i="26"/>
  <c r="H89" i="26"/>
  <c r="H90" i="26"/>
  <c r="H91" i="26"/>
  <c r="H92" i="26"/>
  <c r="H93" i="26"/>
  <c r="H94" i="26"/>
  <c r="H95" i="26"/>
  <c r="H96" i="26"/>
  <c r="H97" i="26"/>
  <c r="H79" i="26"/>
  <c r="H56" i="26"/>
  <c r="H57" i="26"/>
  <c r="H58" i="26"/>
  <c r="H59" i="26"/>
  <c r="H60" i="26"/>
  <c r="H61" i="26"/>
  <c r="H62" i="26"/>
  <c r="H63" i="26"/>
  <c r="H64" i="26"/>
  <c r="H65" i="26"/>
  <c r="H66" i="26"/>
  <c r="H67" i="26"/>
  <c r="H68" i="26"/>
  <c r="H69" i="26"/>
  <c r="H70" i="26"/>
  <c r="H71" i="26"/>
  <c r="H72" i="26"/>
  <c r="H73" i="26"/>
  <c r="H55" i="26"/>
  <c r="C147" i="33"/>
  <c r="C146" i="33"/>
  <c r="C145" i="33"/>
  <c r="C144" i="33"/>
  <c r="C143" i="33"/>
  <c r="C142" i="33"/>
  <c r="C141" i="33"/>
  <c r="C140" i="33"/>
  <c r="C139" i="33"/>
  <c r="C138" i="33"/>
  <c r="C134" i="33"/>
  <c r="C132" i="33"/>
  <c r="C131" i="33"/>
  <c r="C130" i="33"/>
  <c r="C129" i="33"/>
  <c r="C128" i="33"/>
  <c r="C127" i="33"/>
  <c r="C126" i="33"/>
  <c r="C125" i="33"/>
  <c r="C124" i="33"/>
  <c r="C123" i="33"/>
  <c r="C122" i="33"/>
  <c r="C118" i="33"/>
  <c r="C116" i="33"/>
  <c r="C115" i="33"/>
  <c r="C114" i="33"/>
  <c r="C113" i="33"/>
  <c r="C112" i="33"/>
  <c r="C111" i="33"/>
  <c r="C110" i="33"/>
  <c r="C109" i="33"/>
  <c r="C108" i="33"/>
  <c r="C107" i="33"/>
  <c r="C106" i="33"/>
  <c r="C102" i="33"/>
  <c r="C100" i="33"/>
  <c r="C99" i="33"/>
  <c r="C98" i="33"/>
  <c r="C97" i="33"/>
  <c r="C96" i="33"/>
  <c r="C95" i="33"/>
  <c r="C94" i="33"/>
  <c r="C93" i="33"/>
  <c r="C92" i="33"/>
  <c r="C91" i="33"/>
  <c r="C90" i="33"/>
  <c r="C86" i="33"/>
  <c r="C84" i="33"/>
  <c r="C83" i="33"/>
  <c r="C82" i="33"/>
  <c r="C81" i="33"/>
  <c r="C80" i="33"/>
  <c r="C79" i="33"/>
  <c r="C78" i="33"/>
  <c r="C77" i="33"/>
  <c r="C76" i="33"/>
  <c r="C75" i="33"/>
  <c r="C74" i="33"/>
  <c r="C70" i="33"/>
  <c r="C68" i="33"/>
  <c r="C67" i="33"/>
  <c r="C66" i="33"/>
  <c r="C65" i="33"/>
  <c r="C64" i="33"/>
  <c r="C63" i="33"/>
  <c r="C62" i="33"/>
  <c r="C61" i="33"/>
  <c r="C60" i="33"/>
  <c r="C59" i="33"/>
  <c r="C58" i="33"/>
  <c r="C54" i="33"/>
  <c r="C52" i="33"/>
  <c r="C51" i="33"/>
  <c r="C50" i="33"/>
  <c r="C49" i="33"/>
  <c r="C48" i="33"/>
  <c r="C47" i="33"/>
  <c r="C46" i="33"/>
  <c r="C45" i="33"/>
  <c r="C44" i="33"/>
  <c r="C43" i="33"/>
  <c r="C42" i="33"/>
  <c r="C38" i="33"/>
  <c r="C34" i="33"/>
  <c r="C33" i="33"/>
  <c r="C32" i="33"/>
  <c r="C31" i="33"/>
  <c r="C30" i="33"/>
  <c r="C29" i="33"/>
  <c r="C28" i="33"/>
  <c r="C27" i="33"/>
  <c r="C26" i="33"/>
  <c r="C36" i="33" s="1"/>
  <c r="C25" i="33"/>
  <c r="C35" i="33" s="1"/>
  <c r="C21" i="33"/>
  <c r="C19" i="33"/>
  <c r="C18" i="33"/>
  <c r="C17" i="33"/>
  <c r="C16" i="33"/>
  <c r="C15" i="33"/>
  <c r="C14" i="33"/>
  <c r="C13" i="33"/>
  <c r="C12" i="33"/>
  <c r="C11" i="33"/>
  <c r="C10" i="33"/>
  <c r="C9" i="33"/>
  <c r="C16" i="26" l="1"/>
  <c r="C15" i="26"/>
  <c r="C21" i="26"/>
  <c r="C11" i="26"/>
  <c r="C20" i="26"/>
  <c r="C12" i="26"/>
  <c r="C10" i="26"/>
  <c r="C148" i="33"/>
  <c r="C149" i="33"/>
  <c r="C150" i="33"/>
  <c r="C151" i="33"/>
  <c r="C152" i="33"/>
  <c r="C117" i="33"/>
  <c r="C119" i="33"/>
  <c r="C101" i="33"/>
  <c r="C103" i="33"/>
  <c r="C133" i="33"/>
  <c r="C135" i="33"/>
  <c r="C85" i="33"/>
  <c r="C87" i="33"/>
  <c r="C69" i="33"/>
  <c r="C71" i="33"/>
  <c r="C53" i="33"/>
  <c r="C55" i="33"/>
  <c r="C37" i="33"/>
  <c r="C39" i="33"/>
  <c r="C20" i="33"/>
  <c r="C22" i="33"/>
  <c r="AE122" i="28" l="1"/>
  <c r="AE121" i="28"/>
  <c r="AE120" i="28"/>
  <c r="AE119" i="28"/>
  <c r="AE118" i="28"/>
  <c r="AE117" i="28"/>
  <c r="AE116" i="28"/>
  <c r="AE115" i="28"/>
  <c r="AE114" i="28"/>
  <c r="AE113" i="28"/>
  <c r="AE112" i="28"/>
  <c r="AE111" i="28"/>
  <c r="Y111" i="28"/>
  <c r="Y112" i="28" s="1"/>
  <c r="AE110" i="28"/>
  <c r="AE109" i="28"/>
  <c r="AE108" i="28"/>
  <c r="AE107" i="28"/>
  <c r="AE106" i="28"/>
  <c r="AE105" i="28"/>
  <c r="AE104" i="28"/>
  <c r="AE103" i="28"/>
  <c r="AE102" i="28"/>
  <c r="AE101" i="28"/>
  <c r="AE100" i="28"/>
  <c r="AE99" i="28"/>
  <c r="AE98" i="28"/>
  <c r="Y98" i="28"/>
  <c r="AE97" i="28"/>
  <c r="AE96" i="28"/>
  <c r="AE95" i="28"/>
  <c r="AE94" i="28"/>
  <c r="AE93" i="28"/>
  <c r="AE92" i="28"/>
  <c r="AE91" i="28"/>
  <c r="AE90" i="28"/>
  <c r="AE89" i="28"/>
  <c r="AE88" i="28"/>
  <c r="AE87" i="28"/>
  <c r="Y87" i="28"/>
  <c r="Y90" i="28" s="1"/>
  <c r="AE86" i="28"/>
  <c r="Y86" i="28"/>
  <c r="AF86" i="28" s="1"/>
  <c r="AG86" i="28" s="1"/>
  <c r="AE85" i="28"/>
  <c r="Y85" i="28"/>
  <c r="AE84" i="28"/>
  <c r="AE83" i="28"/>
  <c r="AE82" i="28"/>
  <c r="AE81" i="28"/>
  <c r="AE80" i="28"/>
  <c r="AE79" i="28"/>
  <c r="AE78" i="28"/>
  <c r="AE77" i="28"/>
  <c r="AE76" i="28"/>
  <c r="AE75" i="28"/>
  <c r="AE74" i="28"/>
  <c r="AE73" i="28"/>
  <c r="AE72" i="28"/>
  <c r="Y72" i="28"/>
  <c r="Y73" i="28" s="1"/>
  <c r="AE71" i="28"/>
  <c r="AE70" i="28"/>
  <c r="AE69" i="28"/>
  <c r="AE68" i="28"/>
  <c r="AE67" i="28"/>
  <c r="AE66" i="28"/>
  <c r="AE65" i="28"/>
  <c r="AE64" i="28"/>
  <c r="AE63" i="28"/>
  <c r="AE62" i="28"/>
  <c r="AE61" i="28"/>
  <c r="AE60" i="28"/>
  <c r="AE59" i="28"/>
  <c r="Y59" i="28"/>
  <c r="Y60" i="28" s="1"/>
  <c r="AE58" i="28"/>
  <c r="AE57" i="28"/>
  <c r="AE56" i="28"/>
  <c r="AE55" i="28"/>
  <c r="AE54" i="28"/>
  <c r="AE53" i="28"/>
  <c r="AE52" i="28"/>
  <c r="AE51" i="28"/>
  <c r="AE50" i="28"/>
  <c r="AE49" i="28"/>
  <c r="AE48" i="28"/>
  <c r="AE47" i="28"/>
  <c r="AE46" i="28"/>
  <c r="Y46" i="28"/>
  <c r="Y47" i="28" s="1"/>
  <c r="AE45" i="28"/>
  <c r="AE44" i="28"/>
  <c r="AE43" i="28"/>
  <c r="AE42" i="28"/>
  <c r="AE41" i="28"/>
  <c r="AE40" i="28"/>
  <c r="AE39" i="28"/>
  <c r="AE38" i="28"/>
  <c r="AE37" i="28"/>
  <c r="AE36" i="28"/>
  <c r="AE35" i="28"/>
  <c r="AE34" i="28"/>
  <c r="AE33" i="28"/>
  <c r="Y33" i="28"/>
  <c r="Y34" i="28" s="1"/>
  <c r="Y35" i="28" s="1"/>
  <c r="AE32" i="28"/>
  <c r="AE31" i="28"/>
  <c r="AE30" i="28"/>
  <c r="AE29" i="28"/>
  <c r="AE28" i="28"/>
  <c r="AE27" i="28"/>
  <c r="AE26" i="28"/>
  <c r="AE25" i="28"/>
  <c r="AE24" i="28"/>
  <c r="AE23" i="28"/>
  <c r="AE22" i="28"/>
  <c r="AE21" i="28"/>
  <c r="AE20" i="28"/>
  <c r="Y20" i="28"/>
  <c r="Z20" i="28" s="1"/>
  <c r="AA20" i="28" s="1"/>
  <c r="AE19" i="28"/>
  <c r="AE18" i="28"/>
  <c r="AE17" i="28"/>
  <c r="AE16" i="28"/>
  <c r="AE15" i="28"/>
  <c r="AE14" i="28"/>
  <c r="AE13" i="28"/>
  <c r="AE12" i="28"/>
  <c r="AE11" i="28"/>
  <c r="AE10" i="28"/>
  <c r="AE9" i="28"/>
  <c r="AE8" i="28"/>
  <c r="AE7" i="28"/>
  <c r="Y7" i="28"/>
  <c r="Y8" i="28" s="1"/>
  <c r="Z8" i="28" s="1"/>
  <c r="AA8" i="28" s="1"/>
  <c r="AE6" i="28"/>
  <c r="T122" i="28"/>
  <c r="T121" i="28"/>
  <c r="T120" i="28"/>
  <c r="T119" i="28"/>
  <c r="T118" i="28"/>
  <c r="T117" i="28"/>
  <c r="T116" i="28"/>
  <c r="T115" i="28"/>
  <c r="T114" i="28"/>
  <c r="T113" i="28"/>
  <c r="T112" i="28"/>
  <c r="T111" i="28"/>
  <c r="N111" i="28"/>
  <c r="T110" i="28"/>
  <c r="T109" i="28"/>
  <c r="T108" i="28"/>
  <c r="T107" i="28"/>
  <c r="T106" i="28"/>
  <c r="T105" i="28"/>
  <c r="T104" i="28"/>
  <c r="T103" i="28"/>
  <c r="T102" i="28"/>
  <c r="T101" i="28"/>
  <c r="T100" i="28"/>
  <c r="T99" i="28"/>
  <c r="T98" i="28"/>
  <c r="N98" i="28"/>
  <c r="T97" i="28"/>
  <c r="T96" i="28"/>
  <c r="T95" i="28"/>
  <c r="T94" i="28"/>
  <c r="T93" i="28"/>
  <c r="T92" i="28"/>
  <c r="T91" i="28"/>
  <c r="T90" i="28"/>
  <c r="T89" i="28"/>
  <c r="T88" i="28"/>
  <c r="T87" i="28"/>
  <c r="N87" i="28"/>
  <c r="N89" i="28" s="1"/>
  <c r="T86" i="28"/>
  <c r="N86" i="28"/>
  <c r="T85" i="28"/>
  <c r="N85" i="28"/>
  <c r="T84" i="28"/>
  <c r="T83" i="28"/>
  <c r="T82" i="28"/>
  <c r="T81" i="28"/>
  <c r="T80" i="28"/>
  <c r="T79" i="28"/>
  <c r="T78" i="28"/>
  <c r="T77" i="28"/>
  <c r="T76" i="28"/>
  <c r="T75" i="28"/>
  <c r="T74" i="28"/>
  <c r="T73" i="28"/>
  <c r="T72" i="28"/>
  <c r="N72" i="28"/>
  <c r="T71" i="28"/>
  <c r="T70" i="28"/>
  <c r="T69" i="28"/>
  <c r="T68" i="28"/>
  <c r="T67" i="28"/>
  <c r="T66" i="28"/>
  <c r="T65" i="28"/>
  <c r="T64" i="28"/>
  <c r="T63" i="28"/>
  <c r="T62" i="28"/>
  <c r="T61" i="28"/>
  <c r="T60" i="28"/>
  <c r="T59" i="28"/>
  <c r="N59" i="28"/>
  <c r="T58" i="28"/>
  <c r="T57" i="28"/>
  <c r="T56" i="28"/>
  <c r="T55" i="28"/>
  <c r="T54" i="28"/>
  <c r="T53" i="28"/>
  <c r="T52" i="28"/>
  <c r="T51" i="28"/>
  <c r="T50" i="28"/>
  <c r="T49" i="28"/>
  <c r="T48" i="28"/>
  <c r="T47" i="28"/>
  <c r="T46" i="28"/>
  <c r="N46" i="28"/>
  <c r="N47" i="28" s="1"/>
  <c r="T45" i="28"/>
  <c r="T44" i="28"/>
  <c r="T43" i="28"/>
  <c r="T42" i="28"/>
  <c r="T41" i="28"/>
  <c r="T40" i="28"/>
  <c r="T39" i="28"/>
  <c r="T38" i="28"/>
  <c r="T37" i="28"/>
  <c r="T36" i="28"/>
  <c r="T35" i="28"/>
  <c r="T34" i="28"/>
  <c r="T33" i="28"/>
  <c r="N33" i="28"/>
  <c r="T32" i="28"/>
  <c r="T31" i="28"/>
  <c r="T30" i="28"/>
  <c r="T29" i="28"/>
  <c r="T28" i="28"/>
  <c r="T27" i="28"/>
  <c r="T26" i="28"/>
  <c r="T25" i="28"/>
  <c r="T24" i="28"/>
  <c r="T23" i="28"/>
  <c r="T22" i="28"/>
  <c r="T21" i="28"/>
  <c r="T20" i="28"/>
  <c r="N20" i="28"/>
  <c r="O20" i="28" s="1"/>
  <c r="P20" i="28" s="1"/>
  <c r="T19" i="28"/>
  <c r="T18" i="28"/>
  <c r="T17" i="28"/>
  <c r="T16" i="28"/>
  <c r="T15" i="28"/>
  <c r="T14" i="28"/>
  <c r="T13" i="28"/>
  <c r="T12" i="28"/>
  <c r="T11" i="28"/>
  <c r="T10" i="28"/>
  <c r="T9" i="28"/>
  <c r="T8" i="28"/>
  <c r="T7" i="28"/>
  <c r="N7" i="28"/>
  <c r="N8" i="28" s="1"/>
  <c r="O8" i="28" s="1"/>
  <c r="P8" i="28" s="1"/>
  <c r="T6" i="28"/>
  <c r="I122" i="28"/>
  <c r="I121" i="28"/>
  <c r="I120" i="28"/>
  <c r="I119" i="28"/>
  <c r="I118" i="28"/>
  <c r="I117" i="28"/>
  <c r="I116" i="28"/>
  <c r="I115" i="28"/>
  <c r="I114" i="28"/>
  <c r="I113" i="28"/>
  <c r="I112" i="28"/>
  <c r="I111" i="28"/>
  <c r="C111" i="28"/>
  <c r="I110" i="28"/>
  <c r="J110" i="28" s="1"/>
  <c r="I109" i="28"/>
  <c r="I108" i="28"/>
  <c r="I107" i="28"/>
  <c r="I106" i="28"/>
  <c r="I105" i="28"/>
  <c r="I104" i="28"/>
  <c r="I103" i="28"/>
  <c r="I102" i="28"/>
  <c r="I101" i="28"/>
  <c r="I100" i="28"/>
  <c r="I99" i="28"/>
  <c r="I98" i="28"/>
  <c r="C98" i="28"/>
  <c r="I97" i="28"/>
  <c r="J97" i="28" s="1"/>
  <c r="I96" i="28"/>
  <c r="I95" i="28"/>
  <c r="I94" i="28"/>
  <c r="I93" i="28"/>
  <c r="I92" i="28"/>
  <c r="I91" i="28"/>
  <c r="I90" i="28"/>
  <c r="I89" i="28"/>
  <c r="I88" i="28"/>
  <c r="I87" i="28"/>
  <c r="C87" i="28"/>
  <c r="I86" i="28"/>
  <c r="C86" i="28"/>
  <c r="I85" i="28"/>
  <c r="C85" i="28"/>
  <c r="I84" i="28"/>
  <c r="J84" i="28" s="1"/>
  <c r="I83" i="28"/>
  <c r="I82" i="28"/>
  <c r="I81" i="28"/>
  <c r="I80" i="28"/>
  <c r="I79" i="28"/>
  <c r="I78" i="28"/>
  <c r="I77" i="28"/>
  <c r="I76" i="28"/>
  <c r="I75" i="28"/>
  <c r="I74" i="28"/>
  <c r="I73" i="28"/>
  <c r="I72" i="28"/>
  <c r="C72" i="28"/>
  <c r="I71" i="28"/>
  <c r="J71" i="28" s="1"/>
  <c r="I70" i="28"/>
  <c r="I69" i="28"/>
  <c r="I68" i="28"/>
  <c r="I67" i="28"/>
  <c r="I66" i="28"/>
  <c r="I65" i="28"/>
  <c r="I64" i="28"/>
  <c r="I63" i="28"/>
  <c r="I62" i="28"/>
  <c r="I61" i="28"/>
  <c r="I60" i="28"/>
  <c r="I59" i="28"/>
  <c r="C59" i="28"/>
  <c r="I58" i="28"/>
  <c r="J58" i="28" s="1"/>
  <c r="I57" i="28"/>
  <c r="I56" i="28"/>
  <c r="I55" i="28"/>
  <c r="I54" i="28"/>
  <c r="I53" i="28"/>
  <c r="I52" i="28"/>
  <c r="I51" i="28"/>
  <c r="I50" i="28"/>
  <c r="I49" i="28"/>
  <c r="I48" i="28"/>
  <c r="I47" i="28"/>
  <c r="I46" i="28"/>
  <c r="C46" i="28"/>
  <c r="I45" i="28"/>
  <c r="J45" i="28" s="1"/>
  <c r="I44" i="28"/>
  <c r="I43" i="28"/>
  <c r="I42" i="28"/>
  <c r="I41" i="28"/>
  <c r="I40" i="28"/>
  <c r="I39" i="28"/>
  <c r="I38" i="28"/>
  <c r="I37" i="28"/>
  <c r="I36" i="28"/>
  <c r="I35" i="28"/>
  <c r="I34" i="28"/>
  <c r="I33" i="28"/>
  <c r="C33" i="28"/>
  <c r="I32" i="28"/>
  <c r="J32" i="28" s="1"/>
  <c r="I31" i="28"/>
  <c r="I30" i="28"/>
  <c r="I29" i="28"/>
  <c r="I28" i="28"/>
  <c r="I27" i="28"/>
  <c r="I26" i="28"/>
  <c r="I25" i="28"/>
  <c r="I24" i="28"/>
  <c r="I23" i="28"/>
  <c r="I22" i="28"/>
  <c r="I21" i="28"/>
  <c r="I20" i="28"/>
  <c r="C20" i="28"/>
  <c r="I19" i="28"/>
  <c r="J19" i="28" s="1"/>
  <c r="I18" i="28"/>
  <c r="I17" i="28"/>
  <c r="I16" i="28"/>
  <c r="I15" i="28"/>
  <c r="I14" i="28"/>
  <c r="I13" i="28"/>
  <c r="I12" i="28"/>
  <c r="I11" i="28"/>
  <c r="I10" i="28"/>
  <c r="I9" i="28"/>
  <c r="I8" i="28"/>
  <c r="I7" i="28"/>
  <c r="C7" i="28"/>
  <c r="I6" i="28"/>
  <c r="J6" i="28" s="1"/>
  <c r="K45" i="28" l="1"/>
  <c r="AF97" i="28"/>
  <c r="AG97" i="28" s="1"/>
  <c r="U86" i="28"/>
  <c r="V86" i="28" s="1"/>
  <c r="AF45" i="28"/>
  <c r="AG45" i="28" s="1"/>
  <c r="K110" i="28"/>
  <c r="C112" i="28"/>
  <c r="D111" i="28"/>
  <c r="E111" i="28" s="1"/>
  <c r="J111" i="28" s="1"/>
  <c r="C60" i="28"/>
  <c r="D59" i="28"/>
  <c r="E59" i="28" s="1"/>
  <c r="J59" i="28" s="1"/>
  <c r="C73" i="28"/>
  <c r="D72" i="28"/>
  <c r="E72" i="28" s="1"/>
  <c r="J72" i="28" s="1"/>
  <c r="C90" i="28"/>
  <c r="C93" i="28" s="1"/>
  <c r="D87" i="28"/>
  <c r="E87" i="28" s="1"/>
  <c r="J87" i="28" s="1"/>
  <c r="D86" i="28"/>
  <c r="E86" i="28" s="1"/>
  <c r="J86" i="28" s="1"/>
  <c r="D46" i="28"/>
  <c r="E46" i="28" s="1"/>
  <c r="J46" i="28" s="1"/>
  <c r="N60" i="28"/>
  <c r="U60" i="28" s="1"/>
  <c r="V60" i="28" s="1"/>
  <c r="D98" i="28"/>
  <c r="E98" i="28" s="1"/>
  <c r="J98" i="28" s="1"/>
  <c r="C21" i="28"/>
  <c r="D20" i="28"/>
  <c r="E20" i="28" s="1"/>
  <c r="J20" i="28" s="1"/>
  <c r="C89" i="28"/>
  <c r="AF47" i="28"/>
  <c r="AG47" i="28" s="1"/>
  <c r="D33" i="28"/>
  <c r="E33" i="28" s="1"/>
  <c r="D7" i="28"/>
  <c r="E7" i="28" s="1"/>
  <c r="D85" i="28"/>
  <c r="E85" i="28" s="1"/>
  <c r="J85" i="28" s="1"/>
  <c r="K85" i="28" s="1"/>
  <c r="U59" i="28"/>
  <c r="V59" i="28" s="1"/>
  <c r="AF87" i="28"/>
  <c r="AG87" i="28" s="1"/>
  <c r="AF6" i="28"/>
  <c r="AG6" i="28" s="1"/>
  <c r="U46" i="28"/>
  <c r="V46" i="28" s="1"/>
  <c r="N34" i="28"/>
  <c r="U97" i="28"/>
  <c r="V97" i="28" s="1"/>
  <c r="AF46" i="28"/>
  <c r="AG46" i="28" s="1"/>
  <c r="AF58" i="28"/>
  <c r="AG58" i="28" s="1"/>
  <c r="AF111" i="28"/>
  <c r="AG111" i="28" s="1"/>
  <c r="U98" i="28"/>
  <c r="V98" i="28" s="1"/>
  <c r="AF71" i="28"/>
  <c r="AG71" i="28" s="1"/>
  <c r="Y88" i="28"/>
  <c r="AF88" i="28" s="1"/>
  <c r="AG88" i="28" s="1"/>
  <c r="Y99" i="28"/>
  <c r="Y100" i="28" s="1"/>
  <c r="Y101" i="28" s="1"/>
  <c r="N99" i="28"/>
  <c r="N100" i="28" s="1"/>
  <c r="AF59" i="28"/>
  <c r="AG59" i="28" s="1"/>
  <c r="C34" i="28"/>
  <c r="U32" i="28"/>
  <c r="V32" i="28" s="1"/>
  <c r="U71" i="28"/>
  <c r="V71" i="28" s="1"/>
  <c r="N88" i="28"/>
  <c r="U88" i="28" s="1"/>
  <c r="V88" i="28" s="1"/>
  <c r="AF32" i="28"/>
  <c r="AG32" i="28" s="1"/>
  <c r="K19" i="28"/>
  <c r="K32" i="28"/>
  <c r="U45" i="28"/>
  <c r="V45" i="28" s="1"/>
  <c r="AF19" i="28"/>
  <c r="AG19" i="28" s="1"/>
  <c r="Y89" i="28"/>
  <c r="AF89" i="28" s="1"/>
  <c r="AG89" i="28" s="1"/>
  <c r="AF20" i="28"/>
  <c r="AG20" i="28" s="1"/>
  <c r="U47" i="28"/>
  <c r="V47" i="28" s="1"/>
  <c r="AF33" i="28"/>
  <c r="AG33" i="28" s="1"/>
  <c r="Y93" i="28"/>
  <c r="AF90" i="28"/>
  <c r="AG90" i="28" s="1"/>
  <c r="Y91" i="28"/>
  <c r="AF91" i="28" s="1"/>
  <c r="AG91" i="28" s="1"/>
  <c r="Y92" i="28"/>
  <c r="AF92" i="28" s="1"/>
  <c r="AG92" i="28" s="1"/>
  <c r="AF110" i="28"/>
  <c r="AG110" i="28" s="1"/>
  <c r="AF84" i="28"/>
  <c r="AG84" i="28" s="1"/>
  <c r="AF60" i="28"/>
  <c r="AG60" i="28" s="1"/>
  <c r="Y61" i="28"/>
  <c r="Y74" i="28"/>
  <c r="AF73" i="28"/>
  <c r="AG73" i="28" s="1"/>
  <c r="AF85" i="28"/>
  <c r="AG85" i="28" s="1"/>
  <c r="AF112" i="28"/>
  <c r="AG112" i="28" s="1"/>
  <c r="Y113" i="28"/>
  <c r="AF8" i="28"/>
  <c r="AG8" i="28" s="1"/>
  <c r="Y9" i="28"/>
  <c r="Z9" i="28" s="1"/>
  <c r="AA9" i="28" s="1"/>
  <c r="AF7" i="28"/>
  <c r="AG7" i="28" s="1"/>
  <c r="AF35" i="28"/>
  <c r="AG35" i="28" s="1"/>
  <c r="Y36" i="28"/>
  <c r="AF34" i="28"/>
  <c r="AG34" i="28" s="1"/>
  <c r="AF98" i="28"/>
  <c r="AG98" i="28" s="1"/>
  <c r="AF72" i="28"/>
  <c r="AG72" i="28" s="1"/>
  <c r="Y21" i="28"/>
  <c r="Z21" i="28" s="1"/>
  <c r="AA21" i="28" s="1"/>
  <c r="Y48" i="28"/>
  <c r="N73" i="28"/>
  <c r="U72" i="28"/>
  <c r="V72" i="28" s="1"/>
  <c r="U110" i="28"/>
  <c r="V110" i="28" s="1"/>
  <c r="N112" i="28"/>
  <c r="U111" i="28"/>
  <c r="V111" i="28" s="1"/>
  <c r="U20" i="28"/>
  <c r="V20" i="28" s="1"/>
  <c r="N21" i="28"/>
  <c r="O21" i="28" s="1"/>
  <c r="P21" i="28" s="1"/>
  <c r="U6" i="28"/>
  <c r="V6" i="28" s="1"/>
  <c r="U8" i="28"/>
  <c r="V8" i="28" s="1"/>
  <c r="N9" i="28"/>
  <c r="O9" i="28" s="1"/>
  <c r="P9" i="28" s="1"/>
  <c r="U58" i="28"/>
  <c r="V58" i="28" s="1"/>
  <c r="U89" i="28"/>
  <c r="V89" i="28" s="1"/>
  <c r="U7" i="28"/>
  <c r="V7" i="28" s="1"/>
  <c r="U84" i="28"/>
  <c r="V84" i="28" s="1"/>
  <c r="U33" i="28"/>
  <c r="V33" i="28" s="1"/>
  <c r="U19" i="28"/>
  <c r="V19" i="28" s="1"/>
  <c r="U85" i="28"/>
  <c r="V85" i="28" s="1"/>
  <c r="N48" i="28"/>
  <c r="U87" i="28"/>
  <c r="V87" i="28" s="1"/>
  <c r="N90" i="28"/>
  <c r="K6" i="28"/>
  <c r="C47" i="28"/>
  <c r="K58" i="28"/>
  <c r="K71" i="28"/>
  <c r="C88" i="28"/>
  <c r="C8" i="28"/>
  <c r="K84" i="28"/>
  <c r="K97" i="28"/>
  <c r="C74" i="28"/>
  <c r="C99" i="28"/>
  <c r="AF99" i="28" l="1"/>
  <c r="AG99" i="28" s="1"/>
  <c r="C92" i="28"/>
  <c r="D92" i="28" s="1"/>
  <c r="E92" i="28" s="1"/>
  <c r="J92" i="28" s="1"/>
  <c r="K92" i="28" s="1"/>
  <c r="U99" i="28"/>
  <c r="V99" i="28" s="1"/>
  <c r="C91" i="28"/>
  <c r="J33" i="28"/>
  <c r="K33" i="28" s="1"/>
  <c r="J7" i="28"/>
  <c r="K7" i="28" s="1"/>
  <c r="K98" i="28"/>
  <c r="D21" i="28"/>
  <c r="E21" i="28" s="1"/>
  <c r="J21" i="28" s="1"/>
  <c r="K21" i="28" s="1"/>
  <c r="D60" i="28"/>
  <c r="E60" i="28" s="1"/>
  <c r="J60" i="28" s="1"/>
  <c r="K60" i="28"/>
  <c r="D8" i="28"/>
  <c r="E8" i="28" s="1"/>
  <c r="J8" i="28" s="1"/>
  <c r="K8" i="28" s="1"/>
  <c r="D112" i="28"/>
  <c r="E112" i="28" s="1"/>
  <c r="J112" i="28" s="1"/>
  <c r="K112" i="28" s="1"/>
  <c r="D99" i="28"/>
  <c r="E99" i="28" s="1"/>
  <c r="J99" i="28" s="1"/>
  <c r="D93" i="28"/>
  <c r="E93" i="28" s="1"/>
  <c r="J93" i="28" s="1"/>
  <c r="D74" i="28"/>
  <c r="E74" i="28" s="1"/>
  <c r="J74" i="28" s="1"/>
  <c r="D90" i="28"/>
  <c r="E90" i="28" s="1"/>
  <c r="J90" i="28" s="1"/>
  <c r="K90" i="28" s="1"/>
  <c r="C22" i="28"/>
  <c r="C61" i="28"/>
  <c r="D47" i="28"/>
  <c r="E47" i="28" s="1"/>
  <c r="J47" i="28" s="1"/>
  <c r="D73" i="28"/>
  <c r="E73" i="28" s="1"/>
  <c r="J73" i="28" s="1"/>
  <c r="D88" i="28"/>
  <c r="E88" i="28" s="1"/>
  <c r="J88" i="28" s="1"/>
  <c r="K59" i="28"/>
  <c r="K86" i="28"/>
  <c r="D34" i="28"/>
  <c r="E34" i="28" s="1"/>
  <c r="K20" i="28"/>
  <c r="D89" i="28"/>
  <c r="E89" i="28" s="1"/>
  <c r="D91" i="28"/>
  <c r="E91" i="28" s="1"/>
  <c r="J91" i="28" s="1"/>
  <c r="K72" i="28"/>
  <c r="K87" i="28"/>
  <c r="K111" i="28"/>
  <c r="C35" i="28"/>
  <c r="K73" i="28"/>
  <c r="C113" i="28"/>
  <c r="N61" i="28"/>
  <c r="K46" i="28"/>
  <c r="AF100" i="28"/>
  <c r="AG100" i="28" s="1"/>
  <c r="N35" i="28"/>
  <c r="U34" i="28"/>
  <c r="V34" i="28" s="1"/>
  <c r="C36" i="28"/>
  <c r="AF93" i="28"/>
  <c r="AG93" i="28" s="1"/>
  <c r="Y94" i="28"/>
  <c r="AF94" i="28" s="1"/>
  <c r="AG94" i="28" s="1"/>
  <c r="Y95" i="28"/>
  <c r="AF95" i="28" s="1"/>
  <c r="AG95" i="28" s="1"/>
  <c r="Y96" i="28"/>
  <c r="AF96" i="28" s="1"/>
  <c r="AG96" i="28" s="1"/>
  <c r="AF21" i="28"/>
  <c r="AG21" i="28" s="1"/>
  <c r="Y22" i="28"/>
  <c r="Z22" i="28" s="1"/>
  <c r="AA22" i="28" s="1"/>
  <c r="AF36" i="28"/>
  <c r="AG36" i="28" s="1"/>
  <c r="Y37" i="28"/>
  <c r="AF61" i="28"/>
  <c r="AG61" i="28" s="1"/>
  <c r="Y62" i="28"/>
  <c r="AF9" i="28"/>
  <c r="AG9" i="28" s="1"/>
  <c r="Y10" i="28"/>
  <c r="Z10" i="28" s="1"/>
  <c r="AA10" i="28" s="1"/>
  <c r="Y49" i="28"/>
  <c r="AF48" i="28"/>
  <c r="AG48" i="28" s="1"/>
  <c r="AF113" i="28"/>
  <c r="AG113" i="28" s="1"/>
  <c r="Y114" i="28"/>
  <c r="AF74" i="28"/>
  <c r="AG74" i="28" s="1"/>
  <c r="Y75" i="28"/>
  <c r="AF101" i="28"/>
  <c r="AG101" i="28" s="1"/>
  <c r="Y102" i="28"/>
  <c r="U48" i="28"/>
  <c r="V48" i="28" s="1"/>
  <c r="N49" i="28"/>
  <c r="U21" i="28"/>
  <c r="V21" i="28" s="1"/>
  <c r="N22" i="28"/>
  <c r="O22" i="28" s="1"/>
  <c r="P22" i="28" s="1"/>
  <c r="N101" i="28"/>
  <c r="U100" i="28"/>
  <c r="V100" i="28" s="1"/>
  <c r="N74" i="28"/>
  <c r="U73" i="28"/>
  <c r="V73" i="28" s="1"/>
  <c r="U112" i="28"/>
  <c r="V112" i="28" s="1"/>
  <c r="N113" i="28"/>
  <c r="N10" i="28"/>
  <c r="O10" i="28" s="1"/>
  <c r="P10" i="28" s="1"/>
  <c r="U9" i="28"/>
  <c r="V9" i="28" s="1"/>
  <c r="N93" i="28"/>
  <c r="U90" i="28"/>
  <c r="V90" i="28" s="1"/>
  <c r="N91" i="28"/>
  <c r="U91" i="28" s="1"/>
  <c r="V91" i="28" s="1"/>
  <c r="N92" i="28"/>
  <c r="U92" i="28" s="1"/>
  <c r="V92" i="28" s="1"/>
  <c r="C48" i="28"/>
  <c r="C23" i="28"/>
  <c r="K93" i="28"/>
  <c r="C94" i="28"/>
  <c r="C95" i="28"/>
  <c r="C96" i="28"/>
  <c r="C9" i="28"/>
  <c r="K74" i="28"/>
  <c r="C75" i="28"/>
  <c r="C114" i="28"/>
  <c r="C100" i="28"/>
  <c r="K99" i="28"/>
  <c r="C62" i="28"/>
  <c r="J34" i="28" l="1"/>
  <c r="K34" i="28" s="1"/>
  <c r="K91" i="28"/>
  <c r="J89" i="28"/>
  <c r="K89" i="28" s="1"/>
  <c r="K47" i="28"/>
  <c r="K88" i="28"/>
  <c r="D23" i="28"/>
  <c r="E23" i="28" s="1"/>
  <c r="J23" i="28" s="1"/>
  <c r="K23" i="28" s="1"/>
  <c r="D9" i="28"/>
  <c r="E9" i="28" s="1"/>
  <c r="J9" i="28" s="1"/>
  <c r="K9" i="28" s="1"/>
  <c r="D61" i="28"/>
  <c r="E61" i="28" s="1"/>
  <c r="J61" i="28" s="1"/>
  <c r="D100" i="28"/>
  <c r="E100" i="28" s="1"/>
  <c r="J100" i="28" s="1"/>
  <c r="D75" i="28"/>
  <c r="E75" i="28" s="1"/>
  <c r="J75" i="28" s="1"/>
  <c r="D62" i="28"/>
  <c r="E62" i="28" s="1"/>
  <c r="J62" i="28" s="1"/>
  <c r="D48" i="28"/>
  <c r="E48" i="28" s="1"/>
  <c r="J48" i="28" s="1"/>
  <c r="D113" i="28"/>
  <c r="E113" i="28" s="1"/>
  <c r="J113" i="28" s="1"/>
  <c r="D22" i="28"/>
  <c r="E22" i="28" s="1"/>
  <c r="J22" i="28" s="1"/>
  <c r="K22" i="28"/>
  <c r="C37" i="28"/>
  <c r="C38" i="28" s="1"/>
  <c r="D36" i="28"/>
  <c r="E36" i="28" s="1"/>
  <c r="J36" i="28" s="1"/>
  <c r="N62" i="28"/>
  <c r="U61" i="28"/>
  <c r="V61" i="28" s="1"/>
  <c r="D96" i="28"/>
  <c r="E96" i="28" s="1"/>
  <c r="J96" i="28" s="1"/>
  <c r="D95" i="28"/>
  <c r="E95" i="28" s="1"/>
  <c r="J95" i="28" s="1"/>
  <c r="K94" i="28"/>
  <c r="D94" i="28"/>
  <c r="E94" i="28" s="1"/>
  <c r="J94" i="28" s="1"/>
  <c r="D35" i="28"/>
  <c r="E35" i="28" s="1"/>
  <c r="J35" i="28" s="1"/>
  <c r="N36" i="28"/>
  <c r="U35" i="28"/>
  <c r="V35" i="28" s="1"/>
  <c r="K36" i="28"/>
  <c r="AA114" i="28"/>
  <c r="AF114" i="28" s="1"/>
  <c r="AG114" i="28" s="1"/>
  <c r="Y115" i="28"/>
  <c r="AF37" i="28"/>
  <c r="AG37" i="28" s="1"/>
  <c r="Y38" i="28"/>
  <c r="Y23" i="28"/>
  <c r="Z23" i="28" s="1"/>
  <c r="AA23" i="28" s="1"/>
  <c r="AF22" i="28"/>
  <c r="AG22" i="28" s="1"/>
  <c r="Y50" i="28"/>
  <c r="AF49" i="28"/>
  <c r="AG49" i="28" s="1"/>
  <c r="AF102" i="28"/>
  <c r="AG102" i="28" s="1"/>
  <c r="Y103" i="28"/>
  <c r="AF10" i="28"/>
  <c r="AG10" i="28" s="1"/>
  <c r="Y11" i="28"/>
  <c r="Z11" i="28" s="1"/>
  <c r="AA11" i="28" s="1"/>
  <c r="AF75" i="28"/>
  <c r="AG75" i="28" s="1"/>
  <c r="Y76" i="28"/>
  <c r="AF62" i="28"/>
  <c r="AG62" i="28" s="1"/>
  <c r="Y63" i="28"/>
  <c r="U10" i="28"/>
  <c r="V10" i="28" s="1"/>
  <c r="N11" i="28"/>
  <c r="O11" i="28" s="1"/>
  <c r="P11" i="28" s="1"/>
  <c r="U113" i="28"/>
  <c r="V113" i="28" s="1"/>
  <c r="N114" i="28"/>
  <c r="N23" i="28"/>
  <c r="O23" i="28" s="1"/>
  <c r="P23" i="28" s="1"/>
  <c r="U22" i="28"/>
  <c r="V22" i="28" s="1"/>
  <c r="N50" i="28"/>
  <c r="U49" i="28"/>
  <c r="V49" i="28" s="1"/>
  <c r="U74" i="28"/>
  <c r="V74" i="28" s="1"/>
  <c r="N75" i="28"/>
  <c r="U93" i="28"/>
  <c r="V93" i="28" s="1"/>
  <c r="N94" i="28"/>
  <c r="U94" i="28" s="1"/>
  <c r="V94" i="28" s="1"/>
  <c r="N95" i="28"/>
  <c r="U95" i="28" s="1"/>
  <c r="V95" i="28" s="1"/>
  <c r="N96" i="28"/>
  <c r="U96" i="28" s="1"/>
  <c r="V96" i="28" s="1"/>
  <c r="U101" i="28"/>
  <c r="V101" i="28" s="1"/>
  <c r="N102" i="28"/>
  <c r="C49" i="28"/>
  <c r="J114" i="28"/>
  <c r="K114" i="28" s="1"/>
  <c r="C115" i="28"/>
  <c r="K75" i="28"/>
  <c r="C76" i="28"/>
  <c r="C10" i="28"/>
  <c r="K62" i="28"/>
  <c r="C63" i="28"/>
  <c r="C24" i="28"/>
  <c r="C101" i="28"/>
  <c r="K100" i="28"/>
  <c r="K113" i="28" l="1"/>
  <c r="K61" i="28"/>
  <c r="K48" i="28"/>
  <c r="D24" i="28"/>
  <c r="E24" i="28" s="1"/>
  <c r="J24" i="28" s="1"/>
  <c r="K24" i="28" s="1"/>
  <c r="D101" i="28"/>
  <c r="E101" i="28" s="1"/>
  <c r="J101" i="28" s="1"/>
  <c r="D37" i="28"/>
  <c r="E37" i="28" s="1"/>
  <c r="J37" i="28" s="1"/>
  <c r="K35" i="28"/>
  <c r="D49" i="28"/>
  <c r="E49" i="28" s="1"/>
  <c r="J49" i="28" s="1"/>
  <c r="D10" i="28"/>
  <c r="E10" i="28" s="1"/>
  <c r="J10" i="28" s="1"/>
  <c r="D63" i="28"/>
  <c r="E63" i="28" s="1"/>
  <c r="J63" i="28" s="1"/>
  <c r="D38" i="28"/>
  <c r="E38" i="28" s="1"/>
  <c r="J38" i="28" s="1"/>
  <c r="D76" i="28"/>
  <c r="E76" i="28" s="1"/>
  <c r="J76" i="28" s="1"/>
  <c r="K76" i="28" s="1"/>
  <c r="K95" i="28"/>
  <c r="K96" i="28"/>
  <c r="U62" i="28"/>
  <c r="V62" i="28" s="1"/>
  <c r="N63" i="28"/>
  <c r="N37" i="28"/>
  <c r="U36" i="28"/>
  <c r="V36" i="28" s="1"/>
  <c r="Y24" i="28"/>
  <c r="Z24" i="28" s="1"/>
  <c r="AA24" i="28" s="1"/>
  <c r="AF23" i="28"/>
  <c r="AG23" i="28" s="1"/>
  <c r="AF63" i="28"/>
  <c r="AG63" i="28" s="1"/>
  <c r="Y64" i="28"/>
  <c r="Y77" i="28"/>
  <c r="AF76" i="28"/>
  <c r="AG76" i="28" s="1"/>
  <c r="Y12" i="28"/>
  <c r="Z12" i="28" s="1"/>
  <c r="AA12" i="28" s="1"/>
  <c r="AF11" i="28"/>
  <c r="AG11" i="28" s="1"/>
  <c r="Y39" i="28"/>
  <c r="AF38" i="28"/>
  <c r="AG38" i="28" s="1"/>
  <c r="Y51" i="28"/>
  <c r="AF50" i="28"/>
  <c r="AG50" i="28" s="1"/>
  <c r="Y116" i="28"/>
  <c r="AA115" i="28"/>
  <c r="AF115" i="28" s="1"/>
  <c r="AG115" i="28" s="1"/>
  <c r="Y104" i="28"/>
  <c r="AF103" i="28"/>
  <c r="AG103" i="28" s="1"/>
  <c r="N24" i="28"/>
  <c r="O24" i="28" s="1"/>
  <c r="P24" i="28" s="1"/>
  <c r="U23" i="28"/>
  <c r="V23" i="28" s="1"/>
  <c r="O114" i="28"/>
  <c r="P114" i="28" s="1"/>
  <c r="U114" i="28" s="1"/>
  <c r="V114" i="28" s="1"/>
  <c r="N115" i="28"/>
  <c r="U102" i="28"/>
  <c r="V102" i="28" s="1"/>
  <c r="N103" i="28"/>
  <c r="U75" i="28"/>
  <c r="V75" i="28" s="1"/>
  <c r="N76" i="28"/>
  <c r="N12" i="28"/>
  <c r="O12" i="28" s="1"/>
  <c r="P12" i="28" s="1"/>
  <c r="U11" i="28"/>
  <c r="V11" i="28" s="1"/>
  <c r="N51" i="28"/>
  <c r="U50" i="28"/>
  <c r="V50" i="28" s="1"/>
  <c r="C50" i="28"/>
  <c r="K49" i="28"/>
  <c r="K10" i="28"/>
  <c r="C11" i="28"/>
  <c r="C77" i="28"/>
  <c r="K101" i="28"/>
  <c r="C102" i="28"/>
  <c r="C116" i="28"/>
  <c r="J115" i="28"/>
  <c r="K115" i="28" s="1"/>
  <c r="C25" i="28"/>
  <c r="K63" i="28"/>
  <c r="C64" i="28"/>
  <c r="K38" i="28"/>
  <c r="C39" i="28"/>
  <c r="K37" i="28" l="1"/>
  <c r="D50" i="28"/>
  <c r="E50" i="28" s="1"/>
  <c r="J50" i="28" s="1"/>
  <c r="D102" i="28"/>
  <c r="E102" i="28" s="1"/>
  <c r="J102" i="28" s="1"/>
  <c r="D77" i="28"/>
  <c r="E77" i="28" s="1"/>
  <c r="J77" i="28" s="1"/>
  <c r="D39" i="28"/>
  <c r="E39" i="28" s="1"/>
  <c r="J39" i="28" s="1"/>
  <c r="K39" i="28" s="1"/>
  <c r="D64" i="28"/>
  <c r="E64" i="28" s="1"/>
  <c r="J64" i="28" s="1"/>
  <c r="D11" i="28"/>
  <c r="E11" i="28" s="1"/>
  <c r="J11" i="28" s="1"/>
  <c r="K11" i="28" s="1"/>
  <c r="D25" i="28"/>
  <c r="E25" i="28" s="1"/>
  <c r="J25" i="28" s="1"/>
  <c r="K25" i="28" s="1"/>
  <c r="U63" i="28"/>
  <c r="V63" i="28" s="1"/>
  <c r="N64" i="28"/>
  <c r="U37" i="28"/>
  <c r="V37" i="28" s="1"/>
  <c r="N38" i="28"/>
  <c r="Y105" i="28"/>
  <c r="AF104" i="28"/>
  <c r="AG104" i="28" s="1"/>
  <c r="AF12" i="28"/>
  <c r="AG12" i="28" s="1"/>
  <c r="Y13" i="28"/>
  <c r="Z13" i="28" s="1"/>
  <c r="AA13" i="28" s="1"/>
  <c r="AA116" i="28"/>
  <c r="AF116" i="28" s="1"/>
  <c r="AG116" i="28" s="1"/>
  <c r="Y117" i="28"/>
  <c r="Y78" i="28"/>
  <c r="AF77" i="28"/>
  <c r="AG77" i="28" s="1"/>
  <c r="AF64" i="28"/>
  <c r="AG64" i="28" s="1"/>
  <c r="Y65" i="28"/>
  <c r="AF51" i="28"/>
  <c r="AG51" i="28" s="1"/>
  <c r="Y52" i="28"/>
  <c r="AF39" i="28"/>
  <c r="AG39" i="28" s="1"/>
  <c r="Y40" i="28"/>
  <c r="AF24" i="28"/>
  <c r="AG24" i="28" s="1"/>
  <c r="Y25" i="28"/>
  <c r="Z25" i="28" s="1"/>
  <c r="AA25" i="28" s="1"/>
  <c r="N116" i="28"/>
  <c r="O115" i="28"/>
  <c r="P115" i="28" s="1"/>
  <c r="U115" i="28" s="1"/>
  <c r="V115" i="28" s="1"/>
  <c r="N104" i="28"/>
  <c r="U103" i="28"/>
  <c r="V103" i="28" s="1"/>
  <c r="U51" i="28"/>
  <c r="V51" i="28" s="1"/>
  <c r="N52" i="28"/>
  <c r="U12" i="28"/>
  <c r="V12" i="28" s="1"/>
  <c r="N13" i="28"/>
  <c r="O13" i="28" s="1"/>
  <c r="P13" i="28" s="1"/>
  <c r="N77" i="28"/>
  <c r="U76" i="28"/>
  <c r="V76" i="28" s="1"/>
  <c r="U24" i="28"/>
  <c r="V24" i="28" s="1"/>
  <c r="N25" i="28"/>
  <c r="O25" i="28" s="1"/>
  <c r="P25" i="28" s="1"/>
  <c r="C51" i="28"/>
  <c r="K102" i="28"/>
  <c r="C103" i="28"/>
  <c r="K64" i="28"/>
  <c r="C65" i="28"/>
  <c r="C78" i="28"/>
  <c r="K77" i="28"/>
  <c r="C40" i="28"/>
  <c r="C12" i="28"/>
  <c r="C26" i="28"/>
  <c r="J116" i="28"/>
  <c r="K116" i="28" s="1"/>
  <c r="C117" i="28"/>
  <c r="K50" i="28" l="1"/>
  <c r="D40" i="28"/>
  <c r="E40" i="28" s="1"/>
  <c r="J40" i="28" s="1"/>
  <c r="D78" i="28"/>
  <c r="E78" i="28" s="1"/>
  <c r="J78" i="28" s="1"/>
  <c r="D26" i="28"/>
  <c r="E26" i="28" s="1"/>
  <c r="J26" i="28" s="1"/>
  <c r="K26" i="28" s="1"/>
  <c r="D65" i="28"/>
  <c r="E65" i="28" s="1"/>
  <c r="J65" i="28" s="1"/>
  <c r="D51" i="28"/>
  <c r="E51" i="28" s="1"/>
  <c r="J51" i="28" s="1"/>
  <c r="D12" i="28"/>
  <c r="E12" i="28" s="1"/>
  <c r="J12" i="28" s="1"/>
  <c r="K12" i="28" s="1"/>
  <c r="D103" i="28"/>
  <c r="E103" i="28" s="1"/>
  <c r="J103" i="28" s="1"/>
  <c r="U64" i="28"/>
  <c r="V64" i="28" s="1"/>
  <c r="N65" i="28"/>
  <c r="N39" i="28"/>
  <c r="U38" i="28"/>
  <c r="V38" i="28" s="1"/>
  <c r="AF25" i="28"/>
  <c r="AG25" i="28" s="1"/>
  <c r="Y26" i="28"/>
  <c r="Z26" i="28" s="1"/>
  <c r="AA26" i="28" s="1"/>
  <c r="Y53" i="28"/>
  <c r="AF52" i="28"/>
  <c r="AG52" i="28" s="1"/>
  <c r="AF13" i="28"/>
  <c r="AG13" i="28" s="1"/>
  <c r="Y14" i="28"/>
  <c r="Z14" i="28" s="1"/>
  <c r="AA14" i="28" s="1"/>
  <c r="AF40" i="28"/>
  <c r="AG40" i="28" s="1"/>
  <c r="Y41" i="28"/>
  <c r="AA117" i="28"/>
  <c r="AF117" i="28" s="1"/>
  <c r="AG117" i="28" s="1"/>
  <c r="Y118" i="28"/>
  <c r="AF78" i="28"/>
  <c r="AG78" i="28" s="1"/>
  <c r="Y79" i="28"/>
  <c r="AF65" i="28"/>
  <c r="AG65" i="28" s="1"/>
  <c r="Y66" i="28"/>
  <c r="AF105" i="28"/>
  <c r="AG105" i="28" s="1"/>
  <c r="Y106" i="28"/>
  <c r="U25" i="28"/>
  <c r="V25" i="28" s="1"/>
  <c r="N26" i="28"/>
  <c r="O26" i="28" s="1"/>
  <c r="P26" i="28" s="1"/>
  <c r="U52" i="28"/>
  <c r="V52" i="28" s="1"/>
  <c r="N53" i="28"/>
  <c r="N78" i="28"/>
  <c r="U77" i="28"/>
  <c r="V77" i="28" s="1"/>
  <c r="N105" i="28"/>
  <c r="U104" i="28"/>
  <c r="V104" i="28" s="1"/>
  <c r="N14" i="28"/>
  <c r="O14" i="28" s="1"/>
  <c r="P14" i="28" s="1"/>
  <c r="U13" i="28"/>
  <c r="V13" i="28" s="1"/>
  <c r="O116" i="28"/>
  <c r="P116" i="28" s="1"/>
  <c r="U116" i="28" s="1"/>
  <c r="V116" i="28" s="1"/>
  <c r="N117" i="28"/>
  <c r="K51" i="28"/>
  <c r="C52" i="28"/>
  <c r="K40" i="28"/>
  <c r="C41" i="28"/>
  <c r="C104" i="28"/>
  <c r="K103" i="28"/>
  <c r="J117" i="28"/>
  <c r="K117" i="28" s="1"/>
  <c r="C118" i="28"/>
  <c r="C27" i="28"/>
  <c r="K78" i="28"/>
  <c r="C79" i="28"/>
  <c r="C13" i="28"/>
  <c r="C66" i="28"/>
  <c r="K65" i="28"/>
  <c r="D66" i="28" l="1"/>
  <c r="E66" i="28" s="1"/>
  <c r="J66" i="28" s="1"/>
  <c r="D13" i="28"/>
  <c r="E13" i="28" s="1"/>
  <c r="J13" i="28" s="1"/>
  <c r="D79" i="28"/>
  <c r="E79" i="28" s="1"/>
  <c r="J79" i="28" s="1"/>
  <c r="D41" i="28"/>
  <c r="E41" i="28" s="1"/>
  <c r="J41" i="28" s="1"/>
  <c r="D104" i="28"/>
  <c r="E104" i="28" s="1"/>
  <c r="J104" i="28" s="1"/>
  <c r="D52" i="28"/>
  <c r="E52" i="28" s="1"/>
  <c r="J52" i="28" s="1"/>
  <c r="D27" i="28"/>
  <c r="E27" i="28" s="1"/>
  <c r="J27" i="28" s="1"/>
  <c r="K27" i="28" s="1"/>
  <c r="N66" i="28"/>
  <c r="U65" i="28"/>
  <c r="V65" i="28" s="1"/>
  <c r="U39" i="28"/>
  <c r="V39" i="28" s="1"/>
  <c r="N40" i="28"/>
  <c r="AF106" i="28"/>
  <c r="AG106" i="28" s="1"/>
  <c r="Y107" i="28"/>
  <c r="AF41" i="28"/>
  <c r="AG41" i="28" s="1"/>
  <c r="Y42" i="28"/>
  <c r="AF14" i="28"/>
  <c r="AG14" i="28" s="1"/>
  <c r="Y15" i="28"/>
  <c r="Z15" i="28" s="1"/>
  <c r="AA15" i="28" s="1"/>
  <c r="AF66" i="28"/>
  <c r="AG66" i="28" s="1"/>
  <c r="Y67" i="28"/>
  <c r="AF79" i="28"/>
  <c r="AG79" i="28" s="1"/>
  <c r="Y80" i="28"/>
  <c r="Y54" i="28"/>
  <c r="AF53" i="28"/>
  <c r="AG53" i="28" s="1"/>
  <c r="AA118" i="28"/>
  <c r="AF118" i="28" s="1"/>
  <c r="AG118" i="28" s="1"/>
  <c r="Y119" i="28"/>
  <c r="Y27" i="28"/>
  <c r="Z27" i="28" s="1"/>
  <c r="AA27" i="28" s="1"/>
  <c r="AF26" i="28"/>
  <c r="AG26" i="28" s="1"/>
  <c r="U105" i="28"/>
  <c r="V105" i="28" s="1"/>
  <c r="N106" i="28"/>
  <c r="U78" i="28"/>
  <c r="V78" i="28" s="1"/>
  <c r="N79" i="28"/>
  <c r="N54" i="28"/>
  <c r="U53" i="28"/>
  <c r="V53" i="28" s="1"/>
  <c r="O117" i="28"/>
  <c r="P117" i="28" s="1"/>
  <c r="U117" i="28" s="1"/>
  <c r="V117" i="28" s="1"/>
  <c r="N118" i="28"/>
  <c r="N27" i="28"/>
  <c r="O27" i="28" s="1"/>
  <c r="P27" i="28" s="1"/>
  <c r="U26" i="28"/>
  <c r="V26" i="28" s="1"/>
  <c r="U14" i="28"/>
  <c r="V14" i="28" s="1"/>
  <c r="N15" i="28"/>
  <c r="O15" i="28" s="1"/>
  <c r="P15" i="28" s="1"/>
  <c r="K52" i="28"/>
  <c r="C53" i="28"/>
  <c r="C28" i="28"/>
  <c r="K66" i="28"/>
  <c r="C67" i="28"/>
  <c r="K13" i="28"/>
  <c r="C14" i="28"/>
  <c r="J118" i="28"/>
  <c r="K118" i="28" s="1"/>
  <c r="C119" i="28"/>
  <c r="C105" i="28"/>
  <c r="K104" i="28"/>
  <c r="K41" i="28"/>
  <c r="C42" i="28"/>
  <c r="K79" i="28"/>
  <c r="C80" i="28"/>
  <c r="D105" i="28" l="1"/>
  <c r="E105" i="28" s="1"/>
  <c r="J105" i="28" s="1"/>
  <c r="D28" i="28"/>
  <c r="E28" i="28" s="1"/>
  <c r="J28" i="28" s="1"/>
  <c r="D80" i="28"/>
  <c r="E80" i="28" s="1"/>
  <c r="J80" i="28" s="1"/>
  <c r="D14" i="28"/>
  <c r="E14" i="28" s="1"/>
  <c r="J14" i="28" s="1"/>
  <c r="K14" i="28" s="1"/>
  <c r="D42" i="28"/>
  <c r="E42" i="28" s="1"/>
  <c r="J42" i="28" s="1"/>
  <c r="D67" i="28"/>
  <c r="E67" i="28" s="1"/>
  <c r="J67" i="28" s="1"/>
  <c r="D53" i="28"/>
  <c r="E53" i="28" s="1"/>
  <c r="J53" i="28" s="1"/>
  <c r="U66" i="28"/>
  <c r="V66" i="28" s="1"/>
  <c r="N67" i="28"/>
  <c r="U40" i="28"/>
  <c r="V40" i="28" s="1"/>
  <c r="N41" i="28"/>
  <c r="Y120" i="28"/>
  <c r="AA119" i="28"/>
  <c r="AF119" i="28" s="1"/>
  <c r="AG119" i="28" s="1"/>
  <c r="Y16" i="28"/>
  <c r="Z16" i="28" s="1"/>
  <c r="AA16" i="28" s="1"/>
  <c r="AF15" i="28"/>
  <c r="AG15" i="28" s="1"/>
  <c r="Y43" i="28"/>
  <c r="AF42" i="28"/>
  <c r="AG42" i="28" s="1"/>
  <c r="Y55" i="28"/>
  <c r="AF54" i="28"/>
  <c r="AG54" i="28" s="1"/>
  <c r="AF67" i="28"/>
  <c r="AG67" i="28" s="1"/>
  <c r="Y68" i="28"/>
  <c r="Y81" i="28"/>
  <c r="AF80" i="28"/>
  <c r="AG80" i="28" s="1"/>
  <c r="Y108" i="28"/>
  <c r="AF107" i="28"/>
  <c r="AG107" i="28" s="1"/>
  <c r="Y28" i="28"/>
  <c r="Z28" i="28" s="1"/>
  <c r="AA28" i="28" s="1"/>
  <c r="AF27" i="28"/>
  <c r="AG27" i="28" s="1"/>
  <c r="N55" i="28"/>
  <c r="U54" i="28"/>
  <c r="V54" i="28" s="1"/>
  <c r="N28" i="28"/>
  <c r="O28" i="28" s="1"/>
  <c r="P28" i="28" s="1"/>
  <c r="U27" i="28"/>
  <c r="V27" i="28" s="1"/>
  <c r="U79" i="28"/>
  <c r="V79" i="28" s="1"/>
  <c r="N80" i="28"/>
  <c r="O118" i="28"/>
  <c r="P118" i="28" s="1"/>
  <c r="U118" i="28" s="1"/>
  <c r="V118" i="28" s="1"/>
  <c r="N119" i="28"/>
  <c r="U106" i="28"/>
  <c r="V106" i="28" s="1"/>
  <c r="N107" i="28"/>
  <c r="N16" i="28"/>
  <c r="O16" i="28" s="1"/>
  <c r="P16" i="28" s="1"/>
  <c r="U15" i="28"/>
  <c r="V15" i="28" s="1"/>
  <c r="K53" i="28"/>
  <c r="C54" i="28"/>
  <c r="C81" i="28"/>
  <c r="K80" i="28"/>
  <c r="K67" i="28"/>
  <c r="C68" i="28"/>
  <c r="K105" i="28"/>
  <c r="C106" i="28"/>
  <c r="C15" i="28"/>
  <c r="K42" i="28"/>
  <c r="C43" i="28"/>
  <c r="C120" i="28"/>
  <c r="J119" i="28"/>
  <c r="K119" i="28" s="1"/>
  <c r="C29" i="28"/>
  <c r="K28" i="28"/>
  <c r="D54" i="28" l="1"/>
  <c r="E54" i="28" s="1"/>
  <c r="J54" i="28" s="1"/>
  <c r="D81" i="28"/>
  <c r="E81" i="28" s="1"/>
  <c r="J81" i="28" s="1"/>
  <c r="D106" i="28"/>
  <c r="E106" i="28" s="1"/>
  <c r="J106" i="28" s="1"/>
  <c r="D29" i="28"/>
  <c r="E29" i="28" s="1"/>
  <c r="J29" i="28" s="1"/>
  <c r="D15" i="28"/>
  <c r="E15" i="28" s="1"/>
  <c r="J15" i="28" s="1"/>
  <c r="K15" i="28" s="1"/>
  <c r="D68" i="28"/>
  <c r="E68" i="28" s="1"/>
  <c r="J68" i="28" s="1"/>
  <c r="D43" i="28"/>
  <c r="E43" i="28" s="1"/>
  <c r="J43" i="28" s="1"/>
  <c r="K43" i="28" s="1"/>
  <c r="N68" i="28"/>
  <c r="U67" i="28"/>
  <c r="V67" i="28" s="1"/>
  <c r="U41" i="28"/>
  <c r="V41" i="28" s="1"/>
  <c r="N42" i="28"/>
  <c r="Y109" i="28"/>
  <c r="AF109" i="28" s="1"/>
  <c r="AG109" i="28" s="1"/>
  <c r="AF108" i="28"/>
  <c r="AG108" i="28" s="1"/>
  <c r="AF43" i="28"/>
  <c r="AG43" i="28" s="1"/>
  <c r="Y44" i="28"/>
  <c r="AF44" i="28" s="1"/>
  <c r="AG44" i="28" s="1"/>
  <c r="Y82" i="28"/>
  <c r="AF81" i="28"/>
  <c r="AG81" i="28" s="1"/>
  <c r="AF16" i="28"/>
  <c r="AG16" i="28" s="1"/>
  <c r="Y17" i="28"/>
  <c r="Z17" i="28" s="1"/>
  <c r="AA17" i="28" s="1"/>
  <c r="AF55" i="28"/>
  <c r="AG55" i="28" s="1"/>
  <c r="Y56" i="28"/>
  <c r="AF28" i="28"/>
  <c r="AG28" i="28" s="1"/>
  <c r="Y29" i="28"/>
  <c r="Z29" i="28" s="1"/>
  <c r="AA29" i="28" s="1"/>
  <c r="AF68" i="28"/>
  <c r="AG68" i="28" s="1"/>
  <c r="Y69" i="28"/>
  <c r="AA120" i="28"/>
  <c r="AF120" i="28" s="1"/>
  <c r="AG120" i="28" s="1"/>
  <c r="Y121" i="28"/>
  <c r="U16" i="28"/>
  <c r="V16" i="28" s="1"/>
  <c r="N17" i="28"/>
  <c r="O17" i="28" s="1"/>
  <c r="P17" i="28" s="1"/>
  <c r="U28" i="28"/>
  <c r="V28" i="28" s="1"/>
  <c r="N29" i="28"/>
  <c r="O29" i="28" s="1"/>
  <c r="P29" i="28" s="1"/>
  <c r="U55" i="28"/>
  <c r="V55" i="28" s="1"/>
  <c r="N56" i="28"/>
  <c r="N108" i="28"/>
  <c r="U107" i="28"/>
  <c r="V107" i="28" s="1"/>
  <c r="N120" i="28"/>
  <c r="O119" i="28"/>
  <c r="P119" i="28" s="1"/>
  <c r="U119" i="28" s="1"/>
  <c r="V119" i="28" s="1"/>
  <c r="N81" i="28"/>
  <c r="U80" i="28"/>
  <c r="V80" i="28" s="1"/>
  <c r="C55" i="28"/>
  <c r="K54" i="28"/>
  <c r="C16" i="28"/>
  <c r="C107" i="28"/>
  <c r="C44" i="28"/>
  <c r="C30" i="28"/>
  <c r="J120" i="28"/>
  <c r="K120" i="28" s="1"/>
  <c r="C121" i="28"/>
  <c r="K68" i="28"/>
  <c r="C69" i="28"/>
  <c r="C82" i="28"/>
  <c r="K81" i="28"/>
  <c r="K106" i="28" l="1"/>
  <c r="D107" i="28"/>
  <c r="E107" i="28" s="1"/>
  <c r="J107" i="28" s="1"/>
  <c r="D82" i="28"/>
  <c r="E82" i="28" s="1"/>
  <c r="J82" i="28" s="1"/>
  <c r="D69" i="28"/>
  <c r="E69" i="28" s="1"/>
  <c r="J69" i="28" s="1"/>
  <c r="D30" i="28"/>
  <c r="E30" i="28" s="1"/>
  <c r="J30" i="28" s="1"/>
  <c r="K30" i="28" s="1"/>
  <c r="D16" i="28"/>
  <c r="E16" i="28" s="1"/>
  <c r="J16" i="28" s="1"/>
  <c r="K16" i="28" s="1"/>
  <c r="K29" i="28"/>
  <c r="D55" i="28"/>
  <c r="E55" i="28" s="1"/>
  <c r="J55" i="28" s="1"/>
  <c r="N69" i="28"/>
  <c r="U68" i="28"/>
  <c r="V68" i="28" s="1"/>
  <c r="D44" i="28"/>
  <c r="E44" i="28" s="1"/>
  <c r="J44" i="28" s="1"/>
  <c r="N43" i="28"/>
  <c r="U42" i="28"/>
  <c r="V42" i="28" s="1"/>
  <c r="AF82" i="28"/>
  <c r="AG82" i="28" s="1"/>
  <c r="Y83" i="28"/>
  <c r="AF83" i="28" s="1"/>
  <c r="AG83" i="28" s="1"/>
  <c r="AA121" i="28"/>
  <c r="AF121" i="28" s="1"/>
  <c r="AG121" i="28" s="1"/>
  <c r="Y122" i="28"/>
  <c r="AA122" i="28" s="1"/>
  <c r="AF122" i="28" s="1"/>
  <c r="AG122" i="28" s="1"/>
  <c r="AF17" i="28"/>
  <c r="AG17" i="28" s="1"/>
  <c r="Y18" i="28"/>
  <c r="AF69" i="28"/>
  <c r="AG69" i="28" s="1"/>
  <c r="Y70" i="28"/>
  <c r="AF70" i="28" s="1"/>
  <c r="AG70" i="28" s="1"/>
  <c r="AF29" i="28"/>
  <c r="AG29" i="28" s="1"/>
  <c r="Y30" i="28"/>
  <c r="Z30" i="28" s="1"/>
  <c r="AA30" i="28" s="1"/>
  <c r="Y57" i="28"/>
  <c r="AF57" i="28" s="1"/>
  <c r="AG57" i="28" s="1"/>
  <c r="AF56" i="28"/>
  <c r="AG56" i="28" s="1"/>
  <c r="U56" i="28"/>
  <c r="V56" i="28" s="1"/>
  <c r="N57" i="28"/>
  <c r="U57" i="28" s="1"/>
  <c r="V57" i="28" s="1"/>
  <c r="N82" i="28"/>
  <c r="U81" i="28"/>
  <c r="V81" i="28" s="1"/>
  <c r="U29" i="28"/>
  <c r="V29" i="28" s="1"/>
  <c r="N30" i="28"/>
  <c r="O30" i="28" s="1"/>
  <c r="P30" i="28" s="1"/>
  <c r="N109" i="28"/>
  <c r="U109" i="28" s="1"/>
  <c r="V109" i="28" s="1"/>
  <c r="U108" i="28"/>
  <c r="V108" i="28" s="1"/>
  <c r="O120" i="28"/>
  <c r="P120" i="28" s="1"/>
  <c r="U120" i="28" s="1"/>
  <c r="V120" i="28" s="1"/>
  <c r="N121" i="28"/>
  <c r="U17" i="28"/>
  <c r="V17" i="28" s="1"/>
  <c r="N18" i="28"/>
  <c r="K55" i="28"/>
  <c r="C56" i="28"/>
  <c r="C31" i="28"/>
  <c r="K82" i="28"/>
  <c r="C83" i="28"/>
  <c r="J121" i="28"/>
  <c r="K121" i="28" s="1"/>
  <c r="C122" i="28"/>
  <c r="C17" i="28"/>
  <c r="C70" i="28"/>
  <c r="K69" i="28"/>
  <c r="C108" i="28"/>
  <c r="K107" i="28"/>
  <c r="O18" i="28" l="1"/>
  <c r="P18" i="28" s="1"/>
  <c r="U18" i="28" s="1"/>
  <c r="V18" i="28" s="1"/>
  <c r="Z18" i="28"/>
  <c r="AA18" i="28" s="1"/>
  <c r="AF18" i="28" s="1"/>
  <c r="AG18" i="28" s="1"/>
  <c r="D17" i="28"/>
  <c r="E17" i="28" s="1"/>
  <c r="J17" i="28" s="1"/>
  <c r="K17" i="28" s="1"/>
  <c r="D56" i="28"/>
  <c r="E56" i="28" s="1"/>
  <c r="J56" i="28" s="1"/>
  <c r="J122" i="28"/>
  <c r="K122" i="28" s="1"/>
  <c r="D108" i="28"/>
  <c r="E108" i="28" s="1"/>
  <c r="J108" i="28" s="1"/>
  <c r="K108" i="28" s="1"/>
  <c r="D83" i="28"/>
  <c r="E83" i="28" s="1"/>
  <c r="J83" i="28" s="1"/>
  <c r="D70" i="28"/>
  <c r="E70" i="28" s="1"/>
  <c r="J70" i="28" s="1"/>
  <c r="D31" i="28"/>
  <c r="E31" i="28" s="1"/>
  <c r="J31" i="28" s="1"/>
  <c r="U69" i="28"/>
  <c r="V69" i="28" s="1"/>
  <c r="N70" i="28"/>
  <c r="U70" i="28" s="1"/>
  <c r="V70" i="28" s="1"/>
  <c r="K44" i="28"/>
  <c r="U43" i="28"/>
  <c r="V43" i="28" s="1"/>
  <c r="N44" i="28"/>
  <c r="U44" i="28" s="1"/>
  <c r="V44" i="28" s="1"/>
  <c r="Y31" i="28"/>
  <c r="AF30" i="28"/>
  <c r="AG30" i="28" s="1"/>
  <c r="N31" i="28"/>
  <c r="U30" i="28"/>
  <c r="V30" i="28" s="1"/>
  <c r="U82" i="28"/>
  <c r="V82" i="28" s="1"/>
  <c r="N83" i="28"/>
  <c r="U83" i="28" s="1"/>
  <c r="V83" i="28" s="1"/>
  <c r="O121" i="28"/>
  <c r="P121" i="28" s="1"/>
  <c r="U121" i="28" s="1"/>
  <c r="V121" i="28" s="1"/>
  <c r="N122" i="28"/>
  <c r="O122" i="28" s="1"/>
  <c r="P122" i="28" s="1"/>
  <c r="U122" i="28" s="1"/>
  <c r="V122" i="28" s="1"/>
  <c r="K56" i="28"/>
  <c r="C57" i="28"/>
  <c r="C18" i="28"/>
  <c r="C109" i="28"/>
  <c r="O31" i="28" l="1"/>
  <c r="P31" i="28" s="1"/>
  <c r="U31" i="28" s="1"/>
  <c r="V31" i="28" s="1"/>
  <c r="Z31" i="28"/>
  <c r="AA31" i="28" s="1"/>
  <c r="AF31" i="28" s="1"/>
  <c r="AG31" i="28" s="1"/>
  <c r="K31" i="28"/>
  <c r="D18" i="28"/>
  <c r="E18" i="28" s="1"/>
  <c r="J18" i="28" s="1"/>
  <c r="K70" i="28"/>
  <c r="D109" i="28"/>
  <c r="E109" i="28" s="1"/>
  <c r="J109" i="28" s="1"/>
  <c r="D57" i="28"/>
  <c r="E57" i="28" s="1"/>
  <c r="J57" i="28" s="1"/>
  <c r="K83" i="28"/>
  <c r="P77" i="26"/>
  <c r="E77" i="26"/>
  <c r="F77" i="26"/>
  <c r="P53" i="26"/>
  <c r="F53" i="26"/>
  <c r="E53" i="26"/>
  <c r="H29" i="26"/>
  <c r="F29" i="26"/>
  <c r="F82" i="26"/>
  <c r="F83" i="26"/>
  <c r="F84" i="26"/>
  <c r="F85" i="26"/>
  <c r="F86" i="26"/>
  <c r="F87" i="26"/>
  <c r="F88" i="26"/>
  <c r="F89" i="26"/>
  <c r="F90" i="26"/>
  <c r="F91" i="26"/>
  <c r="F92" i="26"/>
  <c r="F93" i="26"/>
  <c r="F94" i="26"/>
  <c r="F95" i="26"/>
  <c r="F96" i="26"/>
  <c r="F97" i="26"/>
  <c r="F81" i="26"/>
  <c r="F80" i="26"/>
  <c r="F79" i="26"/>
  <c r="E82" i="26"/>
  <c r="E83" i="26"/>
  <c r="E84" i="26"/>
  <c r="E85" i="26"/>
  <c r="E86" i="26"/>
  <c r="E87" i="26"/>
  <c r="E88" i="26"/>
  <c r="E89" i="26"/>
  <c r="E90" i="26"/>
  <c r="E91" i="26"/>
  <c r="E92" i="26"/>
  <c r="E93" i="26"/>
  <c r="E94" i="26"/>
  <c r="E95" i="26"/>
  <c r="E96" i="26"/>
  <c r="E97" i="26"/>
  <c r="E81" i="26"/>
  <c r="E80" i="26"/>
  <c r="E79" i="26"/>
  <c r="D82" i="26"/>
  <c r="D83" i="26"/>
  <c r="D84" i="26"/>
  <c r="D85" i="26"/>
  <c r="D86" i="26"/>
  <c r="D87" i="26"/>
  <c r="D88" i="26"/>
  <c r="D89" i="26"/>
  <c r="D90" i="26"/>
  <c r="D91" i="26"/>
  <c r="D92" i="26"/>
  <c r="D93" i="26"/>
  <c r="D94" i="26"/>
  <c r="D95" i="26"/>
  <c r="D96" i="26"/>
  <c r="D97" i="26"/>
  <c r="D81" i="26"/>
  <c r="D80" i="26"/>
  <c r="D79" i="26"/>
  <c r="I97" i="26"/>
  <c r="I96" i="26"/>
  <c r="I95" i="26"/>
  <c r="I94" i="26"/>
  <c r="I93" i="26"/>
  <c r="I92" i="26"/>
  <c r="I91" i="26"/>
  <c r="I90" i="26"/>
  <c r="I89" i="26"/>
  <c r="I88" i="26"/>
  <c r="I87" i="26"/>
  <c r="I86" i="26"/>
  <c r="I85" i="26"/>
  <c r="I84" i="26"/>
  <c r="I83" i="26"/>
  <c r="I82" i="26"/>
  <c r="I81" i="26"/>
  <c r="O80" i="26"/>
  <c r="O81" i="26" s="1"/>
  <c r="O82" i="26" s="1"/>
  <c r="O83" i="26" s="1"/>
  <c r="O84" i="26" s="1"/>
  <c r="O85" i="26" s="1"/>
  <c r="O86" i="26" s="1"/>
  <c r="O87" i="26" s="1"/>
  <c r="O88" i="26" s="1"/>
  <c r="O89" i="26" s="1"/>
  <c r="O90" i="26" s="1"/>
  <c r="O91" i="26" s="1"/>
  <c r="O92" i="26" s="1"/>
  <c r="O93" i="26" s="1"/>
  <c r="O94" i="26" s="1"/>
  <c r="O95" i="26" s="1"/>
  <c r="O96" i="26" s="1"/>
  <c r="O97" i="26" s="1"/>
  <c r="I80" i="26"/>
  <c r="I79" i="26"/>
  <c r="I72" i="26"/>
  <c r="I73" i="26"/>
  <c r="I71" i="26"/>
  <c r="I70" i="26"/>
  <c r="I56" i="26"/>
  <c r="I57" i="26"/>
  <c r="I58" i="26"/>
  <c r="I59" i="26"/>
  <c r="I60" i="26"/>
  <c r="I61" i="26"/>
  <c r="I62" i="26"/>
  <c r="I63" i="26"/>
  <c r="I64" i="26"/>
  <c r="I65" i="26"/>
  <c r="I66" i="26"/>
  <c r="I67" i="26"/>
  <c r="I68" i="26"/>
  <c r="I69" i="26"/>
  <c r="I55" i="26"/>
  <c r="F73" i="26"/>
  <c r="F72" i="26"/>
  <c r="F71" i="26"/>
  <c r="F70" i="26"/>
  <c r="F69" i="26"/>
  <c r="F68" i="26"/>
  <c r="F67" i="26"/>
  <c r="F66" i="26"/>
  <c r="F65" i="26"/>
  <c r="F64" i="26"/>
  <c r="F63" i="26"/>
  <c r="F62" i="26"/>
  <c r="F61" i="26"/>
  <c r="F60" i="26"/>
  <c r="F59" i="26"/>
  <c r="F58" i="26"/>
  <c r="F57" i="26"/>
  <c r="F56" i="26"/>
  <c r="F55" i="26"/>
  <c r="E73" i="26"/>
  <c r="E72" i="26"/>
  <c r="E71" i="26"/>
  <c r="E70" i="26"/>
  <c r="E69" i="26"/>
  <c r="E68" i="26"/>
  <c r="E67" i="26"/>
  <c r="E66" i="26"/>
  <c r="E65" i="26"/>
  <c r="E64" i="26"/>
  <c r="E63" i="26"/>
  <c r="E62" i="26"/>
  <c r="E61" i="26"/>
  <c r="E60" i="26"/>
  <c r="E59" i="26"/>
  <c r="E58" i="26"/>
  <c r="E57" i="26"/>
  <c r="E56" i="26"/>
  <c r="E55" i="26"/>
  <c r="D73" i="26"/>
  <c r="D72" i="26"/>
  <c r="D71" i="26"/>
  <c r="D70" i="26"/>
  <c r="D69" i="26"/>
  <c r="D68" i="26"/>
  <c r="D67" i="26"/>
  <c r="D66" i="26"/>
  <c r="D65" i="26"/>
  <c r="D64" i="26"/>
  <c r="D63" i="26"/>
  <c r="D62" i="26"/>
  <c r="D61" i="26"/>
  <c r="D60" i="26"/>
  <c r="D59" i="26"/>
  <c r="D58" i="26"/>
  <c r="D57" i="26"/>
  <c r="D56" i="26"/>
  <c r="D55" i="26"/>
  <c r="O56" i="26"/>
  <c r="O57" i="26" s="1"/>
  <c r="O58" i="26" s="1"/>
  <c r="O59" i="26" s="1"/>
  <c r="O60" i="26" s="1"/>
  <c r="O61" i="26" s="1"/>
  <c r="O62" i="26" s="1"/>
  <c r="O63" i="26" s="1"/>
  <c r="O64" i="26" s="1"/>
  <c r="O65" i="26" s="1"/>
  <c r="O66" i="26" s="1"/>
  <c r="O67" i="26" s="1"/>
  <c r="O68" i="26" s="1"/>
  <c r="O69" i="26" s="1"/>
  <c r="O70" i="26" s="1"/>
  <c r="O71" i="26" s="1"/>
  <c r="O72" i="26" s="1"/>
  <c r="O73" i="26" s="1"/>
  <c r="K64" i="26" l="1"/>
  <c r="L64" i="26" s="1"/>
  <c r="M64" i="26" s="1"/>
  <c r="P64" i="26" s="1"/>
  <c r="K57" i="28"/>
  <c r="K109" i="28"/>
  <c r="K18" i="28"/>
  <c r="K55" i="26"/>
  <c r="L55" i="26" s="1"/>
  <c r="R55" i="26" s="1"/>
  <c r="S55" i="26" s="1"/>
  <c r="K93" i="26"/>
  <c r="L93" i="26" s="1"/>
  <c r="M93" i="26" s="1"/>
  <c r="P93" i="26" s="1"/>
  <c r="K95" i="26"/>
  <c r="L95" i="26" s="1"/>
  <c r="M95" i="26" s="1"/>
  <c r="P95" i="26" s="1"/>
  <c r="K80" i="26"/>
  <c r="L80" i="26" s="1"/>
  <c r="K94" i="26"/>
  <c r="L94" i="26" s="1"/>
  <c r="M94" i="26" s="1"/>
  <c r="P94" i="26" s="1"/>
  <c r="K83" i="26"/>
  <c r="L83" i="26" s="1"/>
  <c r="M83" i="26" s="1"/>
  <c r="K91" i="26"/>
  <c r="L91" i="26" s="1"/>
  <c r="M91" i="26" s="1"/>
  <c r="P91" i="26" s="1"/>
  <c r="K56" i="26"/>
  <c r="L56" i="26" s="1"/>
  <c r="M56" i="26" s="1"/>
  <c r="K97" i="26"/>
  <c r="L97" i="26" s="1"/>
  <c r="M97" i="26" s="1"/>
  <c r="P97" i="26" s="1"/>
  <c r="K84" i="26"/>
  <c r="L84" i="26" s="1"/>
  <c r="M84" i="26" s="1"/>
  <c r="K69" i="26"/>
  <c r="L69" i="26" s="1"/>
  <c r="M69" i="26" s="1"/>
  <c r="P69" i="26" s="1"/>
  <c r="K57" i="26"/>
  <c r="L57" i="26" s="1"/>
  <c r="M57" i="26" s="1"/>
  <c r="K63" i="26"/>
  <c r="L63" i="26" s="1"/>
  <c r="M63" i="26" s="1"/>
  <c r="P63" i="26" s="1"/>
  <c r="K90" i="26"/>
  <c r="L90" i="26" s="1"/>
  <c r="M90" i="26" s="1"/>
  <c r="P90" i="26" s="1"/>
  <c r="K86" i="26"/>
  <c r="L86" i="26" s="1"/>
  <c r="M86" i="26" s="1"/>
  <c r="P86" i="26" s="1"/>
  <c r="K58" i="26"/>
  <c r="L58" i="26" s="1"/>
  <c r="M58" i="26" s="1"/>
  <c r="K66" i="26"/>
  <c r="L66" i="26" s="1"/>
  <c r="M66" i="26" s="1"/>
  <c r="P66" i="26" s="1"/>
  <c r="K92" i="26"/>
  <c r="L92" i="26" s="1"/>
  <c r="M92" i="26" s="1"/>
  <c r="P92" i="26" s="1"/>
  <c r="K87" i="26"/>
  <c r="L87" i="26" s="1"/>
  <c r="M87" i="26" s="1"/>
  <c r="P87" i="26" s="1"/>
  <c r="K65" i="26"/>
  <c r="L65" i="26" s="1"/>
  <c r="M65" i="26" s="1"/>
  <c r="P65" i="26" s="1"/>
  <c r="K59" i="26"/>
  <c r="L59" i="26" s="1"/>
  <c r="M59" i="26" s="1"/>
  <c r="P59" i="26" s="1"/>
  <c r="K67" i="26"/>
  <c r="L67" i="26" s="1"/>
  <c r="M67" i="26" s="1"/>
  <c r="P67" i="26" s="1"/>
  <c r="K79" i="26"/>
  <c r="L79" i="26" s="1"/>
  <c r="R79" i="26" s="1"/>
  <c r="S79" i="26" s="1"/>
  <c r="K70" i="26"/>
  <c r="L70" i="26" s="1"/>
  <c r="M70" i="26" s="1"/>
  <c r="P70" i="26" s="1"/>
  <c r="K88" i="26"/>
  <c r="L88" i="26" s="1"/>
  <c r="M88" i="26" s="1"/>
  <c r="P88" i="26" s="1"/>
  <c r="K81" i="26"/>
  <c r="L81" i="26" s="1"/>
  <c r="M81" i="26" s="1"/>
  <c r="K96" i="26"/>
  <c r="L96" i="26" s="1"/>
  <c r="M96" i="26" s="1"/>
  <c r="K85" i="26"/>
  <c r="L85" i="26" s="1"/>
  <c r="K89" i="26"/>
  <c r="L89" i="26" s="1"/>
  <c r="M89" i="26" s="1"/>
  <c r="P89" i="26" s="1"/>
  <c r="K82" i="26"/>
  <c r="L82" i="26" s="1"/>
  <c r="M82" i="26" s="1"/>
  <c r="K72" i="26"/>
  <c r="L72" i="26" s="1"/>
  <c r="M72" i="26" s="1"/>
  <c r="P72" i="26" s="1"/>
  <c r="K73" i="26"/>
  <c r="L73" i="26" s="1"/>
  <c r="M73" i="26" s="1"/>
  <c r="P73" i="26" s="1"/>
  <c r="K71" i="26"/>
  <c r="L71" i="26" s="1"/>
  <c r="M71" i="26" s="1"/>
  <c r="P71" i="26" s="1"/>
  <c r="K60" i="26"/>
  <c r="L60" i="26" s="1"/>
  <c r="M60" i="26" s="1"/>
  <c r="P60" i="26" s="1"/>
  <c r="K68" i="26"/>
  <c r="L68" i="26" s="1"/>
  <c r="M68" i="26" s="1"/>
  <c r="P68" i="26" s="1"/>
  <c r="K61" i="26"/>
  <c r="L61" i="26" s="1"/>
  <c r="M61" i="26" s="1"/>
  <c r="P61" i="26" s="1"/>
  <c r="K62" i="26"/>
  <c r="L62" i="26" s="1"/>
  <c r="M62" i="26" s="1"/>
  <c r="P62" i="26" s="1"/>
  <c r="M55" i="26" l="1"/>
  <c r="P55" i="26" s="1"/>
  <c r="Q56" i="26" s="1"/>
  <c r="R56" i="26" s="1"/>
  <c r="S56" i="26" s="1"/>
  <c r="P81" i="26"/>
  <c r="P57" i="26"/>
  <c r="M80" i="26"/>
  <c r="P80" i="26" s="1"/>
  <c r="P84" i="26"/>
  <c r="P83" i="26"/>
  <c r="M85" i="26"/>
  <c r="P85" i="26" s="1"/>
  <c r="P56" i="26"/>
  <c r="P58" i="26"/>
  <c r="M79" i="26"/>
  <c r="P79" i="26" s="1"/>
  <c r="Q80" i="26" s="1"/>
  <c r="P96" i="26"/>
  <c r="P82" i="26"/>
  <c r="Q81" i="26" l="1"/>
  <c r="Q82" i="26" s="1"/>
  <c r="R82" i="26" s="1"/>
  <c r="Q57" i="26"/>
  <c r="R57" i="26" s="1"/>
  <c r="S57" i="26" s="1"/>
  <c r="R80" i="26"/>
  <c r="S80" i="26" s="1"/>
  <c r="Q83" i="26" l="1"/>
  <c r="R83" i="26" s="1"/>
  <c r="R81" i="26"/>
  <c r="S81" i="26" s="1"/>
  <c r="S82" i="26" s="1"/>
  <c r="Q58" i="26"/>
  <c r="Q59" i="26" s="1"/>
  <c r="Q60" i="26" s="1"/>
  <c r="Q84" i="26" l="1"/>
  <c r="Q85" i="26" s="1"/>
  <c r="R59" i="26"/>
  <c r="R58" i="26"/>
  <c r="S58" i="26" s="1"/>
  <c r="S83" i="26"/>
  <c r="Q61" i="26"/>
  <c r="R60" i="26"/>
  <c r="R84" i="26" l="1"/>
  <c r="S84" i="26" s="1"/>
  <c r="S59" i="26"/>
  <c r="S60" i="26" s="1"/>
  <c r="Q86" i="26"/>
  <c r="R85" i="26"/>
  <c r="Q62" i="26"/>
  <c r="R61" i="26"/>
  <c r="S85" i="26" l="1"/>
  <c r="Q87" i="26"/>
  <c r="R86" i="26"/>
  <c r="S61" i="26"/>
  <c r="Q63" i="26"/>
  <c r="R62" i="26"/>
  <c r="S86" i="26" l="1"/>
  <c r="Q88" i="26"/>
  <c r="R87" i="26"/>
  <c r="S62" i="26"/>
  <c r="Q64" i="26"/>
  <c r="R63" i="26"/>
  <c r="Q89" i="26" l="1"/>
  <c r="R88" i="26"/>
  <c r="S87" i="26"/>
  <c r="S63" i="26"/>
  <c r="Q65" i="26"/>
  <c r="R64" i="26"/>
  <c r="S88" i="26" l="1"/>
  <c r="Q90" i="26"/>
  <c r="R89" i="26"/>
  <c r="S64" i="26"/>
  <c r="Q66" i="26"/>
  <c r="R65" i="26"/>
  <c r="S89" i="26" l="1"/>
  <c r="Q91" i="26"/>
  <c r="R90" i="26"/>
  <c r="S65" i="26"/>
  <c r="Q67" i="26"/>
  <c r="R66" i="26"/>
  <c r="S90" i="26" l="1"/>
  <c r="Q92" i="26"/>
  <c r="R91" i="26"/>
  <c r="S66" i="26"/>
  <c r="Q68" i="26"/>
  <c r="R67" i="26"/>
  <c r="S91" i="26" l="1"/>
  <c r="Q93" i="26"/>
  <c r="R92" i="26"/>
  <c r="S67" i="26"/>
  <c r="Q69" i="26"/>
  <c r="R68" i="26"/>
  <c r="S92" i="26" l="1"/>
  <c r="Q94" i="26"/>
  <c r="R93" i="26"/>
  <c r="S68" i="26"/>
  <c r="Q70" i="26"/>
  <c r="R69" i="26"/>
  <c r="S93" i="26" l="1"/>
  <c r="Q95" i="26"/>
  <c r="R94" i="26"/>
  <c r="S69" i="26"/>
  <c r="Q71" i="26"/>
  <c r="R70" i="26"/>
  <c r="S94" i="26" l="1"/>
  <c r="X96" i="26"/>
  <c r="Q96" i="26"/>
  <c r="R95" i="26"/>
  <c r="S70" i="26"/>
  <c r="X72" i="26"/>
  <c r="Q72" i="26"/>
  <c r="R71" i="26"/>
  <c r="S95" i="26" l="1"/>
  <c r="Q97" i="26"/>
  <c r="R97" i="26" s="1"/>
  <c r="R96" i="26"/>
  <c r="S71" i="26"/>
  <c r="Q73" i="26"/>
  <c r="R73" i="26" s="1"/>
  <c r="R72" i="26"/>
  <c r="S96" i="26" l="1"/>
  <c r="S97" i="26" s="1"/>
  <c r="X95" i="26"/>
  <c r="M12" i="26" s="1"/>
  <c r="S72" i="26"/>
  <c r="S73" i="26" s="1"/>
  <c r="X71" i="26"/>
  <c r="L12" i="26" s="1"/>
  <c r="O13" i="1" l="1"/>
  <c r="O14" i="1"/>
  <c r="O15" i="1"/>
  <c r="O16" i="1"/>
  <c r="O17" i="1"/>
  <c r="O18" i="1"/>
  <c r="O19" i="1"/>
  <c r="O20" i="1"/>
  <c r="P13" i="1"/>
  <c r="P14" i="1"/>
  <c r="P15" i="1"/>
  <c r="P16" i="1"/>
  <c r="P17" i="1"/>
  <c r="P18" i="1"/>
  <c r="P19" i="1"/>
  <c r="P20" i="1"/>
  <c r="L13" i="1"/>
  <c r="L14" i="1"/>
  <c r="L15" i="1"/>
  <c r="L16" i="1"/>
  <c r="L17" i="1"/>
  <c r="L18" i="1"/>
  <c r="L19" i="1"/>
  <c r="L20" i="1"/>
  <c r="K13" i="1"/>
  <c r="K14" i="1"/>
  <c r="K15" i="1"/>
  <c r="K16" i="1"/>
  <c r="K17" i="1"/>
  <c r="K18" i="1"/>
  <c r="K19" i="1"/>
  <c r="K20" i="1"/>
  <c r="J13" i="1"/>
  <c r="J14" i="1"/>
  <c r="J15" i="1"/>
  <c r="J16" i="1"/>
  <c r="J17" i="1"/>
  <c r="J18" i="1"/>
  <c r="J19" i="1"/>
  <c r="J20" i="1"/>
  <c r="I13" i="1"/>
  <c r="I14" i="1"/>
  <c r="I15" i="1"/>
  <c r="I16" i="1"/>
  <c r="I17" i="1"/>
  <c r="I18" i="1"/>
  <c r="I19" i="1"/>
  <c r="I20" i="1"/>
  <c r="AD91" i="43" l="1"/>
  <c r="AD92" i="42"/>
  <c r="AD89" i="42"/>
  <c r="AD93" i="42"/>
  <c r="AD96" i="42"/>
  <c r="AD93" i="43"/>
  <c r="AD94" i="43"/>
  <c r="AD91" i="42"/>
  <c r="AD95" i="43"/>
  <c r="AD95" i="42"/>
  <c r="AD89" i="43"/>
  <c r="AD90" i="43"/>
  <c r="AD90" i="42"/>
  <c r="AD92" i="43"/>
  <c r="AD96" i="43"/>
  <c r="AD94" i="42"/>
  <c r="AD78" i="43"/>
  <c r="AD79" i="43"/>
  <c r="AD76" i="42"/>
  <c r="AD80" i="42"/>
  <c r="AD74" i="43"/>
  <c r="AD75" i="43"/>
  <c r="AD74" i="42"/>
  <c r="AD77" i="43"/>
  <c r="AD73" i="43"/>
  <c r="AD79" i="42"/>
  <c r="AD75" i="42"/>
  <c r="AD78" i="42"/>
  <c r="AD80" i="43"/>
  <c r="AD76" i="43"/>
  <c r="AD77" i="42"/>
  <c r="AD73" i="42"/>
  <c r="AD57" i="42"/>
  <c r="AD59" i="43"/>
  <c r="AD60" i="43"/>
  <c r="AD62" i="43"/>
  <c r="AD58" i="43"/>
  <c r="AD59" i="42"/>
  <c r="AD64" i="42"/>
  <c r="AD61" i="43"/>
  <c r="AD60" i="42"/>
  <c r="AD62" i="42"/>
  <c r="AD63" i="42"/>
  <c r="AD61" i="42"/>
  <c r="AD58" i="42"/>
  <c r="AD63" i="43"/>
  <c r="AD64" i="43"/>
  <c r="AD57" i="43"/>
  <c r="AD47" i="43"/>
  <c r="AD43" i="43"/>
  <c r="AD45" i="42"/>
  <c r="AD41" i="42"/>
  <c r="AD42" i="43"/>
  <c r="AD46" i="43"/>
  <c r="AD47" i="42"/>
  <c r="AD48" i="42"/>
  <c r="AD43" i="42"/>
  <c r="AD48" i="43"/>
  <c r="AD41" i="43"/>
  <c r="AD45" i="43"/>
  <c r="AD46" i="42"/>
  <c r="AD44" i="42"/>
  <c r="AD44" i="43"/>
  <c r="AD42" i="42"/>
  <c r="AD29" i="43"/>
  <c r="AD30" i="42"/>
  <c r="AD26" i="42"/>
  <c r="AD31" i="42"/>
  <c r="AD27" i="42"/>
  <c r="AD31" i="43"/>
  <c r="AD24" i="43"/>
  <c r="AD25" i="43"/>
  <c r="AD29" i="42"/>
  <c r="AD25" i="42"/>
  <c r="AD27" i="43"/>
  <c r="AD28" i="43"/>
  <c r="AD28" i="42"/>
  <c r="AD30" i="43"/>
  <c r="AD26" i="43"/>
  <c r="AD24" i="42"/>
  <c r="AD144" i="42"/>
  <c r="AD126" i="43"/>
  <c r="AD127" i="43"/>
  <c r="AD140" i="42"/>
  <c r="AD121" i="43"/>
  <c r="AD125" i="43"/>
  <c r="AD124" i="43"/>
  <c r="AD139" i="42"/>
  <c r="AD128" i="43"/>
  <c r="AD143" i="42"/>
  <c r="AD123" i="43"/>
  <c r="AD137" i="42"/>
  <c r="AD122" i="43"/>
  <c r="AD142" i="42"/>
  <c r="AD138" i="42"/>
  <c r="AD141" i="42"/>
  <c r="AD8" i="43"/>
  <c r="AD9" i="43"/>
  <c r="AD8" i="42"/>
  <c r="AD12" i="42"/>
  <c r="AD10" i="43"/>
  <c r="AD13" i="42"/>
  <c r="AD10" i="42"/>
  <c r="AD15" i="43"/>
  <c r="AD12" i="43"/>
  <c r="AD13" i="43"/>
  <c r="AD11" i="43"/>
  <c r="AD14" i="42"/>
  <c r="AD9" i="42"/>
  <c r="AD11" i="42"/>
  <c r="AD14" i="43"/>
  <c r="AD15" i="42"/>
  <c r="AD106" i="43"/>
  <c r="AD110" i="43"/>
  <c r="AD127" i="42"/>
  <c r="AD124" i="42"/>
  <c r="AD105" i="43"/>
  <c r="AD108" i="43"/>
  <c r="AD128" i="42"/>
  <c r="AD122" i="42"/>
  <c r="AD111" i="43"/>
  <c r="AD107" i="43"/>
  <c r="AD123" i="42"/>
  <c r="AD126" i="42"/>
  <c r="AD109" i="43"/>
  <c r="AD121" i="42"/>
  <c r="AD125" i="42"/>
  <c r="AD112" i="43"/>
  <c r="L128" i="42"/>
  <c r="L107" i="43"/>
  <c r="L124" i="42"/>
  <c r="L111" i="43"/>
  <c r="L108" i="43"/>
  <c r="L105" i="43"/>
  <c r="L121" i="42"/>
  <c r="L125" i="42"/>
  <c r="L112" i="43"/>
  <c r="L122" i="42"/>
  <c r="L126" i="42"/>
  <c r="L123" i="42"/>
  <c r="L110" i="43"/>
  <c r="L109" i="43"/>
  <c r="L127" i="42"/>
  <c r="L106" i="43"/>
  <c r="L92" i="42"/>
  <c r="L94" i="43"/>
  <c r="L90" i="43"/>
  <c r="L91" i="43"/>
  <c r="L96" i="43"/>
  <c r="L91" i="42"/>
  <c r="L89" i="43"/>
  <c r="L95" i="42"/>
  <c r="L96" i="42"/>
  <c r="L95" i="43"/>
  <c r="L92" i="43"/>
  <c r="L93" i="42"/>
  <c r="L93" i="43"/>
  <c r="L89" i="42"/>
  <c r="L90" i="42"/>
  <c r="L94" i="42"/>
  <c r="L77" i="43"/>
  <c r="L78" i="43"/>
  <c r="L76" i="42"/>
  <c r="L80" i="42"/>
  <c r="L78" i="42"/>
  <c r="L80" i="43"/>
  <c r="L79" i="43"/>
  <c r="L74" i="43"/>
  <c r="L74" i="42"/>
  <c r="L73" i="42"/>
  <c r="L75" i="42"/>
  <c r="L79" i="42"/>
  <c r="L75" i="43"/>
  <c r="L76" i="43"/>
  <c r="L73" i="43"/>
  <c r="L77" i="42"/>
  <c r="L61" i="43"/>
  <c r="L61" i="42"/>
  <c r="L57" i="42"/>
  <c r="L58" i="42"/>
  <c r="L63" i="42"/>
  <c r="L57" i="43"/>
  <c r="L64" i="43"/>
  <c r="L60" i="43"/>
  <c r="L59" i="42"/>
  <c r="L62" i="43"/>
  <c r="L58" i="43"/>
  <c r="L60" i="42"/>
  <c r="L64" i="42"/>
  <c r="L62" i="42"/>
  <c r="L63" i="43"/>
  <c r="L59" i="43"/>
  <c r="L46" i="42"/>
  <c r="L43" i="43"/>
  <c r="L42" i="42"/>
  <c r="L45" i="43"/>
  <c r="L43" i="42"/>
  <c r="L46" i="43"/>
  <c r="L42" i="43"/>
  <c r="L48" i="42"/>
  <c r="L44" i="42"/>
  <c r="L47" i="43"/>
  <c r="L47" i="42"/>
  <c r="L44" i="43"/>
  <c r="L45" i="42"/>
  <c r="L48" i="43"/>
  <c r="L41" i="42"/>
  <c r="L41" i="43"/>
  <c r="L30" i="43"/>
  <c r="L31" i="42"/>
  <c r="L30" i="42"/>
  <c r="L31" i="43"/>
  <c r="L27" i="43"/>
  <c r="L27" i="42"/>
  <c r="L25" i="43"/>
  <c r="L28" i="42"/>
  <c r="L24" i="42"/>
  <c r="L24" i="43"/>
  <c r="L28" i="43"/>
  <c r="L29" i="43"/>
  <c r="L26" i="43"/>
  <c r="L29" i="42"/>
  <c r="L25" i="42"/>
  <c r="L26" i="42"/>
  <c r="L142" i="42"/>
  <c r="L125" i="43"/>
  <c r="L143" i="42"/>
  <c r="L139" i="42"/>
  <c r="L121" i="43"/>
  <c r="L122" i="43"/>
  <c r="L126" i="43"/>
  <c r="L137" i="42"/>
  <c r="L144" i="42"/>
  <c r="L140" i="42"/>
  <c r="L141" i="42"/>
  <c r="L138" i="42"/>
  <c r="L123" i="43"/>
  <c r="L124" i="43"/>
  <c r="L127" i="43"/>
  <c r="L128" i="43"/>
  <c r="L13" i="43"/>
  <c r="L12" i="42"/>
  <c r="L14" i="43"/>
  <c r="L10" i="43"/>
  <c r="L13" i="42"/>
  <c r="L9" i="43"/>
  <c r="L9" i="42"/>
  <c r="L15" i="43"/>
  <c r="L11" i="43"/>
  <c r="L8" i="43"/>
  <c r="L12" i="43"/>
  <c r="L14" i="42"/>
  <c r="L10" i="42"/>
  <c r="L11" i="42"/>
  <c r="L15" i="42"/>
  <c r="L8" i="42"/>
  <c r="R109" i="43"/>
  <c r="R105" i="43"/>
  <c r="R108" i="43"/>
  <c r="R111" i="43"/>
  <c r="R112" i="43"/>
  <c r="R106" i="43"/>
  <c r="R107" i="43"/>
  <c r="R110" i="43"/>
  <c r="R128" i="42"/>
  <c r="R125" i="42"/>
  <c r="R126" i="42"/>
  <c r="R123" i="42"/>
  <c r="R121" i="42"/>
  <c r="R122" i="42"/>
  <c r="R124" i="42"/>
  <c r="R127" i="42"/>
  <c r="X92" i="43"/>
  <c r="X95" i="43"/>
  <c r="X91" i="42"/>
  <c r="X90" i="42"/>
  <c r="X90" i="43"/>
  <c r="X91" i="43"/>
  <c r="X89" i="42"/>
  <c r="X94" i="43"/>
  <c r="X89" i="43"/>
  <c r="X93" i="43"/>
  <c r="X96" i="43"/>
  <c r="X93" i="42"/>
  <c r="X94" i="42"/>
  <c r="X95" i="42"/>
  <c r="X96" i="42"/>
  <c r="X92" i="42"/>
  <c r="X76" i="42"/>
  <c r="X79" i="43"/>
  <c r="X75" i="43"/>
  <c r="X80" i="43"/>
  <c r="X73" i="43"/>
  <c r="X74" i="43"/>
  <c r="X75" i="42"/>
  <c r="X77" i="43"/>
  <c r="X78" i="43"/>
  <c r="X76" i="43"/>
  <c r="X74" i="42"/>
  <c r="X77" i="42"/>
  <c r="X79" i="42"/>
  <c r="X78" i="42"/>
  <c r="X80" i="42"/>
  <c r="X73" i="42"/>
  <c r="R93" i="43"/>
  <c r="R96" i="43"/>
  <c r="R89" i="42"/>
  <c r="R95" i="43"/>
  <c r="R91" i="42"/>
  <c r="R90" i="42"/>
  <c r="R90" i="43"/>
  <c r="R91" i="43"/>
  <c r="R92" i="43"/>
  <c r="R94" i="43"/>
  <c r="R89" i="43"/>
  <c r="R92" i="42"/>
  <c r="R93" i="42"/>
  <c r="R94" i="42"/>
  <c r="R95" i="42"/>
  <c r="R96" i="42"/>
  <c r="X57" i="43"/>
  <c r="X61" i="43"/>
  <c r="X59" i="43"/>
  <c r="X58" i="43"/>
  <c r="X60" i="43"/>
  <c r="X61" i="42"/>
  <c r="X62" i="43"/>
  <c r="X64" i="43"/>
  <c r="X63" i="43"/>
  <c r="X60" i="42"/>
  <c r="X64" i="42"/>
  <c r="X59" i="42"/>
  <c r="X57" i="42"/>
  <c r="X58" i="42"/>
  <c r="X62" i="42"/>
  <c r="X63" i="42"/>
  <c r="R76" i="43"/>
  <c r="R76" i="42"/>
  <c r="R78" i="43"/>
  <c r="R79" i="43"/>
  <c r="R75" i="43"/>
  <c r="R80" i="43"/>
  <c r="R73" i="43"/>
  <c r="R74" i="43"/>
  <c r="R75" i="42"/>
  <c r="R77" i="43"/>
  <c r="R73" i="42"/>
  <c r="R74" i="42"/>
  <c r="R78" i="42"/>
  <c r="R79" i="42"/>
  <c r="R77" i="42"/>
  <c r="R80" i="42"/>
  <c r="X47" i="43"/>
  <c r="X48" i="43"/>
  <c r="X42" i="43"/>
  <c r="X46" i="42"/>
  <c r="X45" i="43"/>
  <c r="X43" i="43"/>
  <c r="X41" i="43"/>
  <c r="X46" i="43"/>
  <c r="X44" i="43"/>
  <c r="X45" i="42"/>
  <c r="X42" i="42"/>
  <c r="X47" i="42"/>
  <c r="X48" i="42"/>
  <c r="X44" i="42"/>
  <c r="X41" i="42"/>
  <c r="X43" i="42"/>
  <c r="R57" i="43"/>
  <c r="R61" i="43"/>
  <c r="R61" i="42"/>
  <c r="R59" i="43"/>
  <c r="R58" i="43"/>
  <c r="R60" i="43"/>
  <c r="R62" i="43"/>
  <c r="R64" i="43"/>
  <c r="R60" i="42"/>
  <c r="R63" i="43"/>
  <c r="R63" i="42"/>
  <c r="R64" i="42"/>
  <c r="R59" i="42"/>
  <c r="R57" i="42"/>
  <c r="R58" i="42"/>
  <c r="R62" i="42"/>
  <c r="X29" i="43"/>
  <c r="X26" i="43"/>
  <c r="X27" i="43"/>
  <c r="X28" i="43"/>
  <c r="X30" i="43"/>
  <c r="X31" i="43"/>
  <c r="X25" i="43"/>
  <c r="X24" i="43"/>
  <c r="X29" i="42"/>
  <c r="X27" i="42"/>
  <c r="X31" i="42"/>
  <c r="X25" i="42"/>
  <c r="X24" i="42"/>
  <c r="X26" i="42"/>
  <c r="X28" i="42"/>
  <c r="X30" i="42"/>
  <c r="R44" i="43"/>
  <c r="R45" i="43"/>
  <c r="R45" i="42"/>
  <c r="R47" i="43"/>
  <c r="R48" i="43"/>
  <c r="R42" i="43"/>
  <c r="R46" i="42"/>
  <c r="R43" i="43"/>
  <c r="R41" i="43"/>
  <c r="R46" i="43"/>
  <c r="R43" i="42"/>
  <c r="R47" i="42"/>
  <c r="R48" i="42"/>
  <c r="R44" i="42"/>
  <c r="R41" i="42"/>
  <c r="R42" i="42"/>
  <c r="X125" i="43"/>
  <c r="X121" i="43"/>
  <c r="X122" i="43"/>
  <c r="X127" i="43"/>
  <c r="X124" i="43"/>
  <c r="X123" i="43"/>
  <c r="X126" i="43"/>
  <c r="X128" i="43"/>
  <c r="X143" i="42"/>
  <c r="X144" i="42"/>
  <c r="X137" i="42"/>
  <c r="X138" i="42"/>
  <c r="X142" i="42"/>
  <c r="X139" i="42"/>
  <c r="X140" i="42"/>
  <c r="X141" i="42"/>
  <c r="X14" i="43"/>
  <c r="X12" i="42"/>
  <c r="X15" i="43"/>
  <c r="X8" i="43"/>
  <c r="X9" i="43"/>
  <c r="X11" i="43"/>
  <c r="X13" i="43"/>
  <c r="X10" i="43"/>
  <c r="X12" i="43"/>
  <c r="X14" i="42"/>
  <c r="X11" i="42"/>
  <c r="X15" i="42"/>
  <c r="X13" i="42"/>
  <c r="X8" i="42"/>
  <c r="X9" i="42"/>
  <c r="X10" i="42"/>
  <c r="R29" i="43"/>
  <c r="R30" i="43"/>
  <c r="R24" i="43"/>
  <c r="R27" i="43"/>
  <c r="R28" i="43"/>
  <c r="R26" i="43"/>
  <c r="R25" i="43"/>
  <c r="R31" i="43"/>
  <c r="R29" i="42"/>
  <c r="R27" i="42"/>
  <c r="R30" i="42"/>
  <c r="R25" i="42"/>
  <c r="R26" i="42"/>
  <c r="R28" i="42"/>
  <c r="R31" i="42"/>
  <c r="R24" i="42"/>
  <c r="X109" i="43"/>
  <c r="X105" i="43"/>
  <c r="X108" i="43"/>
  <c r="X111" i="43"/>
  <c r="X112" i="43"/>
  <c r="X107" i="43"/>
  <c r="X110" i="43"/>
  <c r="X128" i="42"/>
  <c r="X106" i="43"/>
  <c r="X126" i="42"/>
  <c r="X121" i="42"/>
  <c r="X122" i="42"/>
  <c r="X124" i="42"/>
  <c r="X127" i="42"/>
  <c r="X123" i="42"/>
  <c r="X125" i="42"/>
  <c r="R123" i="43"/>
  <c r="R126" i="43"/>
  <c r="R127" i="43"/>
  <c r="R143" i="42"/>
  <c r="R125" i="43"/>
  <c r="R121" i="43"/>
  <c r="R122" i="43"/>
  <c r="R124" i="43"/>
  <c r="R128" i="43"/>
  <c r="R137" i="42"/>
  <c r="R138" i="42"/>
  <c r="R142" i="42"/>
  <c r="R139" i="42"/>
  <c r="R141" i="42"/>
  <c r="R140" i="42"/>
  <c r="R144" i="42"/>
  <c r="R10" i="43"/>
  <c r="R14" i="43"/>
  <c r="R12" i="42"/>
  <c r="R8" i="43"/>
  <c r="R12" i="43"/>
  <c r="R15" i="43"/>
  <c r="R11" i="43"/>
  <c r="R9" i="43"/>
  <c r="R13" i="43"/>
  <c r="R10" i="42"/>
  <c r="R11" i="42"/>
  <c r="R15" i="42"/>
  <c r="R8" i="42"/>
  <c r="R14" i="42"/>
  <c r="R9" i="42"/>
  <c r="R13" i="42"/>
  <c r="AD104" i="42"/>
  <c r="AD108" i="42"/>
  <c r="AD105" i="42"/>
  <c r="AD106" i="42"/>
  <c r="AD119" i="42"/>
  <c r="AD107" i="42"/>
  <c r="AD110" i="42"/>
  <c r="AD112" i="42"/>
  <c r="AD111" i="42"/>
  <c r="AD109" i="42"/>
  <c r="O21" i="1"/>
  <c r="O22" i="1"/>
  <c r="O23" i="1"/>
  <c r="O24" i="1"/>
  <c r="O25" i="1"/>
  <c r="O26" i="1"/>
  <c r="O27" i="1"/>
  <c r="O28" i="1"/>
  <c r="P21" i="1"/>
  <c r="P22" i="1"/>
  <c r="P23" i="1"/>
  <c r="P24" i="1"/>
  <c r="P25" i="1"/>
  <c r="P26" i="1"/>
  <c r="P27" i="1"/>
  <c r="P28" i="1"/>
  <c r="L21" i="1"/>
  <c r="L22" i="1"/>
  <c r="L23" i="1"/>
  <c r="L24" i="1"/>
  <c r="L25" i="1"/>
  <c r="L26" i="1"/>
  <c r="L27" i="1"/>
  <c r="L28" i="1"/>
  <c r="K21" i="1"/>
  <c r="K22" i="1"/>
  <c r="K23" i="1"/>
  <c r="K24" i="1"/>
  <c r="K25" i="1"/>
  <c r="K26" i="1"/>
  <c r="K27" i="1"/>
  <c r="K28" i="1"/>
  <c r="J21" i="1"/>
  <c r="J22" i="1"/>
  <c r="J23" i="1"/>
  <c r="J24" i="1"/>
  <c r="J25" i="1"/>
  <c r="J26" i="1"/>
  <c r="J27" i="1"/>
  <c r="J28" i="1"/>
  <c r="I21" i="1"/>
  <c r="I22" i="1"/>
  <c r="I23" i="1"/>
  <c r="I24" i="1"/>
  <c r="I25" i="1"/>
  <c r="I26" i="1"/>
  <c r="I27" i="1"/>
  <c r="I28" i="1"/>
  <c r="AZ14" i="86" l="1"/>
  <c r="AW14" i="86"/>
  <c r="AW12" i="86"/>
  <c r="AZ15" i="86"/>
  <c r="AW15" i="86"/>
  <c r="AD63" i="33"/>
  <c r="AD63" i="37"/>
  <c r="AD60" i="37"/>
  <c r="AD61" i="37"/>
  <c r="AD57" i="33"/>
  <c r="AD59" i="37"/>
  <c r="AD59" i="33"/>
  <c r="AD61" i="33"/>
  <c r="AD62" i="37"/>
  <c r="AD62" i="33"/>
  <c r="AD60" i="33"/>
  <c r="AD58" i="37"/>
  <c r="AD64" i="37"/>
  <c r="AD57" i="37"/>
  <c r="AD64" i="33"/>
  <c r="AD58" i="33"/>
  <c r="AD48" i="37"/>
  <c r="AD44" i="37"/>
  <c r="AD43" i="37"/>
  <c r="AD44" i="33"/>
  <c r="AD46" i="33"/>
  <c r="AD48" i="33"/>
  <c r="AD42" i="33"/>
  <c r="AD47" i="37"/>
  <c r="AD45" i="33"/>
  <c r="AD47" i="33"/>
  <c r="AD46" i="37"/>
  <c r="AD41" i="37"/>
  <c r="AD42" i="37"/>
  <c r="AD41" i="33"/>
  <c r="AD43" i="33"/>
  <c r="AD45" i="37"/>
  <c r="AD30" i="37"/>
  <c r="AD30" i="33"/>
  <c r="AD26" i="33"/>
  <c r="AD28" i="33"/>
  <c r="AD24" i="37"/>
  <c r="AD25" i="37"/>
  <c r="AD24" i="33"/>
  <c r="AD26" i="37"/>
  <c r="AD28" i="37"/>
  <c r="AD29" i="37"/>
  <c r="AD25" i="33"/>
  <c r="AD31" i="37"/>
  <c r="AD27" i="37"/>
  <c r="AD31" i="33"/>
  <c r="AD27" i="33"/>
  <c r="AD29" i="33"/>
  <c r="AD143" i="37"/>
  <c r="AD144" i="37"/>
  <c r="AD141" i="33"/>
  <c r="AD143" i="33"/>
  <c r="AD138" i="37"/>
  <c r="AD142" i="37"/>
  <c r="AD137" i="33"/>
  <c r="AD137" i="37"/>
  <c r="AD138" i="33"/>
  <c r="AD141" i="37"/>
  <c r="AD139" i="33"/>
  <c r="AD144" i="33"/>
  <c r="AD139" i="37"/>
  <c r="AD140" i="37"/>
  <c r="AD140" i="33"/>
  <c r="AD142" i="33"/>
  <c r="AD11" i="37"/>
  <c r="AD9" i="37"/>
  <c r="AD10" i="37"/>
  <c r="AD14" i="33"/>
  <c r="AD8" i="33"/>
  <c r="AD12" i="33"/>
  <c r="AD13" i="37"/>
  <c r="AD14" i="37"/>
  <c r="AD15" i="33"/>
  <c r="AD8" i="37"/>
  <c r="AD12" i="37"/>
  <c r="AD9" i="33"/>
  <c r="AD13" i="33"/>
  <c r="AD11" i="33"/>
  <c r="AD15" i="37"/>
  <c r="AD10" i="33"/>
  <c r="AD123" i="37"/>
  <c r="AD127" i="37"/>
  <c r="AD128" i="33"/>
  <c r="AD122" i="33"/>
  <c r="AD128" i="37"/>
  <c r="AD121" i="37"/>
  <c r="AD122" i="37"/>
  <c r="AD123" i="33"/>
  <c r="AD125" i="37"/>
  <c r="AD125" i="33"/>
  <c r="AD121" i="33"/>
  <c r="AD124" i="37"/>
  <c r="AD127" i="33"/>
  <c r="AD126" i="33"/>
  <c r="AD126" i="37"/>
  <c r="AD124" i="33"/>
  <c r="AD79" i="37"/>
  <c r="AD80" i="37"/>
  <c r="AD79" i="33"/>
  <c r="AD73" i="33"/>
  <c r="AD73" i="37"/>
  <c r="AD78" i="33"/>
  <c r="AD75" i="37"/>
  <c r="AD76" i="37"/>
  <c r="AD80" i="33"/>
  <c r="AD78" i="37"/>
  <c r="AD74" i="37"/>
  <c r="AD74" i="33"/>
  <c r="AD76" i="33"/>
  <c r="AD75" i="33"/>
  <c r="AD77" i="37"/>
  <c r="AD77" i="33"/>
  <c r="AD92" i="37"/>
  <c r="AD93" i="33"/>
  <c r="AD92" i="33"/>
  <c r="AD90" i="33"/>
  <c r="AD96" i="37"/>
  <c r="AD94" i="37"/>
  <c r="AD95" i="37"/>
  <c r="AD94" i="33"/>
  <c r="AD96" i="33"/>
  <c r="AD90" i="37"/>
  <c r="AD91" i="37"/>
  <c r="AD95" i="33"/>
  <c r="AD91" i="33"/>
  <c r="AD93" i="37"/>
  <c r="AD89" i="37"/>
  <c r="AD89" i="33"/>
  <c r="M10" i="43"/>
  <c r="N10" i="43"/>
  <c r="O10" i="43"/>
  <c r="P10" i="43" s="1"/>
  <c r="M80" i="42"/>
  <c r="O80" i="42"/>
  <c r="P80" i="42" s="1"/>
  <c r="N80" i="42"/>
  <c r="L94" i="33"/>
  <c r="L90" i="33"/>
  <c r="L91" i="37"/>
  <c r="L95" i="37"/>
  <c r="L92" i="37"/>
  <c r="L89" i="37"/>
  <c r="L96" i="37"/>
  <c r="L91" i="33"/>
  <c r="L96" i="33"/>
  <c r="L93" i="37"/>
  <c r="L95" i="33"/>
  <c r="L92" i="33"/>
  <c r="L94" i="37"/>
  <c r="L89" i="33"/>
  <c r="L90" i="37"/>
  <c r="L93" i="33"/>
  <c r="M8" i="42"/>
  <c r="N8" i="42"/>
  <c r="O8" i="42"/>
  <c r="P8" i="42" s="1"/>
  <c r="M15" i="43"/>
  <c r="O15" i="43"/>
  <c r="P15" i="43" s="1"/>
  <c r="N15" i="43"/>
  <c r="M128" i="43"/>
  <c r="O128" i="43"/>
  <c r="P128" i="43" s="1"/>
  <c r="N128" i="43"/>
  <c r="M137" i="42"/>
  <c r="O137" i="42"/>
  <c r="P137" i="42" s="1"/>
  <c r="N137" i="42"/>
  <c r="M26" i="42"/>
  <c r="N26" i="42"/>
  <c r="O26" i="42"/>
  <c r="P26" i="42" s="1"/>
  <c r="M28" i="42"/>
  <c r="O28" i="42"/>
  <c r="P28" i="42" s="1"/>
  <c r="N28" i="42"/>
  <c r="O41" i="43"/>
  <c r="P41" i="43" s="1"/>
  <c r="M41" i="43"/>
  <c r="N41" i="43"/>
  <c r="M48" i="42"/>
  <c r="O48" i="42"/>
  <c r="P48" i="42" s="1"/>
  <c r="N48" i="42"/>
  <c r="M59" i="43"/>
  <c r="N59" i="43"/>
  <c r="O59" i="43"/>
  <c r="P59" i="43" s="1"/>
  <c r="M60" i="43"/>
  <c r="O60" i="43"/>
  <c r="P60" i="43" s="1"/>
  <c r="N60" i="43"/>
  <c r="M77" i="42"/>
  <c r="O77" i="42"/>
  <c r="P77" i="42" s="1"/>
  <c r="N77" i="42"/>
  <c r="M74" i="43"/>
  <c r="O74" i="43"/>
  <c r="P74" i="43" s="1"/>
  <c r="N74" i="43"/>
  <c r="M94" i="42"/>
  <c r="O94" i="42"/>
  <c r="P94" i="42" s="1"/>
  <c r="N94" i="42"/>
  <c r="M95" i="42"/>
  <c r="O95" i="42"/>
  <c r="P95" i="42" s="1"/>
  <c r="N95" i="42"/>
  <c r="M106" i="43"/>
  <c r="O106" i="43"/>
  <c r="P106" i="43" s="1"/>
  <c r="N106" i="43"/>
  <c r="M125" i="42"/>
  <c r="N125" i="42"/>
  <c r="O125" i="42"/>
  <c r="P125" i="42" s="1"/>
  <c r="M139" i="42"/>
  <c r="O139" i="42"/>
  <c r="P139" i="42" s="1"/>
  <c r="N139" i="42"/>
  <c r="M44" i="43"/>
  <c r="N44" i="43"/>
  <c r="O44" i="43"/>
  <c r="P44" i="43" s="1"/>
  <c r="M91" i="43"/>
  <c r="O91" i="43"/>
  <c r="P91" i="43" s="1"/>
  <c r="N91" i="43"/>
  <c r="L75" i="37"/>
  <c r="L78" i="37"/>
  <c r="L73" i="33"/>
  <c r="L79" i="37"/>
  <c r="L76" i="33"/>
  <c r="L80" i="33"/>
  <c r="L77" i="33"/>
  <c r="L73" i="37"/>
  <c r="L74" i="33"/>
  <c r="L77" i="37"/>
  <c r="L78" i="33"/>
  <c r="L80" i="37"/>
  <c r="L76" i="37"/>
  <c r="L79" i="33"/>
  <c r="L74" i="37"/>
  <c r="L75" i="33"/>
  <c r="M15" i="42"/>
  <c r="N15" i="42"/>
  <c r="O15" i="42"/>
  <c r="P15" i="42" s="1"/>
  <c r="M9" i="42"/>
  <c r="O9" i="42"/>
  <c r="P9" i="42" s="1"/>
  <c r="N9" i="42"/>
  <c r="M127" i="43"/>
  <c r="N127" i="43"/>
  <c r="O127" i="43"/>
  <c r="P127" i="43" s="1"/>
  <c r="M126" i="43"/>
  <c r="N126" i="43"/>
  <c r="O126" i="43"/>
  <c r="P126" i="43" s="1"/>
  <c r="M25" i="42"/>
  <c r="N25" i="42"/>
  <c r="O25" i="42"/>
  <c r="P25" i="42" s="1"/>
  <c r="M25" i="43"/>
  <c r="N25" i="43"/>
  <c r="O25" i="43"/>
  <c r="P25" i="43" s="1"/>
  <c r="M41" i="42"/>
  <c r="O41" i="42"/>
  <c r="P41" i="42" s="1"/>
  <c r="N41" i="42"/>
  <c r="M42" i="43"/>
  <c r="O42" i="43"/>
  <c r="P42" i="43" s="1"/>
  <c r="N42" i="43"/>
  <c r="M63" i="43"/>
  <c r="O63" i="43"/>
  <c r="P63" i="43" s="1"/>
  <c r="N63" i="43"/>
  <c r="M64" i="43"/>
  <c r="O64" i="43"/>
  <c r="P64" i="43" s="1"/>
  <c r="N64" i="43"/>
  <c r="M73" i="43"/>
  <c r="N73" i="43"/>
  <c r="O73" i="43"/>
  <c r="P73" i="43" s="1"/>
  <c r="M79" i="43"/>
  <c r="O79" i="43"/>
  <c r="P79" i="43" s="1"/>
  <c r="N79" i="43"/>
  <c r="M90" i="42"/>
  <c r="N90" i="42"/>
  <c r="O90" i="42"/>
  <c r="P90" i="42" s="1"/>
  <c r="M89" i="43"/>
  <c r="O89" i="43"/>
  <c r="P89" i="43" s="1"/>
  <c r="N89" i="43"/>
  <c r="M127" i="42"/>
  <c r="O127" i="42"/>
  <c r="P127" i="42" s="1"/>
  <c r="N127" i="42"/>
  <c r="M121" i="42"/>
  <c r="O121" i="42"/>
  <c r="P121" i="42" s="1"/>
  <c r="N121" i="42"/>
  <c r="L25" i="33"/>
  <c r="L30" i="33"/>
  <c r="L27" i="33"/>
  <c r="L28" i="37"/>
  <c r="L26" i="37"/>
  <c r="L31" i="33"/>
  <c r="L26" i="33"/>
  <c r="L24" i="33"/>
  <c r="L28" i="33"/>
  <c r="L25" i="37"/>
  <c r="L29" i="37"/>
  <c r="L30" i="37"/>
  <c r="L31" i="37"/>
  <c r="L27" i="37"/>
  <c r="L24" i="37"/>
  <c r="L29" i="33"/>
  <c r="M138" i="42"/>
  <c r="N138" i="42"/>
  <c r="O138" i="42"/>
  <c r="P138" i="42" s="1"/>
  <c r="M79" i="42"/>
  <c r="O79" i="42"/>
  <c r="P79" i="42" s="1"/>
  <c r="N79" i="42"/>
  <c r="L58" i="37"/>
  <c r="L62" i="33"/>
  <c r="L61" i="33"/>
  <c r="L61" i="37"/>
  <c r="L62" i="37"/>
  <c r="L57" i="33"/>
  <c r="L57" i="37"/>
  <c r="L59" i="33"/>
  <c r="L63" i="37"/>
  <c r="L59" i="37"/>
  <c r="L63" i="33"/>
  <c r="L58" i="33"/>
  <c r="L64" i="33"/>
  <c r="L60" i="33"/>
  <c r="L64" i="37"/>
  <c r="L60" i="37"/>
  <c r="M11" i="42"/>
  <c r="N11" i="42"/>
  <c r="O11" i="42"/>
  <c r="P11" i="42" s="1"/>
  <c r="M9" i="43"/>
  <c r="N9" i="43"/>
  <c r="O9" i="43"/>
  <c r="P9" i="43" s="1"/>
  <c r="M124" i="43"/>
  <c r="O124" i="43"/>
  <c r="P124" i="43" s="1"/>
  <c r="N124" i="43"/>
  <c r="M122" i="43"/>
  <c r="N122" i="43"/>
  <c r="O122" i="43"/>
  <c r="P122" i="43" s="1"/>
  <c r="M29" i="42"/>
  <c r="N29" i="42"/>
  <c r="O29" i="42"/>
  <c r="P29" i="42" s="1"/>
  <c r="M27" i="42"/>
  <c r="O27" i="42"/>
  <c r="P27" i="42" s="1"/>
  <c r="N27" i="42"/>
  <c r="M48" i="43"/>
  <c r="O48" i="43"/>
  <c r="P48" i="43" s="1"/>
  <c r="N48" i="43"/>
  <c r="M46" i="43"/>
  <c r="N46" i="43"/>
  <c r="O46" i="43"/>
  <c r="P46" i="43" s="1"/>
  <c r="M62" i="42"/>
  <c r="N62" i="42"/>
  <c r="O62" i="42"/>
  <c r="P62" i="42" s="1"/>
  <c r="N57" i="43"/>
  <c r="M57" i="43"/>
  <c r="O57" i="43"/>
  <c r="P57" i="43" s="1"/>
  <c r="M76" i="43"/>
  <c r="O76" i="43"/>
  <c r="P76" i="43" s="1"/>
  <c r="N76" i="43"/>
  <c r="M80" i="43"/>
  <c r="O80" i="43"/>
  <c r="P80" i="43" s="1"/>
  <c r="N80" i="43"/>
  <c r="O89" i="42"/>
  <c r="P89" i="42" s="1"/>
  <c r="N89" i="42"/>
  <c r="M89" i="42"/>
  <c r="M91" i="42"/>
  <c r="N91" i="42"/>
  <c r="O91" i="42"/>
  <c r="P91" i="42" s="1"/>
  <c r="M109" i="43"/>
  <c r="O109" i="43"/>
  <c r="P109" i="43" s="1"/>
  <c r="N109" i="43"/>
  <c r="M105" i="43"/>
  <c r="N105" i="43"/>
  <c r="O105" i="43"/>
  <c r="P105" i="43" s="1"/>
  <c r="M60" i="42"/>
  <c r="O60" i="42"/>
  <c r="P60" i="42" s="1"/>
  <c r="N60" i="42"/>
  <c r="L42" i="37"/>
  <c r="L46" i="33"/>
  <c r="L46" i="37"/>
  <c r="L47" i="37"/>
  <c r="L42" i="33"/>
  <c r="L47" i="33"/>
  <c r="L41" i="37"/>
  <c r="L44" i="33"/>
  <c r="L48" i="37"/>
  <c r="L45" i="37"/>
  <c r="L48" i="33"/>
  <c r="L41" i="33"/>
  <c r="L45" i="33"/>
  <c r="L43" i="37"/>
  <c r="L43" i="33"/>
  <c r="L44" i="37"/>
  <c r="M10" i="42"/>
  <c r="N10" i="42"/>
  <c r="O10" i="42"/>
  <c r="P10" i="42" s="1"/>
  <c r="M13" i="42"/>
  <c r="O13" i="42"/>
  <c r="P13" i="42" s="1"/>
  <c r="N13" i="42"/>
  <c r="M123" i="43"/>
  <c r="N123" i="43"/>
  <c r="O123" i="43"/>
  <c r="P123" i="43" s="1"/>
  <c r="M121" i="43"/>
  <c r="O121" i="43"/>
  <c r="P121" i="43" s="1"/>
  <c r="N121" i="43"/>
  <c r="M26" i="43"/>
  <c r="N26" i="43"/>
  <c r="O26" i="43"/>
  <c r="P26" i="43" s="1"/>
  <c r="M27" i="43"/>
  <c r="O27" i="43"/>
  <c r="P27" i="43" s="1"/>
  <c r="N27" i="43"/>
  <c r="M45" i="42"/>
  <c r="N45" i="42"/>
  <c r="O45" i="42"/>
  <c r="P45" i="42" s="1"/>
  <c r="M43" i="42"/>
  <c r="O43" i="42"/>
  <c r="P43" i="42" s="1"/>
  <c r="N43" i="42"/>
  <c r="M64" i="42"/>
  <c r="O64" i="42"/>
  <c r="P64" i="42" s="1"/>
  <c r="N64" i="42"/>
  <c r="M63" i="42"/>
  <c r="N63" i="42"/>
  <c r="O63" i="42"/>
  <c r="P63" i="42" s="1"/>
  <c r="M75" i="43"/>
  <c r="N75" i="43"/>
  <c r="O75" i="43"/>
  <c r="P75" i="43" s="1"/>
  <c r="M78" i="42"/>
  <c r="N78" i="42"/>
  <c r="O78" i="42"/>
  <c r="P78" i="42" s="1"/>
  <c r="M93" i="43"/>
  <c r="N93" i="43"/>
  <c r="O93" i="43"/>
  <c r="P93" i="43" s="1"/>
  <c r="M96" i="43"/>
  <c r="O96" i="43"/>
  <c r="P96" i="43" s="1"/>
  <c r="N96" i="43"/>
  <c r="M110" i="43"/>
  <c r="O110" i="43"/>
  <c r="P110" i="43" s="1"/>
  <c r="N110" i="43"/>
  <c r="M108" i="43"/>
  <c r="O108" i="43"/>
  <c r="P108" i="43" s="1"/>
  <c r="N108" i="43"/>
  <c r="M111" i="43"/>
  <c r="O111" i="43"/>
  <c r="P111" i="43" s="1"/>
  <c r="N111" i="43"/>
  <c r="M58" i="42"/>
  <c r="O58" i="42"/>
  <c r="P58" i="42" s="1"/>
  <c r="N58" i="42"/>
  <c r="L140" i="37"/>
  <c r="L144" i="37"/>
  <c r="L137" i="37"/>
  <c r="L139" i="33"/>
  <c r="L142" i="37"/>
  <c r="L140" i="33"/>
  <c r="L142" i="33"/>
  <c r="L141" i="37"/>
  <c r="L144" i="33"/>
  <c r="L138" i="37"/>
  <c r="L139" i="37"/>
  <c r="L143" i="37"/>
  <c r="L137" i="33"/>
  <c r="L141" i="33"/>
  <c r="L138" i="33"/>
  <c r="L143" i="33"/>
  <c r="L11" i="37"/>
  <c r="L13" i="33"/>
  <c r="L14" i="37"/>
  <c r="L15" i="37"/>
  <c r="L8" i="33"/>
  <c r="L12" i="37"/>
  <c r="L14" i="33"/>
  <c r="L9" i="33"/>
  <c r="L10" i="37"/>
  <c r="L8" i="37"/>
  <c r="L12" i="33"/>
  <c r="L9" i="37"/>
  <c r="L13" i="37"/>
  <c r="L11" i="33"/>
  <c r="L15" i="33"/>
  <c r="L10" i="33"/>
  <c r="M12" i="43"/>
  <c r="N12" i="43"/>
  <c r="O12" i="43"/>
  <c r="P12" i="43" s="1"/>
  <c r="M14" i="43"/>
  <c r="O14" i="43"/>
  <c r="P14" i="43" s="1"/>
  <c r="N14" i="43"/>
  <c r="M141" i="42"/>
  <c r="O141" i="42"/>
  <c r="P141" i="42" s="1"/>
  <c r="N141" i="42"/>
  <c r="M143" i="42"/>
  <c r="N143" i="42"/>
  <c r="O143" i="42"/>
  <c r="P143" i="42" s="1"/>
  <c r="M28" i="43"/>
  <c r="N28" i="43"/>
  <c r="O28" i="43"/>
  <c r="P28" i="43" s="1"/>
  <c r="M30" i="42"/>
  <c r="O30" i="42"/>
  <c r="P30" i="42" s="1"/>
  <c r="N30" i="42"/>
  <c r="M47" i="42"/>
  <c r="O47" i="42"/>
  <c r="P47" i="42" s="1"/>
  <c r="N47" i="42"/>
  <c r="M42" i="42"/>
  <c r="O42" i="42"/>
  <c r="P42" i="42" s="1"/>
  <c r="N42" i="42"/>
  <c r="M58" i="43"/>
  <c r="O58" i="43"/>
  <c r="P58" i="43" s="1"/>
  <c r="N58" i="43"/>
  <c r="M57" i="42"/>
  <c r="O57" i="42"/>
  <c r="P57" i="42" s="1"/>
  <c r="N57" i="42"/>
  <c r="M75" i="42"/>
  <c r="N75" i="42"/>
  <c r="O75" i="42"/>
  <c r="P75" i="42" s="1"/>
  <c r="M76" i="42"/>
  <c r="O76" i="42"/>
  <c r="P76" i="42" s="1"/>
  <c r="N76" i="42"/>
  <c r="M92" i="43"/>
  <c r="O92" i="43"/>
  <c r="P92" i="43" s="1"/>
  <c r="N92" i="43"/>
  <c r="M90" i="43"/>
  <c r="O90" i="43"/>
  <c r="P90" i="43" s="1"/>
  <c r="N90" i="43"/>
  <c r="M126" i="42"/>
  <c r="O126" i="42"/>
  <c r="P126" i="42" s="1"/>
  <c r="N126" i="42"/>
  <c r="M124" i="42"/>
  <c r="N124" i="42"/>
  <c r="O124" i="42"/>
  <c r="P124" i="42" s="1"/>
  <c r="M14" i="42"/>
  <c r="N14" i="42"/>
  <c r="O14" i="42"/>
  <c r="P14" i="42" s="1"/>
  <c r="M29" i="43"/>
  <c r="N29" i="43"/>
  <c r="O29" i="43"/>
  <c r="P29" i="43" s="1"/>
  <c r="M45" i="43"/>
  <c r="N45" i="43"/>
  <c r="O45" i="43"/>
  <c r="P45" i="43" s="1"/>
  <c r="M93" i="42"/>
  <c r="O93" i="42"/>
  <c r="P93" i="42" s="1"/>
  <c r="N93" i="42"/>
  <c r="L124" i="33"/>
  <c r="L123" i="37"/>
  <c r="L125" i="33"/>
  <c r="L124" i="37"/>
  <c r="L121" i="33"/>
  <c r="L122" i="33"/>
  <c r="L127" i="33"/>
  <c r="L126" i="33"/>
  <c r="L125" i="37"/>
  <c r="L121" i="37"/>
  <c r="L123" i="33"/>
  <c r="L122" i="37"/>
  <c r="L128" i="33"/>
  <c r="L127" i="37"/>
  <c r="L126" i="37"/>
  <c r="L128" i="37"/>
  <c r="M8" i="43"/>
  <c r="N8" i="43"/>
  <c r="O8" i="43"/>
  <c r="P8" i="43" s="1"/>
  <c r="M12" i="42"/>
  <c r="O12" i="42"/>
  <c r="P12" i="42" s="1"/>
  <c r="N12" i="42"/>
  <c r="M140" i="42"/>
  <c r="O140" i="42"/>
  <c r="P140" i="42" s="1"/>
  <c r="N140" i="42"/>
  <c r="M125" i="43"/>
  <c r="N125" i="43"/>
  <c r="O125" i="43"/>
  <c r="P125" i="43" s="1"/>
  <c r="O24" i="43"/>
  <c r="P24" i="43" s="1"/>
  <c r="N24" i="43"/>
  <c r="M24" i="43"/>
  <c r="M31" i="42"/>
  <c r="O31" i="42"/>
  <c r="P31" i="42" s="1"/>
  <c r="N31" i="42"/>
  <c r="M47" i="43"/>
  <c r="O47" i="43"/>
  <c r="P47" i="43" s="1"/>
  <c r="N47" i="43"/>
  <c r="M43" i="43"/>
  <c r="O43" i="43"/>
  <c r="P43" i="43" s="1"/>
  <c r="N43" i="43"/>
  <c r="M62" i="43"/>
  <c r="N62" i="43"/>
  <c r="O62" i="43"/>
  <c r="P62" i="43" s="1"/>
  <c r="M61" i="42"/>
  <c r="O61" i="42"/>
  <c r="P61" i="42" s="1"/>
  <c r="N61" i="42"/>
  <c r="N73" i="42"/>
  <c r="O73" i="42"/>
  <c r="P73" i="42" s="1"/>
  <c r="M73" i="42"/>
  <c r="M78" i="43"/>
  <c r="O78" i="43"/>
  <c r="P78" i="43" s="1"/>
  <c r="N78" i="43"/>
  <c r="M95" i="43"/>
  <c r="O95" i="43"/>
  <c r="P95" i="43" s="1"/>
  <c r="N95" i="43"/>
  <c r="M94" i="43"/>
  <c r="O94" i="43"/>
  <c r="P94" i="43" s="1"/>
  <c r="N94" i="43"/>
  <c r="M122" i="42"/>
  <c r="O122" i="42"/>
  <c r="P122" i="42" s="1"/>
  <c r="N122" i="42"/>
  <c r="M107" i="43"/>
  <c r="O107" i="43"/>
  <c r="P107" i="43" s="1"/>
  <c r="N107" i="43"/>
  <c r="M31" i="43"/>
  <c r="N31" i="43"/>
  <c r="O31" i="43"/>
  <c r="P31" i="43" s="1"/>
  <c r="M123" i="42"/>
  <c r="O123" i="42"/>
  <c r="P123" i="42" s="1"/>
  <c r="N123" i="42"/>
  <c r="L104" i="37"/>
  <c r="L104" i="33"/>
  <c r="L110" i="33"/>
  <c r="L111" i="33"/>
  <c r="L107" i="33"/>
  <c r="L110" i="37"/>
  <c r="L108" i="33"/>
  <c r="L112" i="37"/>
  <c r="L112" i="33"/>
  <c r="L106" i="37"/>
  <c r="L108" i="37"/>
  <c r="L107" i="37"/>
  <c r="L109" i="37"/>
  <c r="L105" i="37"/>
  <c r="L105" i="33"/>
  <c r="L111" i="37"/>
  <c r="L109" i="33"/>
  <c r="L119" i="37"/>
  <c r="L119" i="33"/>
  <c r="L106" i="33"/>
  <c r="M11" i="43"/>
  <c r="O11" i="43"/>
  <c r="P11" i="43" s="1"/>
  <c r="N11" i="43"/>
  <c r="M13" i="43"/>
  <c r="O13" i="43"/>
  <c r="P13" i="43" s="1"/>
  <c r="N13" i="43"/>
  <c r="M144" i="42"/>
  <c r="O144" i="42"/>
  <c r="P144" i="42" s="1"/>
  <c r="N144" i="42"/>
  <c r="M142" i="42"/>
  <c r="N142" i="42"/>
  <c r="O142" i="42"/>
  <c r="P142" i="42" s="1"/>
  <c r="O24" i="42"/>
  <c r="P24" i="42" s="1"/>
  <c r="N24" i="42"/>
  <c r="M24" i="42"/>
  <c r="M30" i="43"/>
  <c r="O30" i="43"/>
  <c r="P30" i="43" s="1"/>
  <c r="N30" i="43"/>
  <c r="M44" i="42"/>
  <c r="N44" i="42"/>
  <c r="O44" i="42"/>
  <c r="P44" i="42" s="1"/>
  <c r="M46" i="42"/>
  <c r="O46" i="42"/>
  <c r="P46" i="42" s="1"/>
  <c r="N46" i="42"/>
  <c r="M59" i="42"/>
  <c r="N59" i="42"/>
  <c r="O59" i="42"/>
  <c r="P59" i="42" s="1"/>
  <c r="M61" i="43"/>
  <c r="N61" i="43"/>
  <c r="O61" i="43"/>
  <c r="P61" i="43" s="1"/>
  <c r="M74" i="42"/>
  <c r="O74" i="42"/>
  <c r="P74" i="42" s="1"/>
  <c r="N74" i="42"/>
  <c r="M77" i="43"/>
  <c r="O77" i="43"/>
  <c r="P77" i="43" s="1"/>
  <c r="N77" i="43"/>
  <c r="M96" i="42"/>
  <c r="O96" i="42"/>
  <c r="P96" i="42" s="1"/>
  <c r="N96" i="42"/>
  <c r="M92" i="42"/>
  <c r="O92" i="42"/>
  <c r="P92" i="42" s="1"/>
  <c r="N92" i="42"/>
  <c r="M112" i="43"/>
  <c r="N112" i="43"/>
  <c r="O112" i="43"/>
  <c r="P112" i="43" s="1"/>
  <c r="M128" i="42"/>
  <c r="O128" i="42"/>
  <c r="P128" i="42" s="1"/>
  <c r="N128" i="42"/>
  <c r="X77" i="37"/>
  <c r="X73" i="37"/>
  <c r="X80" i="37"/>
  <c r="X74" i="37"/>
  <c r="X75" i="37"/>
  <c r="X76" i="37"/>
  <c r="X78" i="37"/>
  <c r="X79" i="37"/>
  <c r="X79" i="33"/>
  <c r="X75" i="33"/>
  <c r="X76" i="33"/>
  <c r="X80" i="33"/>
  <c r="X74" i="33"/>
  <c r="X77" i="33"/>
  <c r="X73" i="33"/>
  <c r="X78" i="33"/>
  <c r="R93" i="37"/>
  <c r="R94" i="37"/>
  <c r="R89" i="37"/>
  <c r="R90" i="37"/>
  <c r="R91" i="37"/>
  <c r="R93" i="33"/>
  <c r="R92" i="33"/>
  <c r="R95" i="33"/>
  <c r="R96" i="37"/>
  <c r="R96" i="33"/>
  <c r="R92" i="37"/>
  <c r="R90" i="33"/>
  <c r="R94" i="33"/>
  <c r="R95" i="37"/>
  <c r="R89" i="33"/>
  <c r="R91" i="33"/>
  <c r="X61" i="33"/>
  <c r="X58" i="37"/>
  <c r="X63" i="33"/>
  <c r="X59" i="33"/>
  <c r="X57" i="33"/>
  <c r="X62" i="37"/>
  <c r="X58" i="33"/>
  <c r="X63" i="37"/>
  <c r="X57" i="37"/>
  <c r="X59" i="37"/>
  <c r="X60" i="37"/>
  <c r="X64" i="37"/>
  <c r="X61" i="37"/>
  <c r="X64" i="33"/>
  <c r="X60" i="33"/>
  <c r="X62" i="33"/>
  <c r="R73" i="37"/>
  <c r="R78" i="33"/>
  <c r="R77" i="37"/>
  <c r="R80" i="37"/>
  <c r="R74" i="37"/>
  <c r="R75" i="37"/>
  <c r="R76" i="37"/>
  <c r="R78" i="37"/>
  <c r="R79" i="37"/>
  <c r="R75" i="33"/>
  <c r="R76" i="33"/>
  <c r="R80" i="33"/>
  <c r="R74" i="33"/>
  <c r="R77" i="33"/>
  <c r="R79" i="33"/>
  <c r="R73" i="33"/>
  <c r="X48" i="37"/>
  <c r="X44" i="37"/>
  <c r="X43" i="33"/>
  <c r="X48" i="33"/>
  <c r="X41" i="37"/>
  <c r="X45" i="37"/>
  <c r="X45" i="33"/>
  <c r="X41" i="33"/>
  <c r="X44" i="33"/>
  <c r="X46" i="33"/>
  <c r="X43" i="37"/>
  <c r="X47" i="37"/>
  <c r="X47" i="33"/>
  <c r="X42" i="33"/>
  <c r="X42" i="37"/>
  <c r="X46" i="37"/>
  <c r="R62" i="33"/>
  <c r="R58" i="37"/>
  <c r="R63" i="33"/>
  <c r="R59" i="33"/>
  <c r="R57" i="33"/>
  <c r="R62" i="37"/>
  <c r="R58" i="33"/>
  <c r="R57" i="37"/>
  <c r="R59" i="37"/>
  <c r="R60" i="37"/>
  <c r="R61" i="33"/>
  <c r="R64" i="37"/>
  <c r="R61" i="37"/>
  <c r="R64" i="33"/>
  <c r="R63" i="37"/>
  <c r="R60" i="33"/>
  <c r="X30" i="37"/>
  <c r="X25" i="33"/>
  <c r="X27" i="33"/>
  <c r="X30" i="33"/>
  <c r="X25" i="37"/>
  <c r="X27" i="37"/>
  <c r="X28" i="37"/>
  <c r="X29" i="37"/>
  <c r="X26" i="33"/>
  <c r="X31" i="37"/>
  <c r="X24" i="37"/>
  <c r="X26" i="37"/>
  <c r="X31" i="33"/>
  <c r="X24" i="33"/>
  <c r="X28" i="33"/>
  <c r="X29" i="33"/>
  <c r="R42" i="37"/>
  <c r="R46" i="37"/>
  <c r="R41" i="33"/>
  <c r="R48" i="37"/>
  <c r="R44" i="37"/>
  <c r="R48" i="33"/>
  <c r="R41" i="37"/>
  <c r="R45" i="33"/>
  <c r="R44" i="33"/>
  <c r="R46" i="33"/>
  <c r="R45" i="37"/>
  <c r="R43" i="33"/>
  <c r="R47" i="37"/>
  <c r="R47" i="33"/>
  <c r="R43" i="37"/>
  <c r="R42" i="33"/>
  <c r="X137" i="37"/>
  <c r="X143" i="33"/>
  <c r="X142" i="33"/>
  <c r="X138" i="33"/>
  <c r="X140" i="37"/>
  <c r="X142" i="37"/>
  <c r="X143" i="37"/>
  <c r="X144" i="37"/>
  <c r="X138" i="37"/>
  <c r="X139" i="37"/>
  <c r="X141" i="37"/>
  <c r="X141" i="33"/>
  <c r="X140" i="33"/>
  <c r="X139" i="33"/>
  <c r="X144" i="33"/>
  <c r="X137" i="33"/>
  <c r="X8" i="37"/>
  <c r="X14" i="33"/>
  <c r="X12" i="33"/>
  <c r="X8" i="33"/>
  <c r="X11" i="33"/>
  <c r="X15" i="37"/>
  <c r="X15" i="33"/>
  <c r="X10" i="37"/>
  <c r="X13" i="37"/>
  <c r="X10" i="33"/>
  <c r="X11" i="37"/>
  <c r="X9" i="37"/>
  <c r="X12" i="37"/>
  <c r="X14" i="37"/>
  <c r="X13" i="33"/>
  <c r="X9" i="33"/>
  <c r="R29" i="33"/>
  <c r="R30" i="37"/>
  <c r="R25" i="33"/>
  <c r="R27" i="33"/>
  <c r="R30" i="33"/>
  <c r="R25" i="37"/>
  <c r="R27" i="37"/>
  <c r="R28" i="37"/>
  <c r="R29" i="37"/>
  <c r="R31" i="33"/>
  <c r="R24" i="33"/>
  <c r="R26" i="33"/>
  <c r="R26" i="37"/>
  <c r="R31" i="37"/>
  <c r="R24" i="37"/>
  <c r="R28" i="33"/>
  <c r="X125" i="33"/>
  <c r="X126" i="37"/>
  <c r="X124" i="33"/>
  <c r="X121" i="33"/>
  <c r="X122" i="37"/>
  <c r="X122" i="33"/>
  <c r="X125" i="37"/>
  <c r="X127" i="37"/>
  <c r="X121" i="37"/>
  <c r="X128" i="33"/>
  <c r="X123" i="37"/>
  <c r="X124" i="37"/>
  <c r="X126" i="33"/>
  <c r="X123" i="33"/>
  <c r="X128" i="37"/>
  <c r="X127" i="33"/>
  <c r="R141" i="33"/>
  <c r="R137" i="33"/>
  <c r="R141" i="37"/>
  <c r="R137" i="37"/>
  <c r="R143" i="33"/>
  <c r="R142" i="33"/>
  <c r="R138" i="33"/>
  <c r="R140" i="37"/>
  <c r="R144" i="37"/>
  <c r="R138" i="37"/>
  <c r="R139" i="37"/>
  <c r="R142" i="37"/>
  <c r="R143" i="37"/>
  <c r="R140" i="33"/>
  <c r="R139" i="33"/>
  <c r="R144" i="33"/>
  <c r="R9" i="33"/>
  <c r="R13" i="33"/>
  <c r="R12" i="33"/>
  <c r="R8" i="37"/>
  <c r="R8" i="33"/>
  <c r="R11" i="33"/>
  <c r="R15" i="37"/>
  <c r="R15" i="33"/>
  <c r="R14" i="33"/>
  <c r="R10" i="37"/>
  <c r="R13" i="37"/>
  <c r="R10" i="33"/>
  <c r="R11" i="37"/>
  <c r="R9" i="37"/>
  <c r="R12" i="37"/>
  <c r="R14" i="37"/>
  <c r="R128" i="37"/>
  <c r="R127" i="33"/>
  <c r="R125" i="33"/>
  <c r="R126" i="37"/>
  <c r="R124" i="33"/>
  <c r="R121" i="33"/>
  <c r="R123" i="33"/>
  <c r="R122" i="37"/>
  <c r="R122" i="33"/>
  <c r="R127" i="37"/>
  <c r="R121" i="37"/>
  <c r="R128" i="33"/>
  <c r="R123" i="37"/>
  <c r="R124" i="37"/>
  <c r="R125" i="37"/>
  <c r="R126" i="33"/>
  <c r="X93" i="33"/>
  <c r="X92" i="33"/>
  <c r="X95" i="33"/>
  <c r="X89" i="33"/>
  <c r="X96" i="37"/>
  <c r="X96" i="33"/>
  <c r="X92" i="37"/>
  <c r="X90" i="33"/>
  <c r="X94" i="33"/>
  <c r="X95" i="37"/>
  <c r="X89" i="37"/>
  <c r="X91" i="33"/>
  <c r="X93" i="37"/>
  <c r="X94" i="37"/>
  <c r="X90" i="37"/>
  <c r="X91" i="37"/>
  <c r="R104" i="37"/>
  <c r="R111" i="37"/>
  <c r="R107" i="37"/>
  <c r="R110" i="37"/>
  <c r="R112" i="37"/>
  <c r="R105" i="37"/>
  <c r="R106" i="37"/>
  <c r="R109" i="37"/>
  <c r="R108" i="37"/>
  <c r="R119" i="37"/>
  <c r="AD104" i="33"/>
  <c r="AD105" i="33"/>
  <c r="AD108" i="33"/>
  <c r="AD109" i="33"/>
  <c r="AD119" i="33"/>
  <c r="AD110" i="33"/>
  <c r="AD107" i="33"/>
  <c r="AD112" i="33"/>
  <c r="AD111" i="33"/>
  <c r="AD106" i="33"/>
  <c r="X104" i="37"/>
  <c r="X104" i="33"/>
  <c r="X111" i="33"/>
  <c r="X106" i="33"/>
  <c r="X106" i="37"/>
  <c r="X111" i="37"/>
  <c r="X119" i="37"/>
  <c r="X107" i="37"/>
  <c r="X105" i="33"/>
  <c r="X108" i="33"/>
  <c r="X109" i="33"/>
  <c r="X107" i="33"/>
  <c r="X108" i="37"/>
  <c r="X109" i="37"/>
  <c r="X110" i="37"/>
  <c r="X119" i="33"/>
  <c r="X112" i="37"/>
  <c r="X110" i="33"/>
  <c r="X105" i="37"/>
  <c r="X112" i="33"/>
  <c r="C147" i="21"/>
  <c r="C146" i="21"/>
  <c r="C145" i="21"/>
  <c r="C144" i="21"/>
  <c r="C143" i="21"/>
  <c r="C142" i="21"/>
  <c r="C141" i="21"/>
  <c r="C140" i="21"/>
  <c r="C139" i="21"/>
  <c r="C138" i="21"/>
  <c r="C137" i="21"/>
  <c r="C133" i="21"/>
  <c r="C131" i="21"/>
  <c r="C130" i="21"/>
  <c r="C129" i="21"/>
  <c r="C128" i="21"/>
  <c r="C127" i="21"/>
  <c r="C126" i="21"/>
  <c r="C125" i="21"/>
  <c r="C124" i="21"/>
  <c r="C123" i="21"/>
  <c r="C122" i="21"/>
  <c r="C121" i="21"/>
  <c r="C118" i="21"/>
  <c r="C117" i="21"/>
  <c r="C116" i="21"/>
  <c r="C115" i="21"/>
  <c r="C114" i="21"/>
  <c r="C113" i="21"/>
  <c r="C112" i="21"/>
  <c r="C111" i="21"/>
  <c r="C110" i="21"/>
  <c r="C109" i="21"/>
  <c r="C108" i="21"/>
  <c r="C107" i="21"/>
  <c r="C106" i="21"/>
  <c r="C102" i="21"/>
  <c r="C100" i="21"/>
  <c r="C99" i="21"/>
  <c r="C98" i="21"/>
  <c r="C97" i="21"/>
  <c r="C96" i="21"/>
  <c r="C95" i="21"/>
  <c r="C94" i="21"/>
  <c r="C93" i="21"/>
  <c r="C92" i="21"/>
  <c r="C91" i="21"/>
  <c r="C90" i="21"/>
  <c r="C86" i="21"/>
  <c r="C84" i="21"/>
  <c r="C83" i="21"/>
  <c r="C82" i="21"/>
  <c r="C81" i="21"/>
  <c r="C80" i="21"/>
  <c r="C79" i="21"/>
  <c r="C78" i="21"/>
  <c r="C77" i="21"/>
  <c r="C76" i="21"/>
  <c r="C75" i="21"/>
  <c r="C74" i="21"/>
  <c r="C70" i="21"/>
  <c r="C68" i="21"/>
  <c r="C67" i="21"/>
  <c r="C66" i="21"/>
  <c r="C65" i="21"/>
  <c r="C64" i="21"/>
  <c r="C63" i="21"/>
  <c r="C62" i="21"/>
  <c r="C61" i="21"/>
  <c r="C60" i="21"/>
  <c r="C59" i="21"/>
  <c r="C58" i="21"/>
  <c r="C54" i="21"/>
  <c r="C52" i="21"/>
  <c r="C51" i="21"/>
  <c r="C50" i="21"/>
  <c r="C49" i="21"/>
  <c r="C48" i="21"/>
  <c r="C47" i="21"/>
  <c r="C46" i="21"/>
  <c r="C45" i="21"/>
  <c r="C44" i="21"/>
  <c r="C43" i="21"/>
  <c r="C42" i="21"/>
  <c r="C38" i="21"/>
  <c r="C34" i="21"/>
  <c r="C33" i="21"/>
  <c r="C32" i="21"/>
  <c r="C31" i="21"/>
  <c r="C30" i="21"/>
  <c r="C29" i="21"/>
  <c r="C28" i="21"/>
  <c r="C27" i="21"/>
  <c r="C26" i="21"/>
  <c r="C36" i="21" s="1"/>
  <c r="C25" i="21"/>
  <c r="C35" i="21" s="1"/>
  <c r="C21" i="21"/>
  <c r="C19" i="21"/>
  <c r="C18" i="21"/>
  <c r="C17" i="21"/>
  <c r="C16" i="21"/>
  <c r="C15" i="21"/>
  <c r="C14" i="21"/>
  <c r="C13" i="21"/>
  <c r="C12" i="21"/>
  <c r="C11" i="21"/>
  <c r="C10" i="21"/>
  <c r="C9" i="21"/>
  <c r="AZ12" i="86" l="1"/>
  <c r="BD12" i="86"/>
  <c r="M46" i="37"/>
  <c r="O46" i="37"/>
  <c r="P46" i="37" s="1"/>
  <c r="N46" i="37"/>
  <c r="M111" i="37"/>
  <c r="N111" i="37"/>
  <c r="O111" i="37"/>
  <c r="P111" i="37" s="1"/>
  <c r="M112" i="37"/>
  <c r="O112" i="37"/>
  <c r="P112" i="37" s="1"/>
  <c r="N112" i="37"/>
  <c r="M127" i="37"/>
  <c r="O127" i="37"/>
  <c r="P127" i="37" s="1"/>
  <c r="N127" i="37"/>
  <c r="M122" i="33"/>
  <c r="N122" i="33"/>
  <c r="O122" i="33"/>
  <c r="P122" i="33" s="1"/>
  <c r="O8" i="37"/>
  <c r="P8" i="37" s="1"/>
  <c r="N8" i="37"/>
  <c r="M8" i="37"/>
  <c r="M13" i="33"/>
  <c r="O13" i="33"/>
  <c r="P13" i="33" s="1"/>
  <c r="N13" i="33"/>
  <c r="M138" i="37"/>
  <c r="N138" i="37"/>
  <c r="O138" i="37"/>
  <c r="P138" i="37" s="1"/>
  <c r="M144" i="37"/>
  <c r="O144" i="37"/>
  <c r="P144" i="37" s="1"/>
  <c r="N144" i="37"/>
  <c r="M44" i="37"/>
  <c r="O44" i="37"/>
  <c r="P44" i="37" s="1"/>
  <c r="N44" i="37"/>
  <c r="M44" i="33"/>
  <c r="O44" i="33"/>
  <c r="P44" i="33" s="1"/>
  <c r="N44" i="33"/>
  <c r="M63" i="33"/>
  <c r="O63" i="33"/>
  <c r="P63" i="33" s="1"/>
  <c r="N63" i="33"/>
  <c r="M61" i="33"/>
  <c r="O61" i="33"/>
  <c r="P61" i="33" s="1"/>
  <c r="N61" i="33"/>
  <c r="M28" i="33"/>
  <c r="O28" i="33"/>
  <c r="P28" i="33" s="1"/>
  <c r="N28" i="33"/>
  <c r="M25" i="33"/>
  <c r="O25" i="33"/>
  <c r="P25" i="33" s="1"/>
  <c r="N25" i="33"/>
  <c r="M74" i="33"/>
  <c r="N74" i="33"/>
  <c r="O74" i="33"/>
  <c r="P74" i="33" s="1"/>
  <c r="M75" i="37"/>
  <c r="N75" i="37"/>
  <c r="O75" i="37"/>
  <c r="P75" i="37" s="1"/>
  <c r="M93" i="37"/>
  <c r="N93" i="37"/>
  <c r="O93" i="37"/>
  <c r="P93" i="37" s="1"/>
  <c r="M90" i="33"/>
  <c r="O90" i="33"/>
  <c r="P90" i="33" s="1"/>
  <c r="N90" i="33"/>
  <c r="M119" i="33"/>
  <c r="N119" i="33"/>
  <c r="O119" i="33"/>
  <c r="P119" i="33" s="1"/>
  <c r="M125" i="37"/>
  <c r="N125" i="37"/>
  <c r="O125" i="37"/>
  <c r="P125" i="37" s="1"/>
  <c r="O137" i="33"/>
  <c r="P137" i="33" s="1"/>
  <c r="M137" i="33"/>
  <c r="N137" i="33"/>
  <c r="M105" i="33"/>
  <c r="O105" i="33"/>
  <c r="P105" i="33" s="1"/>
  <c r="N105" i="33"/>
  <c r="M108" i="33"/>
  <c r="O108" i="33"/>
  <c r="P108" i="33" s="1"/>
  <c r="N108" i="33"/>
  <c r="M128" i="33"/>
  <c r="O128" i="33"/>
  <c r="P128" i="33" s="1"/>
  <c r="N128" i="33"/>
  <c r="N121" i="33"/>
  <c r="O121" i="33"/>
  <c r="P121" i="33" s="1"/>
  <c r="M121" i="33"/>
  <c r="M10" i="37"/>
  <c r="N10" i="37"/>
  <c r="O10" i="37"/>
  <c r="P10" i="37" s="1"/>
  <c r="M11" i="37"/>
  <c r="N11" i="37"/>
  <c r="O11" i="37"/>
  <c r="P11" i="37" s="1"/>
  <c r="M144" i="33"/>
  <c r="O144" i="33"/>
  <c r="P144" i="33" s="1"/>
  <c r="N144" i="33"/>
  <c r="M140" i="37"/>
  <c r="N140" i="37"/>
  <c r="O140" i="37"/>
  <c r="P140" i="37" s="1"/>
  <c r="M43" i="33"/>
  <c r="N43" i="33"/>
  <c r="O43" i="33"/>
  <c r="P43" i="33" s="1"/>
  <c r="M41" i="37"/>
  <c r="N41" i="37"/>
  <c r="O41" i="37"/>
  <c r="P41" i="37" s="1"/>
  <c r="M59" i="37"/>
  <c r="N59" i="37"/>
  <c r="O59" i="37"/>
  <c r="P59" i="37" s="1"/>
  <c r="M62" i="33"/>
  <c r="O62" i="33"/>
  <c r="P62" i="33" s="1"/>
  <c r="N62" i="33"/>
  <c r="M29" i="33"/>
  <c r="N29" i="33"/>
  <c r="O29" i="33"/>
  <c r="P29" i="33" s="1"/>
  <c r="N24" i="33"/>
  <c r="M24" i="33"/>
  <c r="O24" i="33"/>
  <c r="P24" i="33" s="1"/>
  <c r="M75" i="33"/>
  <c r="N75" i="33"/>
  <c r="O75" i="33"/>
  <c r="P75" i="33" s="1"/>
  <c r="O73" i="37"/>
  <c r="P73" i="37" s="1"/>
  <c r="N73" i="37"/>
  <c r="M73" i="37"/>
  <c r="M96" i="33"/>
  <c r="N96" i="33"/>
  <c r="O96" i="33"/>
  <c r="P96" i="33" s="1"/>
  <c r="M94" i="33"/>
  <c r="N94" i="33"/>
  <c r="O94" i="33"/>
  <c r="P94" i="33" s="1"/>
  <c r="M108" i="37"/>
  <c r="O108" i="37"/>
  <c r="P108" i="37" s="1"/>
  <c r="N108" i="37"/>
  <c r="M124" i="33"/>
  <c r="N124" i="33"/>
  <c r="O124" i="33"/>
  <c r="P124" i="33" s="1"/>
  <c r="M105" i="37"/>
  <c r="N105" i="37"/>
  <c r="O105" i="37"/>
  <c r="P105" i="37" s="1"/>
  <c r="M110" i="37"/>
  <c r="N110" i="37"/>
  <c r="O110" i="37"/>
  <c r="P110" i="37" s="1"/>
  <c r="M122" i="37"/>
  <c r="N122" i="37"/>
  <c r="O122" i="37"/>
  <c r="P122" i="37" s="1"/>
  <c r="M124" i="37"/>
  <c r="O124" i="37"/>
  <c r="P124" i="37" s="1"/>
  <c r="N124" i="37"/>
  <c r="M10" i="33"/>
  <c r="O10" i="33"/>
  <c r="P10" i="33" s="1"/>
  <c r="N10" i="33"/>
  <c r="M9" i="33"/>
  <c r="O9" i="33"/>
  <c r="P9" i="33" s="1"/>
  <c r="N9" i="33"/>
  <c r="M143" i="33"/>
  <c r="N143" i="33"/>
  <c r="O143" i="33"/>
  <c r="P143" i="33" s="1"/>
  <c r="M141" i="37"/>
  <c r="O141" i="37"/>
  <c r="P141" i="37" s="1"/>
  <c r="N141" i="37"/>
  <c r="M43" i="37"/>
  <c r="N43" i="37"/>
  <c r="O43" i="37"/>
  <c r="P43" i="37" s="1"/>
  <c r="M47" i="33"/>
  <c r="N47" i="33"/>
  <c r="O47" i="33"/>
  <c r="P47" i="33" s="1"/>
  <c r="M63" i="37"/>
  <c r="O63" i="37"/>
  <c r="P63" i="37" s="1"/>
  <c r="N63" i="37"/>
  <c r="M58" i="37"/>
  <c r="O58" i="37"/>
  <c r="P58" i="37" s="1"/>
  <c r="N58" i="37"/>
  <c r="M24" i="37"/>
  <c r="N24" i="37"/>
  <c r="O24" i="37"/>
  <c r="P24" i="37" s="1"/>
  <c r="M26" i="33"/>
  <c r="N26" i="33"/>
  <c r="O26" i="33"/>
  <c r="P26" i="33" s="1"/>
  <c r="M74" i="37"/>
  <c r="O74" i="37"/>
  <c r="P74" i="37" s="1"/>
  <c r="N74" i="37"/>
  <c r="M77" i="33"/>
  <c r="O77" i="33"/>
  <c r="P77" i="33" s="1"/>
  <c r="N77" i="33"/>
  <c r="M93" i="33"/>
  <c r="N93" i="33"/>
  <c r="O93" i="33"/>
  <c r="P93" i="33" s="1"/>
  <c r="M91" i="33"/>
  <c r="O91" i="33"/>
  <c r="P91" i="33" s="1"/>
  <c r="N91" i="33"/>
  <c r="M110" i="33"/>
  <c r="N110" i="33"/>
  <c r="O110" i="33"/>
  <c r="P110" i="33" s="1"/>
  <c r="M142" i="37"/>
  <c r="O142" i="37"/>
  <c r="P142" i="37" s="1"/>
  <c r="N142" i="37"/>
  <c r="M48" i="33"/>
  <c r="O48" i="33"/>
  <c r="P48" i="33" s="1"/>
  <c r="N48" i="33"/>
  <c r="M109" i="37"/>
  <c r="O109" i="37"/>
  <c r="P109" i="37" s="1"/>
  <c r="N109" i="37"/>
  <c r="M107" i="33"/>
  <c r="O107" i="33"/>
  <c r="P107" i="33" s="1"/>
  <c r="N107" i="33"/>
  <c r="M123" i="33"/>
  <c r="O123" i="33"/>
  <c r="P123" i="33" s="1"/>
  <c r="N123" i="33"/>
  <c r="M125" i="33"/>
  <c r="O125" i="33"/>
  <c r="P125" i="33" s="1"/>
  <c r="N125" i="33"/>
  <c r="M15" i="33"/>
  <c r="N15" i="33"/>
  <c r="O15" i="33"/>
  <c r="P15" i="33" s="1"/>
  <c r="M14" i="33"/>
  <c r="O14" i="33"/>
  <c r="P14" i="33" s="1"/>
  <c r="N14" i="33"/>
  <c r="M138" i="33"/>
  <c r="N138" i="33"/>
  <c r="O138" i="33"/>
  <c r="P138" i="33" s="1"/>
  <c r="M142" i="33"/>
  <c r="O142" i="33"/>
  <c r="P142" i="33" s="1"/>
  <c r="N142" i="33"/>
  <c r="M45" i="33"/>
  <c r="N45" i="33"/>
  <c r="O45" i="33"/>
  <c r="P45" i="33" s="1"/>
  <c r="M42" i="33"/>
  <c r="O42" i="33"/>
  <c r="P42" i="33" s="1"/>
  <c r="N42" i="33"/>
  <c r="M60" i="37"/>
  <c r="O60" i="37"/>
  <c r="P60" i="37" s="1"/>
  <c r="N60" i="37"/>
  <c r="M59" i="33"/>
  <c r="O59" i="33"/>
  <c r="P59" i="33" s="1"/>
  <c r="N59" i="33"/>
  <c r="M27" i="37"/>
  <c r="O27" i="37"/>
  <c r="P27" i="37" s="1"/>
  <c r="N27" i="37"/>
  <c r="M31" i="33"/>
  <c r="O31" i="33"/>
  <c r="P31" i="33" s="1"/>
  <c r="N31" i="33"/>
  <c r="M79" i="33"/>
  <c r="O79" i="33"/>
  <c r="P79" i="33" s="1"/>
  <c r="N79" i="33"/>
  <c r="M80" i="33"/>
  <c r="O80" i="33"/>
  <c r="P80" i="33" s="1"/>
  <c r="N80" i="33"/>
  <c r="M90" i="37"/>
  <c r="N90" i="37"/>
  <c r="O90" i="37"/>
  <c r="P90" i="37" s="1"/>
  <c r="M96" i="37"/>
  <c r="N96" i="37"/>
  <c r="O96" i="37"/>
  <c r="P96" i="37" s="1"/>
  <c r="M106" i="33"/>
  <c r="O106" i="33"/>
  <c r="P106" i="33" s="1"/>
  <c r="N106" i="33"/>
  <c r="M107" i="37"/>
  <c r="N107" i="37"/>
  <c r="O107" i="37"/>
  <c r="P107" i="37" s="1"/>
  <c r="M111" i="33"/>
  <c r="N111" i="33"/>
  <c r="O111" i="33"/>
  <c r="P111" i="33" s="1"/>
  <c r="M121" i="37"/>
  <c r="N121" i="37"/>
  <c r="O121" i="37"/>
  <c r="P121" i="37" s="1"/>
  <c r="M123" i="37"/>
  <c r="O123" i="37"/>
  <c r="P123" i="37" s="1"/>
  <c r="N123" i="37"/>
  <c r="M11" i="33"/>
  <c r="N11" i="33"/>
  <c r="O11" i="33"/>
  <c r="P11" i="33" s="1"/>
  <c r="M12" i="37"/>
  <c r="O12" i="37"/>
  <c r="P12" i="37" s="1"/>
  <c r="N12" i="37"/>
  <c r="M141" i="33"/>
  <c r="N141" i="33"/>
  <c r="O141" i="33"/>
  <c r="P141" i="33" s="1"/>
  <c r="M140" i="33"/>
  <c r="N140" i="33"/>
  <c r="O140" i="33"/>
  <c r="P140" i="33" s="1"/>
  <c r="O41" i="33"/>
  <c r="P41" i="33" s="1"/>
  <c r="M41" i="33"/>
  <c r="N41" i="33"/>
  <c r="M47" i="37"/>
  <c r="O47" i="37"/>
  <c r="P47" i="37" s="1"/>
  <c r="N47" i="37"/>
  <c r="M64" i="37"/>
  <c r="O64" i="37"/>
  <c r="P64" i="37" s="1"/>
  <c r="N64" i="37"/>
  <c r="M57" i="37"/>
  <c r="O57" i="37"/>
  <c r="P57" i="37" s="1"/>
  <c r="N57" i="37"/>
  <c r="M31" i="37"/>
  <c r="N31" i="37"/>
  <c r="O31" i="37"/>
  <c r="P31" i="37" s="1"/>
  <c r="M26" i="37"/>
  <c r="N26" i="37"/>
  <c r="O26" i="37"/>
  <c r="P26" i="37" s="1"/>
  <c r="M76" i="37"/>
  <c r="N76" i="37"/>
  <c r="O76" i="37"/>
  <c r="P76" i="37" s="1"/>
  <c r="M76" i="33"/>
  <c r="N76" i="33"/>
  <c r="O76" i="33"/>
  <c r="P76" i="33" s="1"/>
  <c r="N89" i="33"/>
  <c r="O89" i="33"/>
  <c r="P89" i="33" s="1"/>
  <c r="M89" i="33"/>
  <c r="M89" i="37"/>
  <c r="N89" i="37"/>
  <c r="O89" i="37"/>
  <c r="P89" i="37" s="1"/>
  <c r="M60" i="33"/>
  <c r="O60" i="33"/>
  <c r="P60" i="33" s="1"/>
  <c r="N60" i="33"/>
  <c r="M57" i="33"/>
  <c r="O57" i="33"/>
  <c r="P57" i="33" s="1"/>
  <c r="N57" i="33"/>
  <c r="M30" i="37"/>
  <c r="O30" i="37"/>
  <c r="P30" i="37" s="1"/>
  <c r="N30" i="37"/>
  <c r="M28" i="37"/>
  <c r="O28" i="37"/>
  <c r="P28" i="37" s="1"/>
  <c r="N28" i="37"/>
  <c r="M80" i="37"/>
  <c r="O80" i="37"/>
  <c r="P80" i="37" s="1"/>
  <c r="N80" i="37"/>
  <c r="M79" i="37"/>
  <c r="N79" i="37"/>
  <c r="O79" i="37"/>
  <c r="P79" i="37" s="1"/>
  <c r="M94" i="37"/>
  <c r="N94" i="37"/>
  <c r="O94" i="37"/>
  <c r="P94" i="37" s="1"/>
  <c r="M92" i="37"/>
  <c r="O92" i="37"/>
  <c r="P92" i="37" s="1"/>
  <c r="N92" i="37"/>
  <c r="M8" i="33"/>
  <c r="O8" i="33"/>
  <c r="P8" i="33" s="1"/>
  <c r="N8" i="33"/>
  <c r="M119" i="37"/>
  <c r="N119" i="37"/>
  <c r="O119" i="37"/>
  <c r="P119" i="37" s="1"/>
  <c r="M106" i="37"/>
  <c r="N106" i="37"/>
  <c r="O106" i="37"/>
  <c r="P106" i="37" s="1"/>
  <c r="N104" i="33"/>
  <c r="M104" i="33"/>
  <c r="O104" i="33"/>
  <c r="P104" i="33" s="1"/>
  <c r="M128" i="37"/>
  <c r="O128" i="37"/>
  <c r="P128" i="37" s="1"/>
  <c r="N128" i="37"/>
  <c r="M126" i="33"/>
  <c r="O126" i="33"/>
  <c r="P126" i="33" s="1"/>
  <c r="N126" i="33"/>
  <c r="M9" i="37"/>
  <c r="O9" i="37"/>
  <c r="P9" i="37" s="1"/>
  <c r="N9" i="37"/>
  <c r="M15" i="37"/>
  <c r="N15" i="37"/>
  <c r="O15" i="37"/>
  <c r="P15" i="37" s="1"/>
  <c r="M143" i="37"/>
  <c r="O143" i="37"/>
  <c r="P143" i="37" s="1"/>
  <c r="N143" i="37"/>
  <c r="M139" i="33"/>
  <c r="O139" i="33"/>
  <c r="P139" i="33" s="1"/>
  <c r="N139" i="33"/>
  <c r="M45" i="37"/>
  <c r="N45" i="37"/>
  <c r="O45" i="37"/>
  <c r="P45" i="37" s="1"/>
  <c r="M46" i="33"/>
  <c r="N46" i="33"/>
  <c r="O46" i="33"/>
  <c r="P46" i="33" s="1"/>
  <c r="M64" i="33"/>
  <c r="O64" i="33"/>
  <c r="P64" i="33" s="1"/>
  <c r="N64" i="33"/>
  <c r="M62" i="37"/>
  <c r="O62" i="37"/>
  <c r="P62" i="37" s="1"/>
  <c r="N62" i="37"/>
  <c r="M29" i="37"/>
  <c r="N29" i="37"/>
  <c r="O29" i="37"/>
  <c r="P29" i="37" s="1"/>
  <c r="M27" i="33"/>
  <c r="O27" i="33"/>
  <c r="P27" i="33" s="1"/>
  <c r="N27" i="33"/>
  <c r="M78" i="33"/>
  <c r="N78" i="33"/>
  <c r="O78" i="33"/>
  <c r="P78" i="33" s="1"/>
  <c r="M73" i="33"/>
  <c r="O73" i="33"/>
  <c r="P73" i="33" s="1"/>
  <c r="N73" i="33"/>
  <c r="M92" i="33"/>
  <c r="O92" i="33"/>
  <c r="P92" i="33" s="1"/>
  <c r="N92" i="33"/>
  <c r="M95" i="37"/>
  <c r="N95" i="37"/>
  <c r="O95" i="37"/>
  <c r="P95" i="37" s="1"/>
  <c r="M13" i="37"/>
  <c r="N13" i="37"/>
  <c r="O13" i="37"/>
  <c r="P13" i="37" s="1"/>
  <c r="M109" i="33"/>
  <c r="O109" i="33"/>
  <c r="P109" i="33" s="1"/>
  <c r="N109" i="33"/>
  <c r="M112" i="33"/>
  <c r="N112" i="33"/>
  <c r="O112" i="33"/>
  <c r="P112" i="33" s="1"/>
  <c r="O104" i="37"/>
  <c r="P104" i="37" s="1"/>
  <c r="N104" i="37"/>
  <c r="M104" i="37"/>
  <c r="M126" i="37"/>
  <c r="O126" i="37"/>
  <c r="P126" i="37" s="1"/>
  <c r="N126" i="37"/>
  <c r="M127" i="33"/>
  <c r="O127" i="33"/>
  <c r="P127" i="33" s="1"/>
  <c r="N127" i="33"/>
  <c r="M12" i="33"/>
  <c r="O12" i="33"/>
  <c r="P12" i="33" s="1"/>
  <c r="N12" i="33"/>
  <c r="M14" i="37"/>
  <c r="O14" i="37"/>
  <c r="P14" i="37" s="1"/>
  <c r="N14" i="37"/>
  <c r="M139" i="37"/>
  <c r="N139" i="37"/>
  <c r="O139" i="37"/>
  <c r="P139" i="37" s="1"/>
  <c r="M137" i="37"/>
  <c r="O137" i="37"/>
  <c r="P137" i="37" s="1"/>
  <c r="N137" i="37"/>
  <c r="M48" i="37"/>
  <c r="N48" i="37"/>
  <c r="O48" i="37"/>
  <c r="P48" i="37" s="1"/>
  <c r="M42" i="37"/>
  <c r="O42" i="37"/>
  <c r="P42" i="37" s="1"/>
  <c r="N42" i="37"/>
  <c r="M58" i="33"/>
  <c r="O58" i="33"/>
  <c r="P58" i="33" s="1"/>
  <c r="N58" i="33"/>
  <c r="M61" i="37"/>
  <c r="N61" i="37"/>
  <c r="O61" i="37"/>
  <c r="P61" i="37" s="1"/>
  <c r="M25" i="37"/>
  <c r="N25" i="37"/>
  <c r="O25" i="37"/>
  <c r="P25" i="37" s="1"/>
  <c r="M30" i="33"/>
  <c r="O30" i="33"/>
  <c r="P30" i="33" s="1"/>
  <c r="N30" i="33"/>
  <c r="M77" i="37"/>
  <c r="O77" i="37"/>
  <c r="P77" i="37" s="1"/>
  <c r="N77" i="37"/>
  <c r="M78" i="37"/>
  <c r="O78" i="37"/>
  <c r="P78" i="37" s="1"/>
  <c r="N78" i="37"/>
  <c r="M95" i="33"/>
  <c r="O95" i="33"/>
  <c r="P95" i="33" s="1"/>
  <c r="N95" i="33"/>
  <c r="M91" i="37"/>
  <c r="O91" i="37"/>
  <c r="P91" i="37" s="1"/>
  <c r="N91" i="37"/>
  <c r="C151" i="21"/>
  <c r="N13" i="21"/>
  <c r="O13" i="21"/>
  <c r="P13" i="21" s="1"/>
  <c r="O14" i="21"/>
  <c r="P14" i="21" s="1"/>
  <c r="N14" i="21"/>
  <c r="O15" i="21"/>
  <c r="P15" i="21" s="1"/>
  <c r="N15" i="21"/>
  <c r="C148" i="21"/>
  <c r="O10" i="21"/>
  <c r="P10" i="21" s="1"/>
  <c r="N10" i="21"/>
  <c r="O11" i="21"/>
  <c r="P11" i="21" s="1"/>
  <c r="N11" i="21"/>
  <c r="C149" i="21"/>
  <c r="N9" i="21"/>
  <c r="O9" i="21"/>
  <c r="P9" i="21" s="1"/>
  <c r="O12" i="21"/>
  <c r="P12" i="21" s="1"/>
  <c r="N12" i="21"/>
  <c r="C150" i="21"/>
  <c r="C101" i="21"/>
  <c r="C103" i="21"/>
  <c r="C132" i="21"/>
  <c r="C134" i="21"/>
  <c r="C85" i="21"/>
  <c r="C87" i="21"/>
  <c r="C69" i="21"/>
  <c r="C71" i="21"/>
  <c r="C20" i="21"/>
  <c r="C22" i="21"/>
  <c r="C53" i="21"/>
  <c r="C55" i="21"/>
  <c r="C37" i="21"/>
  <c r="C39" i="21"/>
  <c r="S16" i="16"/>
  <c r="S15" i="16"/>
  <c r="S14" i="16"/>
  <c r="S13" i="16"/>
  <c r="S12" i="16"/>
  <c r="S11" i="16"/>
  <c r="S10" i="16"/>
  <c r="S9" i="16"/>
  <c r="L36" i="16"/>
  <c r="L35" i="16"/>
  <c r="L34" i="16"/>
  <c r="L33" i="16"/>
  <c r="L32" i="16"/>
  <c r="L31" i="16"/>
  <c r="L30" i="16"/>
  <c r="L29" i="16"/>
  <c r="L28" i="16"/>
  <c r="L27" i="16"/>
  <c r="L26" i="16"/>
  <c r="L25" i="16"/>
  <c r="L24" i="16"/>
  <c r="L23" i="16"/>
  <c r="L22" i="16"/>
  <c r="L21" i="16"/>
  <c r="BC12" i="86" l="1"/>
  <c r="BF12" i="86"/>
  <c r="BE12" i="86"/>
  <c r="S6" i="16"/>
  <c r="S7" i="16"/>
  <c r="S8" i="16"/>
  <c r="L20" i="16"/>
  <c r="L19" i="16"/>
  <c r="L18" i="16"/>
  <c r="L17" i="16"/>
  <c r="L16" i="16"/>
  <c r="L15" i="16"/>
  <c r="L14" i="16"/>
  <c r="L13" i="16"/>
  <c r="L12" i="16"/>
  <c r="L11" i="16"/>
  <c r="L10" i="16"/>
  <c r="L9" i="16"/>
  <c r="L6" i="16"/>
  <c r="L7" i="16"/>
  <c r="L8" i="16"/>
  <c r="L5"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6" i="16"/>
  <c r="E7" i="16"/>
  <c r="E8" i="16"/>
  <c r="E5" i="16"/>
  <c r="G52" i="16"/>
  <c r="G51" i="16"/>
  <c r="G50"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BG12" i="86" l="1"/>
  <c r="BK12" i="86" s="1"/>
  <c r="BH12" i="86"/>
  <c r="BL12" i="86" s="1"/>
  <c r="BJ12" i="86"/>
  <c r="BN12" i="86" s="1"/>
  <c r="BI12" i="86"/>
  <c r="BM12" i="86" s="1"/>
  <c r="C288" i="10"/>
  <c r="C261" i="10"/>
  <c r="C225" i="10"/>
  <c r="C197" i="10"/>
  <c r="C27" i="10"/>
  <c r="C86" i="10"/>
  <c r="C119" i="10"/>
  <c r="C145" i="10"/>
  <c r="C171"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59" i="10"/>
  <c r="C257" i="10"/>
  <c r="C256" i="10"/>
  <c r="C255" i="10"/>
  <c r="C254" i="10"/>
  <c r="C253" i="10"/>
  <c r="C252" i="10"/>
  <c r="C251" i="10"/>
  <c r="C250" i="10"/>
  <c r="C249" i="10"/>
  <c r="C244" i="10"/>
  <c r="C243" i="10"/>
  <c r="C238" i="10"/>
  <c r="C237" i="10"/>
  <c r="C235" i="10"/>
  <c r="C234" i="10"/>
  <c r="C233" i="10"/>
  <c r="C232" i="10"/>
  <c r="C231" i="10"/>
  <c r="C221" i="10"/>
  <c r="C210" i="10"/>
  <c r="C199" i="10"/>
  <c r="C187" i="10"/>
  <c r="C177" i="10"/>
  <c r="C165" i="10"/>
  <c r="C155" i="10"/>
  <c r="C152" i="10"/>
  <c r="C151" i="10"/>
  <c r="C150" i="10"/>
  <c r="C149" i="10"/>
  <c r="C148" i="10"/>
  <c r="C147" i="10"/>
  <c r="C146" i="10"/>
  <c r="C143" i="10"/>
  <c r="C142" i="10"/>
  <c r="C141" i="10"/>
  <c r="C133" i="10"/>
  <c r="C123" i="10"/>
  <c r="C110" i="10"/>
  <c r="C94" i="10"/>
  <c r="C82" i="10"/>
  <c r="C72" i="10"/>
  <c r="C62" i="10"/>
  <c r="C17" i="10"/>
  <c r="C7" i="10"/>
  <c r="C4" i="10"/>
  <c r="C3" i="10"/>
  <c r="C2" i="10"/>
  <c r="C60" i="10"/>
  <c r="C58" i="10"/>
  <c r="C56" i="10"/>
  <c r="C55" i="10"/>
  <c r="C54" i="10"/>
  <c r="C53" i="10"/>
  <c r="C52" i="10"/>
  <c r="C42" i="10"/>
  <c r="C28" i="10"/>
  <c r="BO12" i="86" l="1"/>
  <c r="C223" i="10"/>
  <c r="C222" i="10"/>
  <c r="C220" i="10"/>
  <c r="C195" i="10"/>
  <c r="C194" i="10"/>
  <c r="C193" i="10"/>
  <c r="C192" i="10"/>
  <c r="C169" i="10"/>
  <c r="C168" i="10"/>
  <c r="C167" i="10"/>
  <c r="C166" i="10"/>
  <c r="C140" i="10"/>
  <c r="C116" i="10"/>
  <c r="C115" i="10"/>
  <c r="C114" i="10"/>
  <c r="C113" i="10"/>
  <c r="C84" i="10"/>
  <c r="C83" i="10"/>
  <c r="C81" i="10"/>
  <c r="C25" i="10"/>
  <c r="C24" i="10"/>
  <c r="C23" i="10"/>
  <c r="C22" i="10"/>
  <c r="C216" i="10"/>
  <c r="C204" i="10"/>
  <c r="C188" i="10"/>
  <c r="C178" i="10"/>
  <c r="C175" i="10"/>
  <c r="C174" i="10"/>
  <c r="C173" i="10"/>
  <c r="C172" i="10"/>
  <c r="C164" i="10"/>
  <c r="C163" i="10"/>
  <c r="C162" i="10"/>
  <c r="C161" i="10"/>
  <c r="C160" i="10"/>
  <c r="C136" i="10"/>
  <c r="C126" i="10"/>
  <c r="C109" i="10"/>
  <c r="C93" i="10"/>
  <c r="C77" i="10"/>
  <c r="C67" i="10"/>
  <c r="C18" i="10"/>
  <c r="C8" i="10"/>
  <c r="C5" i="10"/>
  <c r="BR12" i="86" l="1"/>
  <c r="BQ12" i="86"/>
  <c r="BP12" i="86"/>
  <c r="C29" i="10"/>
  <c r="C30" i="10"/>
  <c r="C31" i="10"/>
  <c r="C32" i="10"/>
  <c r="C33" i="10"/>
  <c r="C34" i="10"/>
  <c r="C35" i="10"/>
  <c r="C36" i="10"/>
  <c r="C37" i="10"/>
  <c r="C43" i="10"/>
  <c r="C45" i="10"/>
  <c r="C46" i="10"/>
  <c r="C48" i="10"/>
  <c r="C49" i="10"/>
  <c r="C50" i="10"/>
  <c r="C51" i="10"/>
  <c r="C6" i="10"/>
  <c r="C9" i="10"/>
  <c r="C10" i="10"/>
  <c r="C11" i="10"/>
  <c r="C12" i="10"/>
  <c r="C13" i="10"/>
  <c r="C14" i="10"/>
  <c r="C15" i="10"/>
  <c r="C16" i="10"/>
  <c r="C19" i="10"/>
  <c r="C20" i="10"/>
  <c r="C21" i="10"/>
  <c r="C61" i="10"/>
  <c r="C63" i="10"/>
  <c r="C64" i="10"/>
  <c r="C65" i="10"/>
  <c r="C66" i="10"/>
  <c r="C68" i="10"/>
  <c r="C69" i="10"/>
  <c r="C70" i="10"/>
  <c r="C71" i="10"/>
  <c r="C73" i="10"/>
  <c r="C74" i="10"/>
  <c r="C75" i="10"/>
  <c r="C76" i="10"/>
  <c r="C78" i="10"/>
  <c r="C79" i="10"/>
  <c r="C80" i="10"/>
  <c r="C87" i="10"/>
  <c r="C88" i="10"/>
  <c r="C89" i="10"/>
  <c r="C90" i="10"/>
  <c r="C91" i="10"/>
  <c r="C92" i="10"/>
  <c r="C95" i="10"/>
  <c r="C96" i="10"/>
  <c r="C98" i="10"/>
  <c r="C99" i="10"/>
  <c r="C104" i="10"/>
  <c r="C105" i="10"/>
  <c r="C107" i="10"/>
  <c r="C108" i="10"/>
  <c r="C111" i="10"/>
  <c r="C112" i="10"/>
  <c r="C120" i="10"/>
  <c r="C121" i="10"/>
  <c r="C122" i="10"/>
  <c r="C124" i="10"/>
  <c r="C125" i="10"/>
  <c r="C127" i="10"/>
  <c r="C128" i="10"/>
  <c r="C129" i="10"/>
  <c r="C130" i="10"/>
  <c r="C131" i="10"/>
  <c r="C132" i="10"/>
  <c r="C134" i="10"/>
  <c r="C135" i="10"/>
  <c r="C137" i="10"/>
  <c r="C138" i="10"/>
  <c r="C139" i="10"/>
  <c r="C153" i="10"/>
  <c r="C154" i="10"/>
  <c r="C156" i="10"/>
  <c r="C157" i="10"/>
  <c r="C158" i="10"/>
  <c r="C159" i="10"/>
  <c r="C176" i="10"/>
  <c r="C179" i="10"/>
  <c r="C180" i="10"/>
  <c r="C181" i="10"/>
  <c r="C182" i="10"/>
  <c r="C183" i="10"/>
  <c r="C184" i="10"/>
  <c r="C185" i="10"/>
  <c r="C186" i="10"/>
  <c r="C189" i="10"/>
  <c r="C190" i="10"/>
  <c r="C191" i="10"/>
  <c r="C198" i="10"/>
  <c r="C200" i="10"/>
  <c r="C201" i="10"/>
  <c r="C202" i="10"/>
  <c r="C203" i="10"/>
  <c r="C205" i="10"/>
  <c r="C206" i="10"/>
  <c r="C207" i="10"/>
  <c r="C212" i="10"/>
  <c r="C213" i="10"/>
  <c r="C214" i="10"/>
  <c r="C215" i="10"/>
  <c r="C217" i="10"/>
  <c r="C218" i="10"/>
  <c r="C219" i="10"/>
  <c r="C226" i="10"/>
  <c r="C227" i="10"/>
  <c r="C228" i="10"/>
  <c r="C229" i="10"/>
  <c r="C230" i="10"/>
  <c r="F119" i="42" l="1"/>
  <c r="E135" i="42"/>
  <c r="E55" i="37"/>
  <c r="G53" i="36"/>
  <c r="K53" i="36" s="1"/>
  <c r="E152" i="33"/>
  <c r="G26" i="10"/>
  <c r="E39" i="21"/>
  <c r="G101" i="42"/>
  <c r="K101" i="42" s="1"/>
  <c r="F134" i="21"/>
  <c r="G69" i="33"/>
  <c r="K69" i="33" s="1"/>
  <c r="E39" i="43"/>
  <c r="G69" i="37"/>
  <c r="F103" i="42"/>
  <c r="G53" i="33"/>
  <c r="K53" i="33" s="1"/>
  <c r="E55" i="43"/>
  <c r="F87" i="36"/>
  <c r="G101" i="37"/>
  <c r="G101" i="43"/>
  <c r="E87" i="37"/>
  <c r="E71" i="21"/>
  <c r="F103" i="36"/>
  <c r="E71" i="43"/>
  <c r="E39" i="33"/>
  <c r="G101" i="33"/>
  <c r="K101" i="33" s="1"/>
  <c r="E103" i="21"/>
  <c r="F119" i="36"/>
  <c r="F135" i="37"/>
  <c r="G133" i="37"/>
  <c r="E87" i="42"/>
  <c r="F119" i="33"/>
  <c r="F103" i="43"/>
  <c r="E119" i="37"/>
  <c r="F135" i="36"/>
  <c r="E87" i="43"/>
  <c r="G101" i="36"/>
  <c r="K101" i="36" s="1"/>
  <c r="F87" i="33"/>
  <c r="G53" i="42"/>
  <c r="K53" i="42" s="1"/>
  <c r="E119" i="43"/>
  <c r="E71" i="42"/>
  <c r="E152" i="42"/>
  <c r="G69" i="36"/>
  <c r="G69" i="42"/>
  <c r="K69" i="42" s="1"/>
  <c r="E55" i="21"/>
  <c r="G133" i="33"/>
  <c r="K133" i="33" s="1"/>
  <c r="E71" i="36"/>
  <c r="F71" i="21"/>
  <c r="G117" i="42"/>
  <c r="E71" i="37"/>
  <c r="E103" i="43"/>
  <c r="E39" i="37"/>
  <c r="F103" i="33"/>
  <c r="F135" i="42"/>
  <c r="F103" i="21"/>
  <c r="E55" i="36"/>
  <c r="F103" i="37"/>
  <c r="E71" i="33"/>
  <c r="G53" i="37"/>
  <c r="F119" i="37"/>
  <c r="F55" i="43"/>
  <c r="G132" i="21"/>
  <c r="K132" i="21" s="1"/>
  <c r="G117" i="37"/>
  <c r="K117" i="37" s="1"/>
  <c r="F55" i="37"/>
  <c r="E87" i="36"/>
  <c r="F55" i="42"/>
  <c r="G53" i="21"/>
  <c r="F71" i="36"/>
  <c r="F87" i="43"/>
  <c r="E119" i="42"/>
  <c r="G69" i="43"/>
  <c r="K69" i="43" s="1"/>
  <c r="E135" i="37"/>
  <c r="E103" i="36"/>
  <c r="G101" i="21"/>
  <c r="K101" i="21" s="1"/>
  <c r="F55" i="36"/>
  <c r="E119" i="33"/>
  <c r="F71" i="33"/>
  <c r="G133" i="36"/>
  <c r="K133" i="36" s="1"/>
  <c r="E87" i="21"/>
  <c r="G133" i="42"/>
  <c r="K133" i="42" s="1"/>
  <c r="E87" i="33"/>
  <c r="F55" i="33"/>
  <c r="G117" i="36"/>
  <c r="E135" i="36"/>
  <c r="G117" i="33"/>
  <c r="K117" i="33" s="1"/>
  <c r="F71" i="42"/>
  <c r="G69" i="21"/>
  <c r="K69" i="21" s="1"/>
  <c r="E152" i="37"/>
  <c r="E136" i="43"/>
  <c r="E103" i="33"/>
  <c r="E152" i="36"/>
  <c r="E119" i="36"/>
  <c r="E151" i="21"/>
  <c r="F55" i="21"/>
  <c r="E103" i="37"/>
  <c r="E39" i="36"/>
  <c r="F135" i="33"/>
  <c r="F87" i="42"/>
  <c r="F71" i="37"/>
  <c r="F119" i="43"/>
  <c r="F71" i="43"/>
  <c r="G117" i="43"/>
  <c r="F87" i="37"/>
  <c r="E135" i="33"/>
  <c r="G53" i="43"/>
  <c r="K53" i="43" s="1"/>
  <c r="E103" i="42"/>
  <c r="E55" i="42"/>
  <c r="E134" i="21"/>
  <c r="E55" i="33"/>
  <c r="F87" i="21"/>
  <c r="E39" i="42"/>
  <c r="D26" i="10"/>
  <c r="K26" i="10" s="1"/>
  <c r="G287" i="10"/>
  <c r="D287" i="10"/>
  <c r="G260" i="10"/>
  <c r="D260" i="10"/>
  <c r="G224" i="10"/>
  <c r="D224" i="10"/>
  <c r="D196" i="10"/>
  <c r="G196" i="10"/>
  <c r="G170" i="10"/>
  <c r="D170" i="10"/>
  <c r="D144" i="10"/>
  <c r="G144" i="10"/>
  <c r="G118" i="10"/>
  <c r="D118" i="10"/>
  <c r="D85" i="10"/>
  <c r="G85" i="10"/>
  <c r="D59" i="10"/>
  <c r="G59" i="10"/>
  <c r="G258" i="10"/>
  <c r="G117" i="10"/>
  <c r="H117" i="10" s="1"/>
  <c r="D117" i="10"/>
  <c r="D57" i="10"/>
  <c r="G57" i="10"/>
  <c r="D56" i="10"/>
  <c r="E92" i="42"/>
  <c r="E12" i="42"/>
  <c r="F94" i="42"/>
  <c r="F60" i="42"/>
  <c r="F105" i="42"/>
  <c r="E86" i="43"/>
  <c r="F44" i="42"/>
  <c r="E83" i="42"/>
  <c r="E94" i="42"/>
  <c r="E14" i="42"/>
  <c r="E41" i="43"/>
  <c r="E11" i="43"/>
  <c r="F75" i="43"/>
  <c r="F27" i="43"/>
  <c r="F47" i="43"/>
  <c r="E89" i="43"/>
  <c r="F91" i="43"/>
  <c r="F42" i="43"/>
  <c r="F48" i="43"/>
  <c r="F123" i="43"/>
  <c r="F145" i="42"/>
  <c r="F75" i="42"/>
  <c r="E80" i="42"/>
  <c r="E46" i="42"/>
  <c r="E29" i="42"/>
  <c r="E9" i="43"/>
  <c r="F128" i="43"/>
  <c r="F25" i="43"/>
  <c r="E21" i="42"/>
  <c r="E107" i="42"/>
  <c r="E73" i="42"/>
  <c r="F61" i="43"/>
  <c r="E26" i="43"/>
  <c r="F32" i="43"/>
  <c r="F73" i="43"/>
  <c r="E90" i="43"/>
  <c r="E43" i="43"/>
  <c r="F45" i="43"/>
  <c r="E62" i="43"/>
  <c r="E27" i="43"/>
  <c r="F132" i="43"/>
  <c r="E57" i="43"/>
  <c r="F59" i="43"/>
  <c r="E63" i="43"/>
  <c r="F121" i="43"/>
  <c r="E61" i="42"/>
  <c r="E17" i="42"/>
  <c r="F90" i="42"/>
  <c r="E76" i="43"/>
  <c r="E48" i="43"/>
  <c r="E60" i="43"/>
  <c r="E74" i="43"/>
  <c r="F127" i="43"/>
  <c r="F34" i="43"/>
  <c r="F60" i="43"/>
  <c r="F13" i="42"/>
  <c r="E86" i="42"/>
  <c r="F15" i="42"/>
  <c r="F141" i="42"/>
  <c r="F111" i="42"/>
  <c r="F9" i="43"/>
  <c r="E15" i="43"/>
  <c r="F28" i="43"/>
  <c r="F125" i="43"/>
  <c r="F126" i="43"/>
  <c r="F46" i="43"/>
  <c r="E75" i="43"/>
  <c r="F91" i="42"/>
  <c r="E9" i="42"/>
  <c r="E106" i="42"/>
  <c r="E24" i="42"/>
  <c r="F95" i="42"/>
  <c r="E59" i="42"/>
  <c r="E93" i="42"/>
  <c r="E48" i="42"/>
  <c r="E19" i="43"/>
  <c r="F124" i="42"/>
  <c r="E78" i="42"/>
  <c r="E19" i="42"/>
  <c r="F137" i="42"/>
  <c r="E144" i="42"/>
  <c r="F128" i="42"/>
  <c r="E128" i="43"/>
  <c r="F78" i="43"/>
  <c r="F111" i="43"/>
  <c r="F89" i="43"/>
  <c r="E109" i="43"/>
  <c r="F31" i="43"/>
  <c r="F43" i="43"/>
  <c r="E79" i="43"/>
  <c r="E108" i="42"/>
  <c r="F58" i="42"/>
  <c r="E137" i="42"/>
  <c r="E95" i="42"/>
  <c r="F10" i="42"/>
  <c r="F79" i="42"/>
  <c r="F149" i="42"/>
  <c r="F107" i="42"/>
  <c r="F62" i="42"/>
  <c r="F92" i="42"/>
  <c r="F14" i="42"/>
  <c r="E124" i="42"/>
  <c r="F8" i="43"/>
  <c r="E111" i="42"/>
  <c r="F96" i="42"/>
  <c r="F64" i="43"/>
  <c r="E18" i="43"/>
  <c r="E75" i="42"/>
  <c r="E105" i="42"/>
  <c r="F109" i="42"/>
  <c r="F64" i="42"/>
  <c r="E27" i="42"/>
  <c r="E143" i="42"/>
  <c r="E62" i="42"/>
  <c r="E47" i="42"/>
  <c r="E126" i="42"/>
  <c r="F121" i="42"/>
  <c r="E21" i="43"/>
  <c r="E125" i="43"/>
  <c r="E45" i="42"/>
  <c r="F125" i="42"/>
  <c r="E122" i="43"/>
  <c r="E105" i="43"/>
  <c r="E92" i="43"/>
  <c r="F38" i="43"/>
  <c r="E64" i="42"/>
  <c r="F48" i="42"/>
  <c r="E16" i="43"/>
  <c r="F90" i="43"/>
  <c r="F123" i="42"/>
  <c r="F76" i="42"/>
  <c r="F30" i="42"/>
  <c r="F61" i="42"/>
  <c r="F140" i="42"/>
  <c r="E138" i="42"/>
  <c r="E123" i="42"/>
  <c r="F127" i="42"/>
  <c r="E81" i="42"/>
  <c r="F80" i="42"/>
  <c r="F34" i="42"/>
  <c r="F24" i="42"/>
  <c r="F144" i="42"/>
  <c r="F59" i="42"/>
  <c r="E57" i="42"/>
  <c r="F135" i="43"/>
  <c r="E111" i="43"/>
  <c r="F107" i="43"/>
  <c r="E81" i="43"/>
  <c r="F77" i="43"/>
  <c r="F78" i="42"/>
  <c r="F32" i="42"/>
  <c r="E112" i="42"/>
  <c r="E30" i="42"/>
  <c r="E15" i="42"/>
  <c r="E140" i="42"/>
  <c r="F38" i="42"/>
  <c r="F10" i="43"/>
  <c r="E13" i="42"/>
  <c r="F8" i="42"/>
  <c r="E42" i="42"/>
  <c r="E76" i="42"/>
  <c r="E110" i="42"/>
  <c r="E29" i="43"/>
  <c r="F126" i="42"/>
  <c r="F45" i="42"/>
  <c r="E14" i="43"/>
  <c r="F29" i="42"/>
  <c r="F143" i="42"/>
  <c r="F62" i="43"/>
  <c r="E84" i="42"/>
  <c r="F33" i="42"/>
  <c r="E107" i="43"/>
  <c r="E10" i="43"/>
  <c r="F73" i="42"/>
  <c r="F27" i="42"/>
  <c r="F147" i="42"/>
  <c r="E25" i="42"/>
  <c r="E141" i="42"/>
  <c r="E8" i="42"/>
  <c r="F110" i="43"/>
  <c r="E25" i="43"/>
  <c r="E41" i="42"/>
  <c r="E77" i="43"/>
  <c r="E16" i="42"/>
  <c r="E96" i="42"/>
  <c r="E10" i="42"/>
  <c r="E90" i="42"/>
  <c r="E17" i="43"/>
  <c r="E79" i="42"/>
  <c r="E8" i="43"/>
  <c r="E109" i="42"/>
  <c r="F80" i="43"/>
  <c r="E31" i="42"/>
  <c r="F138" i="42"/>
  <c r="F57" i="43"/>
  <c r="E77" i="42"/>
  <c r="F112" i="42"/>
  <c r="F146" i="42"/>
  <c r="F106" i="42"/>
  <c r="E30" i="43"/>
  <c r="E18" i="42"/>
  <c r="F89" i="42"/>
  <c r="F42" i="42"/>
  <c r="E12" i="43"/>
  <c r="F151" i="42"/>
  <c r="F110" i="42"/>
  <c r="F33" i="43"/>
  <c r="F93" i="42"/>
  <c r="E95" i="43"/>
  <c r="F11" i="42"/>
  <c r="F46" i="42"/>
  <c r="F15" i="43"/>
  <c r="E121" i="42"/>
  <c r="E93" i="43"/>
  <c r="E126" i="43"/>
  <c r="E64" i="43"/>
  <c r="E47" i="43"/>
  <c r="E96" i="43"/>
  <c r="F124" i="43"/>
  <c r="E58" i="43"/>
  <c r="E122" i="42"/>
  <c r="F47" i="42"/>
  <c r="F142" i="42"/>
  <c r="E127" i="42"/>
  <c r="E11" i="42"/>
  <c r="E142" i="42"/>
  <c r="E26" i="42"/>
  <c r="E24" i="43"/>
  <c r="F26" i="43"/>
  <c r="E44" i="43"/>
  <c r="E112" i="43"/>
  <c r="F130" i="43"/>
  <c r="F76" i="43"/>
  <c r="E31" i="43"/>
  <c r="E61" i="43"/>
  <c r="F24" i="43"/>
  <c r="F63" i="43"/>
  <c r="E80" i="43"/>
  <c r="F92" i="43"/>
  <c r="E110" i="43"/>
  <c r="E59" i="43"/>
  <c r="F139" i="42"/>
  <c r="E13" i="43"/>
  <c r="E43" i="42"/>
  <c r="E128" i="42"/>
  <c r="E58" i="42"/>
  <c r="E139" i="42"/>
  <c r="F11" i="43"/>
  <c r="F9" i="42"/>
  <c r="E60" i="42"/>
  <c r="E42" i="43"/>
  <c r="F112" i="43"/>
  <c r="F58" i="43"/>
  <c r="F131" i="43"/>
  <c r="F29" i="43"/>
  <c r="F105" i="43"/>
  <c r="F109" i="43"/>
  <c r="E91" i="43"/>
  <c r="F106" i="43"/>
  <c r="E78" i="43"/>
  <c r="E28" i="43"/>
  <c r="F30" i="43"/>
  <c r="F122" i="43"/>
  <c r="F44" i="43"/>
  <c r="E74" i="42"/>
  <c r="F14" i="43"/>
  <c r="E44" i="42"/>
  <c r="E89" i="42"/>
  <c r="E125" i="42"/>
  <c r="F25" i="42"/>
  <c r="F41" i="42"/>
  <c r="F122" i="42"/>
  <c r="E91" i="42"/>
  <c r="F31" i="42"/>
  <c r="F77" i="42"/>
  <c r="F13" i="43"/>
  <c r="F43" i="42"/>
  <c r="F95" i="43"/>
  <c r="F108" i="43"/>
  <c r="E127" i="43"/>
  <c r="E73" i="43"/>
  <c r="F129" i="43"/>
  <c r="F96" i="43"/>
  <c r="F41" i="43"/>
  <c r="F79" i="43"/>
  <c r="E45" i="43"/>
  <c r="E124" i="43"/>
  <c r="E121" i="43"/>
  <c r="E46" i="43"/>
  <c r="E84" i="43"/>
  <c r="F57" i="42"/>
  <c r="F26" i="42"/>
  <c r="F63" i="42"/>
  <c r="F108" i="42"/>
  <c r="F148" i="42"/>
  <c r="F28" i="42"/>
  <c r="F74" i="42"/>
  <c r="E82" i="42"/>
  <c r="E63" i="42"/>
  <c r="E28" i="42"/>
  <c r="E123" i="43"/>
  <c r="E82" i="43"/>
  <c r="E106" i="43"/>
  <c r="E94" i="43"/>
  <c r="E83" i="43"/>
  <c r="F74" i="43"/>
  <c r="F93" i="43"/>
  <c r="F94" i="43"/>
  <c r="E108" i="43"/>
  <c r="F133" i="43"/>
  <c r="E89" i="21"/>
  <c r="F93" i="21"/>
  <c r="F46" i="21"/>
  <c r="E16" i="21"/>
  <c r="E121" i="21"/>
  <c r="E12" i="21"/>
  <c r="F146" i="21"/>
  <c r="F144" i="21"/>
  <c r="F89" i="21"/>
  <c r="E112" i="21"/>
  <c r="E107" i="21"/>
  <c r="F34" i="21"/>
  <c r="E76" i="21"/>
  <c r="F42" i="21"/>
  <c r="E42" i="21"/>
  <c r="F122" i="21"/>
  <c r="E126" i="21"/>
  <c r="F27" i="21"/>
  <c r="F136" i="21"/>
  <c r="F33" i="21"/>
  <c r="F96" i="21"/>
  <c r="E57" i="21"/>
  <c r="E47" i="21"/>
  <c r="F79" i="21"/>
  <c r="E93" i="21"/>
  <c r="E28" i="21"/>
  <c r="F45" i="21"/>
  <c r="F61" i="21"/>
  <c r="E18" i="21"/>
  <c r="F111" i="21"/>
  <c r="E61" i="21"/>
  <c r="F141" i="21"/>
  <c r="E140" i="21"/>
  <c r="E81" i="21"/>
  <c r="E24" i="21"/>
  <c r="F92" i="21"/>
  <c r="E96" i="21"/>
  <c r="E29" i="21"/>
  <c r="E122" i="21"/>
  <c r="F60" i="21"/>
  <c r="G82" i="10"/>
  <c r="E125" i="37"/>
  <c r="F14" i="36"/>
  <c r="E105" i="37"/>
  <c r="E79" i="36"/>
  <c r="E127" i="36"/>
  <c r="F144" i="37"/>
  <c r="F10" i="36"/>
  <c r="F94" i="37"/>
  <c r="F9" i="37"/>
  <c r="F147" i="36"/>
  <c r="F91" i="36"/>
  <c r="F90" i="36"/>
  <c r="E86" i="36"/>
  <c r="F141" i="36"/>
  <c r="F148" i="37"/>
  <c r="E15" i="37"/>
  <c r="E82" i="37"/>
  <c r="F25" i="37"/>
  <c r="E12" i="37"/>
  <c r="E42" i="37"/>
  <c r="F11" i="37"/>
  <c r="E93" i="36"/>
  <c r="F89" i="37"/>
  <c r="F57" i="37"/>
  <c r="F108" i="36"/>
  <c r="E106" i="36"/>
  <c r="F13" i="37"/>
  <c r="E61" i="37"/>
  <c r="E81" i="37"/>
  <c r="E139" i="36"/>
  <c r="E18" i="36"/>
  <c r="F73" i="36"/>
  <c r="F94" i="33"/>
  <c r="E16" i="36"/>
  <c r="F151" i="37"/>
  <c r="F125" i="37"/>
  <c r="F27" i="37"/>
  <c r="F74" i="36"/>
  <c r="F90" i="37"/>
  <c r="E75" i="37"/>
  <c r="E59" i="37"/>
  <c r="F123" i="36"/>
  <c r="E75" i="36"/>
  <c r="F64" i="36"/>
  <c r="F111" i="36"/>
  <c r="F58" i="37"/>
  <c r="E122" i="36"/>
  <c r="E74" i="36"/>
  <c r="E62" i="36"/>
  <c r="F31" i="36"/>
  <c r="E143" i="37"/>
  <c r="F80" i="36"/>
  <c r="E93" i="37"/>
  <c r="F8" i="37"/>
  <c r="F149" i="37"/>
  <c r="E84" i="36"/>
  <c r="F138" i="36"/>
  <c r="F27" i="36"/>
  <c r="E19" i="36"/>
  <c r="F79" i="37"/>
  <c r="E19" i="37"/>
  <c r="E10" i="37"/>
  <c r="E83" i="36"/>
  <c r="E25" i="36"/>
  <c r="E73" i="37"/>
  <c r="F140" i="37"/>
  <c r="F61" i="37"/>
  <c r="E31" i="37"/>
  <c r="F73" i="37"/>
  <c r="F45" i="37"/>
  <c r="E140" i="36"/>
  <c r="E89" i="36"/>
  <c r="F33" i="36"/>
  <c r="F89" i="36"/>
  <c r="F24" i="37"/>
  <c r="E126" i="36"/>
  <c r="F137" i="36"/>
  <c r="F76" i="36"/>
  <c r="F149" i="36"/>
  <c r="E111" i="37"/>
  <c r="F15" i="37"/>
  <c r="F145" i="36"/>
  <c r="E60" i="37"/>
  <c r="F121" i="36"/>
  <c r="E79" i="37"/>
  <c r="F76" i="37"/>
  <c r="E84" i="37"/>
  <c r="F62" i="36"/>
  <c r="E123" i="37"/>
  <c r="F26" i="37"/>
  <c r="E105" i="36"/>
  <c r="E94" i="36"/>
  <c r="E43" i="36"/>
  <c r="E12" i="36"/>
  <c r="F77" i="37"/>
  <c r="F59" i="37"/>
  <c r="F41" i="37"/>
  <c r="E112" i="36"/>
  <c r="F61" i="36"/>
  <c r="F105" i="37"/>
  <c r="F110" i="37"/>
  <c r="E110" i="37"/>
  <c r="E121" i="36"/>
  <c r="E73" i="36"/>
  <c r="E61" i="36"/>
  <c r="F109" i="36"/>
  <c r="E106" i="37"/>
  <c r="F93" i="37"/>
  <c r="E30" i="37"/>
  <c r="F147" i="37"/>
  <c r="F79" i="36"/>
  <c r="F44" i="36"/>
  <c r="F47" i="36"/>
  <c r="E21" i="36"/>
  <c r="E109" i="37"/>
  <c r="F109" i="37"/>
  <c r="F146" i="37"/>
  <c r="E143" i="36"/>
  <c r="F140" i="36"/>
  <c r="F112" i="37"/>
  <c r="F96" i="37"/>
  <c r="E29" i="37"/>
  <c r="E16" i="37"/>
  <c r="E123" i="36"/>
  <c r="E78" i="37"/>
  <c r="E43" i="33"/>
  <c r="F127" i="37"/>
  <c r="E128" i="37"/>
  <c r="E90" i="36"/>
  <c r="F151" i="36"/>
  <c r="E141" i="36"/>
  <c r="F38" i="36"/>
  <c r="E45" i="36"/>
  <c r="F28" i="37"/>
  <c r="F121" i="37"/>
  <c r="E41" i="36"/>
  <c r="F48" i="36"/>
  <c r="F143" i="37"/>
  <c r="E45" i="37"/>
  <c r="E27" i="37"/>
  <c r="F60" i="37"/>
  <c r="F29" i="36"/>
  <c r="E46" i="36"/>
  <c r="E77" i="37"/>
  <c r="E48" i="37"/>
  <c r="E110" i="36"/>
  <c r="E60" i="36"/>
  <c r="E86" i="37"/>
  <c r="F108" i="37"/>
  <c r="E144" i="37"/>
  <c r="E108" i="36"/>
  <c r="E29" i="36"/>
  <c r="E92" i="37"/>
  <c r="E64" i="37"/>
  <c r="E83" i="37"/>
  <c r="F29" i="37"/>
  <c r="E95" i="37"/>
  <c r="F137" i="37"/>
  <c r="E112" i="37"/>
  <c r="F145" i="37"/>
  <c r="E25" i="37"/>
  <c r="F78" i="36"/>
  <c r="F128" i="37"/>
  <c r="E74" i="37"/>
  <c r="E8" i="37"/>
  <c r="E92" i="36"/>
  <c r="F10" i="37"/>
  <c r="E42" i="36"/>
  <c r="F30" i="36"/>
  <c r="E47" i="36"/>
  <c r="E109" i="36"/>
  <c r="F124" i="33"/>
  <c r="F106" i="37"/>
  <c r="E58" i="37"/>
  <c r="E41" i="37"/>
  <c r="F142" i="36"/>
  <c r="E137" i="36"/>
  <c r="E80" i="36"/>
  <c r="E128" i="36"/>
  <c r="E13" i="36"/>
  <c r="F146" i="36"/>
  <c r="F139" i="36"/>
  <c r="F58" i="36"/>
  <c r="F110" i="36"/>
  <c r="F57" i="36"/>
  <c r="F33" i="37"/>
  <c r="F143" i="36"/>
  <c r="E142" i="37"/>
  <c r="F92" i="37"/>
  <c r="E27" i="36"/>
  <c r="F25" i="36"/>
  <c r="F78" i="37"/>
  <c r="E47" i="37"/>
  <c r="F80" i="37"/>
  <c r="F144" i="36"/>
  <c r="F60" i="36"/>
  <c r="F107" i="36"/>
  <c r="E11" i="37"/>
  <c r="E96" i="37"/>
  <c r="E17" i="37"/>
  <c r="F125" i="36"/>
  <c r="F15" i="36"/>
  <c r="E107" i="37"/>
  <c r="F42" i="37"/>
  <c r="E91" i="33"/>
  <c r="F60" i="33"/>
  <c r="F77" i="33"/>
  <c r="F91" i="37"/>
  <c r="E76" i="37"/>
  <c r="F123" i="37"/>
  <c r="E124" i="36"/>
  <c r="E76" i="36"/>
  <c r="F141" i="37"/>
  <c r="E24" i="37"/>
  <c r="E124" i="37"/>
  <c r="E140" i="37"/>
  <c r="E21" i="37"/>
  <c r="E14" i="37"/>
  <c r="F126" i="36"/>
  <c r="F122" i="36"/>
  <c r="E122" i="37"/>
  <c r="E11" i="36"/>
  <c r="E95" i="36"/>
  <c r="E137" i="37"/>
  <c r="F43" i="37"/>
  <c r="E90" i="37"/>
  <c r="F38" i="37"/>
  <c r="F128" i="36"/>
  <c r="E26" i="36"/>
  <c r="F74" i="37"/>
  <c r="F32" i="37"/>
  <c r="E46" i="37"/>
  <c r="F75" i="37"/>
  <c r="F94" i="36"/>
  <c r="F34" i="36"/>
  <c r="F24" i="36"/>
  <c r="E9" i="37"/>
  <c r="F93" i="36"/>
  <c r="F14" i="37"/>
  <c r="E31" i="36"/>
  <c r="E48" i="36"/>
  <c r="F62" i="37"/>
  <c r="E77" i="36"/>
  <c r="E64" i="36"/>
  <c r="F112" i="36"/>
  <c r="E62" i="33"/>
  <c r="F28" i="33"/>
  <c r="F34" i="33"/>
  <c r="F61" i="33"/>
  <c r="E80" i="37"/>
  <c r="F63" i="37"/>
  <c r="E43" i="37"/>
  <c r="E63" i="36"/>
  <c r="F106" i="36"/>
  <c r="F13" i="36"/>
  <c r="E94" i="37"/>
  <c r="E144" i="36"/>
  <c r="F63" i="36"/>
  <c r="F95" i="36"/>
  <c r="F46" i="36"/>
  <c r="E139" i="37"/>
  <c r="F122" i="37"/>
  <c r="E13" i="37"/>
  <c r="E125" i="36"/>
  <c r="E107" i="36"/>
  <c r="E58" i="36"/>
  <c r="F142" i="37"/>
  <c r="F31" i="37"/>
  <c r="F45" i="36"/>
  <c r="E57" i="36"/>
  <c r="F34" i="37"/>
  <c r="F47" i="37"/>
  <c r="F127" i="36"/>
  <c r="F8" i="36"/>
  <c r="F77" i="36"/>
  <c r="E108" i="37"/>
  <c r="E62" i="37"/>
  <c r="F107" i="37"/>
  <c r="E44" i="37"/>
  <c r="E142" i="36"/>
  <c r="F64" i="37"/>
  <c r="F44" i="37"/>
  <c r="F96" i="36"/>
  <c r="E14" i="36"/>
  <c r="F124" i="36"/>
  <c r="E30" i="33"/>
  <c r="F138" i="37"/>
  <c r="E57" i="37"/>
  <c r="F46" i="37"/>
  <c r="E81" i="36"/>
  <c r="F126" i="37"/>
  <c r="F111" i="37"/>
  <c r="E126" i="37"/>
  <c r="F92" i="36"/>
  <c r="E138" i="36"/>
  <c r="F124" i="37"/>
  <c r="F148" i="36"/>
  <c r="E91" i="36"/>
  <c r="E121" i="37"/>
  <c r="E18" i="37"/>
  <c r="F95" i="37"/>
  <c r="E59" i="36"/>
  <c r="E44" i="36"/>
  <c r="E138" i="37"/>
  <c r="F105" i="36"/>
  <c r="E96" i="36"/>
  <c r="E141" i="37"/>
  <c r="E26" i="37"/>
  <c r="F48" i="37"/>
  <c r="E30" i="36"/>
  <c r="E89" i="37"/>
  <c r="E63" i="37"/>
  <c r="E28" i="37"/>
  <c r="E127" i="37"/>
  <c r="E91" i="37"/>
  <c r="E78" i="36"/>
  <c r="E111" i="36"/>
  <c r="F139" i="37"/>
  <c r="F30" i="37"/>
  <c r="E82" i="36"/>
  <c r="E14" i="33"/>
  <c r="F26" i="33"/>
  <c r="F139" i="33"/>
  <c r="E12" i="33"/>
  <c r="F95" i="21"/>
  <c r="F30" i="21"/>
  <c r="E60" i="33"/>
  <c r="E83" i="33"/>
  <c r="F64" i="33"/>
  <c r="F59" i="33"/>
  <c r="E59" i="33"/>
  <c r="E78" i="21"/>
  <c r="E15" i="21"/>
  <c r="F42" i="36"/>
  <c r="F25" i="33"/>
  <c r="E8" i="33"/>
  <c r="F14" i="33"/>
  <c r="F29" i="33"/>
  <c r="E86" i="21"/>
  <c r="E10" i="21"/>
  <c r="F138" i="33"/>
  <c r="F144" i="33"/>
  <c r="F142" i="33"/>
  <c r="E46" i="33"/>
  <c r="E77" i="33"/>
  <c r="E110" i="21"/>
  <c r="E59" i="21"/>
  <c r="F13" i="21"/>
  <c r="F8" i="33"/>
  <c r="E16" i="33"/>
  <c r="E31" i="33"/>
  <c r="F15" i="33"/>
  <c r="F10" i="33"/>
  <c r="F110" i="21"/>
  <c r="F44" i="21"/>
  <c r="F148" i="33"/>
  <c r="F141" i="33"/>
  <c r="F112" i="21"/>
  <c r="F57" i="21"/>
  <c r="F125" i="21"/>
  <c r="E9" i="21"/>
  <c r="F76" i="21"/>
  <c r="F109" i="33"/>
  <c r="E45" i="21"/>
  <c r="F31" i="33"/>
  <c r="F47" i="33"/>
  <c r="E42" i="33"/>
  <c r="E27" i="33"/>
  <c r="F143" i="21"/>
  <c r="F78" i="21"/>
  <c r="E26" i="21"/>
  <c r="F9" i="33"/>
  <c r="E31" i="21"/>
  <c r="F143" i="33"/>
  <c r="F108" i="33"/>
  <c r="E122" i="33"/>
  <c r="F112" i="33"/>
  <c r="F107" i="33"/>
  <c r="F110" i="33"/>
  <c r="E105" i="21"/>
  <c r="E13" i="33"/>
  <c r="E24" i="33"/>
  <c r="E15" i="33"/>
  <c r="F124" i="21"/>
  <c r="F59" i="21"/>
  <c r="E9" i="36"/>
  <c r="F126" i="21"/>
  <c r="E19" i="33"/>
  <c r="E60" i="21"/>
  <c r="F26" i="36"/>
  <c r="E124" i="33"/>
  <c r="E128" i="33"/>
  <c r="E123" i="33"/>
  <c r="E127" i="21"/>
  <c r="E62" i="21"/>
  <c r="F33" i="33"/>
  <c r="E9" i="33"/>
  <c r="F91" i="21"/>
  <c r="F26" i="21"/>
  <c r="E79" i="33"/>
  <c r="E90" i="33"/>
  <c r="F78" i="33"/>
  <c r="F118" i="21"/>
  <c r="F47" i="21"/>
  <c r="E17" i="33"/>
  <c r="E11" i="33"/>
  <c r="E26" i="33"/>
  <c r="E75" i="21"/>
  <c r="E21" i="21"/>
  <c r="F127" i="33"/>
  <c r="E141" i="33"/>
  <c r="E139" i="33"/>
  <c r="F126" i="33"/>
  <c r="E142" i="21"/>
  <c r="E77" i="21"/>
  <c r="E19" i="21"/>
  <c r="E94" i="33"/>
  <c r="E93" i="33"/>
  <c r="E96" i="33"/>
  <c r="F142" i="21"/>
  <c r="F77" i="21"/>
  <c r="F15" i="21"/>
  <c r="E141" i="21"/>
  <c r="E17" i="21"/>
  <c r="F108" i="21"/>
  <c r="F28" i="36"/>
  <c r="E41" i="21"/>
  <c r="F147" i="33"/>
  <c r="F146" i="33"/>
  <c r="E142" i="33"/>
  <c r="F145" i="33"/>
  <c r="E81" i="33"/>
  <c r="E61" i="33"/>
  <c r="F48" i="33"/>
  <c r="E48" i="33"/>
  <c r="E120" i="21"/>
  <c r="E63" i="21"/>
  <c r="E24" i="36"/>
  <c r="F9" i="21"/>
  <c r="E140" i="33"/>
  <c r="E105" i="33"/>
  <c r="E109" i="33"/>
  <c r="F96" i="33"/>
  <c r="E107" i="33"/>
  <c r="E90" i="21"/>
  <c r="E25" i="21"/>
  <c r="E8" i="36"/>
  <c r="F63" i="33"/>
  <c r="F90" i="33"/>
  <c r="F75" i="33"/>
  <c r="E64" i="33"/>
  <c r="F62" i="33"/>
  <c r="E143" i="21"/>
  <c r="F90" i="21"/>
  <c r="F25" i="21"/>
  <c r="F80" i="21"/>
  <c r="F111" i="33"/>
  <c r="E126" i="33"/>
  <c r="E123" i="21"/>
  <c r="E58" i="21"/>
  <c r="E15" i="36"/>
  <c r="F9" i="36"/>
  <c r="E108" i="33"/>
  <c r="F128" i="33"/>
  <c r="F121" i="33"/>
  <c r="E109" i="21"/>
  <c r="F75" i="36"/>
  <c r="F46" i="33"/>
  <c r="E28" i="33"/>
  <c r="E44" i="33"/>
  <c r="E29" i="33"/>
  <c r="F63" i="21"/>
  <c r="F14" i="21"/>
  <c r="E10" i="36"/>
  <c r="F41" i="36"/>
  <c r="F74" i="33"/>
  <c r="E95" i="33"/>
  <c r="E80" i="33"/>
  <c r="E75" i="33"/>
  <c r="F105" i="21"/>
  <c r="E28" i="36"/>
  <c r="F122" i="33"/>
  <c r="E144" i="33"/>
  <c r="E137" i="33"/>
  <c r="E138" i="21"/>
  <c r="E41" i="33"/>
  <c r="F58" i="33"/>
  <c r="F45" i="33"/>
  <c r="F38" i="33"/>
  <c r="F30" i="33"/>
  <c r="E91" i="21"/>
  <c r="F38" i="21"/>
  <c r="E136" i="21"/>
  <c r="F24" i="21"/>
  <c r="E89" i="33"/>
  <c r="F138" i="21"/>
  <c r="F73" i="21"/>
  <c r="F43" i="36"/>
  <c r="E143" i="33"/>
  <c r="E138" i="33"/>
  <c r="F151" i="33"/>
  <c r="F149" i="33"/>
  <c r="E121" i="33"/>
  <c r="F79" i="33"/>
  <c r="F95" i="33"/>
  <c r="E106" i="33"/>
  <c r="E82" i="33"/>
  <c r="F123" i="21"/>
  <c r="F58" i="21"/>
  <c r="E79" i="21"/>
  <c r="E14" i="21"/>
  <c r="F32" i="36"/>
  <c r="E127" i="33"/>
  <c r="F137" i="33"/>
  <c r="F140" i="33"/>
  <c r="F76" i="33"/>
  <c r="F44" i="33"/>
  <c r="E63" i="33"/>
  <c r="E45" i="33"/>
  <c r="F43" i="33"/>
  <c r="E106" i="21"/>
  <c r="E48" i="21"/>
  <c r="F92" i="33"/>
  <c r="E111" i="33"/>
  <c r="F150" i="21"/>
  <c r="E82" i="21"/>
  <c r="F59" i="36"/>
  <c r="F42" i="33"/>
  <c r="F106" i="21"/>
  <c r="F140" i="21"/>
  <c r="F147" i="21"/>
  <c r="F121" i="21"/>
  <c r="F11" i="33"/>
  <c r="E139" i="21"/>
  <c r="E83" i="21"/>
  <c r="E11" i="21"/>
  <c r="F11" i="36"/>
  <c r="F125" i="33"/>
  <c r="F123" i="33"/>
  <c r="E112" i="33"/>
  <c r="E118" i="21"/>
  <c r="E86" i="33"/>
  <c r="E57" i="33"/>
  <c r="E74" i="33"/>
  <c r="F80" i="33"/>
  <c r="E124" i="21"/>
  <c r="E74" i="21"/>
  <c r="E8" i="21"/>
  <c r="E27" i="21"/>
  <c r="E125" i="33"/>
  <c r="E94" i="21"/>
  <c r="E21" i="33"/>
  <c r="E47" i="33"/>
  <c r="F24" i="33"/>
  <c r="E18" i="33"/>
  <c r="F120" i="21"/>
  <c r="F48" i="21"/>
  <c r="F105" i="33"/>
  <c r="F73" i="33"/>
  <c r="F148" i="21"/>
  <c r="F94" i="21"/>
  <c r="F29" i="21"/>
  <c r="E10" i="33"/>
  <c r="E73" i="21"/>
  <c r="E125" i="21"/>
  <c r="F106" i="33"/>
  <c r="F32" i="33"/>
  <c r="F8" i="21"/>
  <c r="E84" i="21"/>
  <c r="E30" i="21"/>
  <c r="F89" i="33"/>
  <c r="E84" i="33"/>
  <c r="F93" i="33"/>
  <c r="F91" i="33"/>
  <c r="F127" i="21"/>
  <c r="F62" i="21"/>
  <c r="F57" i="33"/>
  <c r="E25" i="33"/>
  <c r="E58" i="33"/>
  <c r="F27" i="33"/>
  <c r="F139" i="21"/>
  <c r="F74" i="21"/>
  <c r="F10" i="21"/>
  <c r="E110" i="33"/>
  <c r="E76" i="33"/>
  <c r="E92" i="33"/>
  <c r="E78" i="33"/>
  <c r="F109" i="21"/>
  <c r="F43" i="21"/>
  <c r="F13" i="33"/>
  <c r="E64" i="21"/>
  <c r="E73" i="33"/>
  <c r="F41" i="33"/>
  <c r="E95" i="21"/>
  <c r="E44" i="21"/>
  <c r="E17" i="36"/>
  <c r="E108" i="21"/>
  <c r="F32" i="21"/>
  <c r="F75" i="21"/>
  <c r="E137" i="21"/>
  <c r="E80" i="21"/>
  <c r="F41" i="21"/>
  <c r="E46" i="21"/>
  <c r="E111" i="21"/>
  <c r="E43" i="21"/>
  <c r="E13" i="21"/>
  <c r="F28" i="21"/>
  <c r="F31" i="21"/>
  <c r="F145" i="21"/>
  <c r="E92" i="21"/>
  <c r="F11" i="21"/>
  <c r="F107" i="21"/>
  <c r="F137" i="21"/>
  <c r="F64" i="21"/>
  <c r="D116" i="10"/>
  <c r="G55" i="10"/>
  <c r="D112" i="10"/>
  <c r="G81" i="10"/>
  <c r="D142" i="10"/>
  <c r="G254" i="10"/>
  <c r="G84" i="10"/>
  <c r="G112" i="10"/>
  <c r="G282" i="10"/>
  <c r="G191" i="10"/>
  <c r="D256" i="10"/>
  <c r="D58" i="10"/>
  <c r="D82" i="10"/>
  <c r="G54" i="10"/>
  <c r="G58" i="10"/>
  <c r="G116" i="10"/>
  <c r="D223" i="10"/>
  <c r="G281" i="10"/>
  <c r="G259" i="10"/>
  <c r="G255" i="10"/>
  <c r="G141" i="10"/>
  <c r="D167" i="10"/>
  <c r="D53" i="10"/>
  <c r="G221" i="10"/>
  <c r="D166" i="10"/>
  <c r="G139" i="10"/>
  <c r="D83" i="10"/>
  <c r="D285" i="10"/>
  <c r="G222" i="10"/>
  <c r="D191" i="10"/>
  <c r="G143" i="10"/>
  <c r="G165" i="10"/>
  <c r="D113" i="10"/>
  <c r="G80" i="10"/>
  <c r="D141" i="10"/>
  <c r="G194" i="10"/>
  <c r="G83" i="10"/>
  <c r="D139" i="10"/>
  <c r="D219" i="10"/>
  <c r="G284" i="10"/>
  <c r="D54" i="10"/>
  <c r="D143" i="10"/>
  <c r="G115" i="10"/>
  <c r="D222" i="10"/>
  <c r="D259" i="10"/>
  <c r="G220" i="10"/>
  <c r="G113" i="10"/>
  <c r="G169" i="10"/>
  <c r="D140" i="10"/>
  <c r="D255" i="10"/>
  <c r="G283" i="10"/>
  <c r="D193" i="10"/>
  <c r="G166" i="10"/>
  <c r="D115" i="10"/>
  <c r="G219" i="10"/>
  <c r="D257" i="10"/>
  <c r="D283" i="10"/>
  <c r="D80" i="10"/>
  <c r="D168" i="10"/>
  <c r="G56" i="10"/>
  <c r="G53" i="10"/>
  <c r="D55" i="10"/>
  <c r="G21" i="10"/>
  <c r="D254" i="10"/>
  <c r="G195" i="10"/>
  <c r="G192" i="10"/>
  <c r="G142" i="10"/>
  <c r="D81" i="10"/>
  <c r="G223" i="10"/>
  <c r="D192" i="10"/>
  <c r="D114" i="10"/>
  <c r="D169" i="10"/>
  <c r="D281" i="10"/>
  <c r="D282" i="10"/>
  <c r="D195" i="10"/>
  <c r="G168" i="10"/>
  <c r="G257" i="10"/>
  <c r="G140" i="10"/>
  <c r="D165" i="10"/>
  <c r="D84" i="10"/>
  <c r="G167" i="10"/>
  <c r="D23" i="10"/>
  <c r="G193" i="10"/>
  <c r="G114" i="10"/>
  <c r="D286" i="10"/>
  <c r="D284" i="10"/>
  <c r="G286" i="10"/>
  <c r="D220" i="10"/>
  <c r="G256" i="10"/>
  <c r="D221" i="10"/>
  <c r="D194" i="10"/>
  <c r="G285" i="10"/>
  <c r="D87" i="10"/>
  <c r="D24" i="10"/>
  <c r="H87" i="10"/>
  <c r="G24" i="10"/>
  <c r="E288" i="10"/>
  <c r="G23" i="10"/>
  <c r="D21" i="10"/>
  <c r="E87" i="10"/>
  <c r="D25" i="10"/>
  <c r="D261" i="10"/>
  <c r="K261" i="10" s="1"/>
  <c r="G25" i="10"/>
  <c r="D288" i="10"/>
  <c r="K288" i="10" s="1"/>
  <c r="J151" i="21" s="1"/>
  <c r="G22" i="10"/>
  <c r="E261" i="10"/>
  <c r="D22" i="10"/>
  <c r="O12" i="1"/>
  <c r="P12" i="1"/>
  <c r="O11" i="1"/>
  <c r="P11" i="1"/>
  <c r="O10" i="1"/>
  <c r="P10" i="1"/>
  <c r="O9" i="1"/>
  <c r="P9" i="1"/>
  <c r="O8" i="1"/>
  <c r="P8" i="1"/>
  <c r="O7" i="1"/>
  <c r="P7" i="1"/>
  <c r="O6" i="1"/>
  <c r="P6" i="1"/>
  <c r="AD64" i="21" l="1"/>
  <c r="AD60" i="21"/>
  <c r="AD57" i="36"/>
  <c r="AD58" i="36"/>
  <c r="AD59" i="36"/>
  <c r="AD61" i="36"/>
  <c r="AD62" i="21"/>
  <c r="AD63" i="21"/>
  <c r="AD64" i="36"/>
  <c r="AD58" i="21"/>
  <c r="AD57" i="21"/>
  <c r="AD60" i="36"/>
  <c r="AD62" i="36"/>
  <c r="AD59" i="21"/>
  <c r="AD63" i="36"/>
  <c r="AD61" i="21"/>
  <c r="AD124" i="21"/>
  <c r="AD122" i="21"/>
  <c r="AD127" i="21"/>
  <c r="AD120" i="21"/>
  <c r="AD125" i="21"/>
  <c r="AD126" i="21"/>
  <c r="AD121" i="21"/>
  <c r="AD123" i="21"/>
  <c r="AD121" i="36"/>
  <c r="AD125" i="36"/>
  <c r="AD124" i="36"/>
  <c r="AD128" i="36"/>
  <c r="AD122" i="36"/>
  <c r="AD123" i="36"/>
  <c r="AD127" i="36"/>
  <c r="AD126" i="36"/>
  <c r="AD77" i="36"/>
  <c r="AD79" i="36"/>
  <c r="AD78" i="36"/>
  <c r="AD74" i="21"/>
  <c r="AD80" i="21"/>
  <c r="AD79" i="21"/>
  <c r="AD75" i="21"/>
  <c r="AD76" i="21"/>
  <c r="AD80" i="36"/>
  <c r="AD73" i="36"/>
  <c r="AD74" i="36"/>
  <c r="AD77" i="21"/>
  <c r="AD78" i="21"/>
  <c r="AD76" i="36"/>
  <c r="AD75" i="36"/>
  <c r="AD73" i="21"/>
  <c r="AD141" i="21"/>
  <c r="AD140" i="21"/>
  <c r="AD143" i="21"/>
  <c r="AD137" i="21"/>
  <c r="AD139" i="21"/>
  <c r="AD142" i="21"/>
  <c r="AD136" i="21"/>
  <c r="AD138" i="21"/>
  <c r="AD141" i="36"/>
  <c r="AD142" i="36"/>
  <c r="AD144" i="36"/>
  <c r="AD140" i="36"/>
  <c r="AD139" i="36"/>
  <c r="AD143" i="36"/>
  <c r="AD137" i="36"/>
  <c r="AD138" i="36"/>
  <c r="AD26" i="21"/>
  <c r="AD24" i="21"/>
  <c r="AD29" i="21"/>
  <c r="AD30" i="36"/>
  <c r="AD31" i="36"/>
  <c r="AD27" i="21"/>
  <c r="AD25" i="21"/>
  <c r="AD28" i="21"/>
  <c r="AD25" i="36"/>
  <c r="AD26" i="36"/>
  <c r="AD27" i="36"/>
  <c r="AD30" i="21"/>
  <c r="AD31" i="21"/>
  <c r="AD28" i="36"/>
  <c r="AD24" i="36"/>
  <c r="AD29" i="36"/>
  <c r="AD41" i="36"/>
  <c r="AD42" i="36"/>
  <c r="AD47" i="21"/>
  <c r="AD48" i="21"/>
  <c r="AD45" i="36"/>
  <c r="AD43" i="21"/>
  <c r="AD46" i="36"/>
  <c r="AD47" i="36"/>
  <c r="AD48" i="36"/>
  <c r="AD44" i="21"/>
  <c r="AD46" i="21"/>
  <c r="AD42" i="21"/>
  <c r="AD41" i="21"/>
  <c r="AD43" i="36"/>
  <c r="AD44" i="36"/>
  <c r="AD45" i="21"/>
  <c r="AD94" i="36"/>
  <c r="AD92" i="36"/>
  <c r="AD93" i="36"/>
  <c r="AD96" i="21"/>
  <c r="AD89" i="21"/>
  <c r="AD91" i="21"/>
  <c r="AD95" i="21"/>
  <c r="AD90" i="21"/>
  <c r="AD90" i="36"/>
  <c r="AD94" i="21"/>
  <c r="AD96" i="36"/>
  <c r="AD89" i="36"/>
  <c r="AD93" i="21"/>
  <c r="AD91" i="36"/>
  <c r="AD95" i="36"/>
  <c r="AD92" i="21"/>
  <c r="L59" i="21"/>
  <c r="L58" i="21"/>
  <c r="L63" i="36"/>
  <c r="L62" i="21"/>
  <c r="L59" i="36"/>
  <c r="L63" i="21"/>
  <c r="L60" i="36"/>
  <c r="L60" i="21"/>
  <c r="L57" i="36"/>
  <c r="L61" i="36"/>
  <c r="L64" i="21"/>
  <c r="L57" i="21"/>
  <c r="L62" i="36"/>
  <c r="L61" i="21"/>
  <c r="L58" i="36"/>
  <c r="L64" i="36"/>
  <c r="L125" i="21"/>
  <c r="L124" i="21"/>
  <c r="L122" i="21"/>
  <c r="L126" i="21"/>
  <c r="L127" i="21"/>
  <c r="L120" i="21"/>
  <c r="L123" i="21"/>
  <c r="L121" i="21"/>
  <c r="L122" i="36"/>
  <c r="L123" i="36"/>
  <c r="L124" i="36"/>
  <c r="L127" i="36"/>
  <c r="L128" i="36"/>
  <c r="L125" i="36"/>
  <c r="L121" i="36"/>
  <c r="L126" i="36"/>
  <c r="L80" i="21"/>
  <c r="L76" i="21"/>
  <c r="L76" i="36"/>
  <c r="L77" i="36"/>
  <c r="L73" i="36"/>
  <c r="L79" i="36"/>
  <c r="L73" i="21"/>
  <c r="L77" i="21"/>
  <c r="L78" i="21"/>
  <c r="L75" i="21"/>
  <c r="L78" i="36"/>
  <c r="L74" i="21"/>
  <c r="L74" i="36"/>
  <c r="L75" i="36"/>
  <c r="L79" i="21"/>
  <c r="L80" i="36"/>
  <c r="L140" i="21"/>
  <c r="L137" i="21"/>
  <c r="L136" i="21"/>
  <c r="L139" i="21"/>
  <c r="L143" i="21"/>
  <c r="L142" i="21"/>
  <c r="L141" i="21"/>
  <c r="L138" i="21"/>
  <c r="L140" i="36"/>
  <c r="L144" i="36"/>
  <c r="L139" i="36"/>
  <c r="L137" i="36"/>
  <c r="L141" i="36"/>
  <c r="L138" i="36"/>
  <c r="L142" i="36"/>
  <c r="L143" i="36"/>
  <c r="L29" i="36"/>
  <c r="L30" i="36"/>
  <c r="L26" i="21"/>
  <c r="L26" i="36"/>
  <c r="L30" i="21"/>
  <c r="L31" i="21"/>
  <c r="L28" i="21"/>
  <c r="L24" i="36"/>
  <c r="L24" i="21"/>
  <c r="L25" i="21"/>
  <c r="L31" i="36"/>
  <c r="L29" i="21"/>
  <c r="L27" i="36"/>
  <c r="L28" i="36"/>
  <c r="L27" i="21"/>
  <c r="L25" i="36"/>
  <c r="L94" i="21"/>
  <c r="L95" i="21"/>
  <c r="L93" i="36"/>
  <c r="L91" i="21"/>
  <c r="L89" i="36"/>
  <c r="L90" i="36"/>
  <c r="L95" i="36"/>
  <c r="L91" i="36"/>
  <c r="L92" i="36"/>
  <c r="L96" i="21"/>
  <c r="L96" i="36"/>
  <c r="L92" i="21"/>
  <c r="L93" i="21"/>
  <c r="L89" i="21"/>
  <c r="L90" i="21"/>
  <c r="L94" i="36"/>
  <c r="L48" i="36"/>
  <c r="L44" i="36"/>
  <c r="L45" i="36"/>
  <c r="L42" i="36"/>
  <c r="L48" i="21"/>
  <c r="L46" i="36"/>
  <c r="L43" i="21"/>
  <c r="L47" i="21"/>
  <c r="L45" i="21"/>
  <c r="L44" i="21"/>
  <c r="L47" i="36"/>
  <c r="L43" i="36"/>
  <c r="L41" i="21"/>
  <c r="L42" i="21"/>
  <c r="L41" i="36"/>
  <c r="L46" i="21"/>
  <c r="L110" i="21"/>
  <c r="L111" i="21"/>
  <c r="L104" i="21"/>
  <c r="L109" i="21"/>
  <c r="L112" i="21"/>
  <c r="L105" i="21"/>
  <c r="L106" i="21"/>
  <c r="L108" i="21"/>
  <c r="L118" i="21"/>
  <c r="L107" i="21"/>
  <c r="X60" i="36"/>
  <c r="X64" i="36"/>
  <c r="X63" i="36"/>
  <c r="X58" i="36"/>
  <c r="X59" i="36"/>
  <c r="X61" i="36"/>
  <c r="X62" i="36"/>
  <c r="X57" i="36"/>
  <c r="X61" i="21"/>
  <c r="X62" i="21"/>
  <c r="X60" i="21"/>
  <c r="X57" i="21"/>
  <c r="X58" i="21"/>
  <c r="X59" i="21"/>
  <c r="X63" i="21"/>
  <c r="X64" i="21"/>
  <c r="X126" i="21"/>
  <c r="X124" i="21"/>
  <c r="X121" i="21"/>
  <c r="X120" i="21"/>
  <c r="X125" i="21"/>
  <c r="X123" i="21"/>
  <c r="X127" i="21"/>
  <c r="X122" i="21"/>
  <c r="X124" i="36"/>
  <c r="X128" i="36"/>
  <c r="X126" i="36"/>
  <c r="X123" i="36"/>
  <c r="X125" i="36"/>
  <c r="X127" i="36"/>
  <c r="X121" i="36"/>
  <c r="X122" i="36"/>
  <c r="R60" i="36"/>
  <c r="R57" i="36"/>
  <c r="R63" i="36"/>
  <c r="R58" i="36"/>
  <c r="R59" i="36"/>
  <c r="R64" i="36"/>
  <c r="R61" i="36"/>
  <c r="R62" i="36"/>
  <c r="R64" i="21"/>
  <c r="R61" i="21"/>
  <c r="R62" i="21"/>
  <c r="R57" i="21"/>
  <c r="R63" i="21"/>
  <c r="R58" i="21"/>
  <c r="R59" i="21"/>
  <c r="R60" i="21"/>
  <c r="R121" i="21"/>
  <c r="R124" i="21"/>
  <c r="R125" i="21"/>
  <c r="R122" i="21"/>
  <c r="R120" i="21"/>
  <c r="R123" i="21"/>
  <c r="R127" i="21"/>
  <c r="R126" i="21"/>
  <c r="R128" i="36"/>
  <c r="R123" i="36"/>
  <c r="R125" i="36"/>
  <c r="R126" i="36"/>
  <c r="R121" i="36"/>
  <c r="R122" i="36"/>
  <c r="R127" i="36"/>
  <c r="R124" i="36"/>
  <c r="X78" i="36"/>
  <c r="X73" i="36"/>
  <c r="X76" i="36"/>
  <c r="X77" i="36"/>
  <c r="X74" i="36"/>
  <c r="X80" i="36"/>
  <c r="X79" i="36"/>
  <c r="X75" i="36"/>
  <c r="X78" i="21"/>
  <c r="X73" i="21"/>
  <c r="X79" i="21"/>
  <c r="X74" i="21"/>
  <c r="X76" i="21"/>
  <c r="X77" i="21"/>
  <c r="X75" i="21"/>
  <c r="X80" i="21"/>
  <c r="X136" i="21"/>
  <c r="X138" i="21"/>
  <c r="X139" i="21"/>
  <c r="X140" i="21"/>
  <c r="X142" i="21"/>
  <c r="X141" i="21"/>
  <c r="X143" i="21"/>
  <c r="X137" i="21"/>
  <c r="X137" i="36"/>
  <c r="X138" i="36"/>
  <c r="X140" i="36"/>
  <c r="X141" i="36"/>
  <c r="X142" i="36"/>
  <c r="X144" i="36"/>
  <c r="X139" i="36"/>
  <c r="X143" i="36"/>
  <c r="R80" i="36"/>
  <c r="R75" i="36"/>
  <c r="R78" i="36"/>
  <c r="R73" i="36"/>
  <c r="R74" i="36"/>
  <c r="R76" i="36"/>
  <c r="R77" i="36"/>
  <c r="R79" i="36"/>
  <c r="R73" i="21"/>
  <c r="R79" i="21"/>
  <c r="R74" i="21"/>
  <c r="R75" i="21"/>
  <c r="R77" i="21"/>
  <c r="R80" i="21"/>
  <c r="R76" i="21"/>
  <c r="R78" i="21"/>
  <c r="R140" i="21"/>
  <c r="R143" i="21"/>
  <c r="R141" i="21"/>
  <c r="R138" i="21"/>
  <c r="R142" i="21"/>
  <c r="R137" i="21"/>
  <c r="R139" i="21"/>
  <c r="R136" i="21"/>
  <c r="R142" i="36"/>
  <c r="R144" i="36"/>
  <c r="R138" i="36"/>
  <c r="R140" i="36"/>
  <c r="R141" i="36"/>
  <c r="R137" i="36"/>
  <c r="R139" i="36"/>
  <c r="R143" i="36"/>
  <c r="X31" i="36"/>
  <c r="X26" i="36"/>
  <c r="X29" i="36"/>
  <c r="X30" i="36"/>
  <c r="X25" i="36"/>
  <c r="X27" i="36"/>
  <c r="X28" i="36"/>
  <c r="X24" i="36"/>
  <c r="X29" i="21"/>
  <c r="X30" i="21"/>
  <c r="X25" i="21"/>
  <c r="X27" i="21"/>
  <c r="X28" i="21"/>
  <c r="X26" i="21"/>
  <c r="X24" i="21"/>
  <c r="X31" i="21"/>
  <c r="X94" i="36"/>
  <c r="X90" i="36"/>
  <c r="X93" i="36"/>
  <c r="X95" i="36"/>
  <c r="X96" i="36"/>
  <c r="X89" i="36"/>
  <c r="X91" i="36"/>
  <c r="X92" i="36"/>
  <c r="X95" i="21"/>
  <c r="X91" i="21"/>
  <c r="X94" i="21"/>
  <c r="X90" i="21"/>
  <c r="X93" i="21"/>
  <c r="X96" i="21"/>
  <c r="X92" i="21"/>
  <c r="X89" i="21"/>
  <c r="R31" i="36"/>
  <c r="R26" i="36"/>
  <c r="R29" i="36"/>
  <c r="R30" i="36"/>
  <c r="R25" i="36"/>
  <c r="R27" i="36"/>
  <c r="R24" i="36"/>
  <c r="R28" i="36"/>
  <c r="R25" i="21"/>
  <c r="R29" i="21"/>
  <c r="R30" i="21"/>
  <c r="R31" i="21"/>
  <c r="R26" i="21"/>
  <c r="R27" i="21"/>
  <c r="R28" i="21"/>
  <c r="R24" i="21"/>
  <c r="R91" i="36"/>
  <c r="R93" i="36"/>
  <c r="R94" i="36"/>
  <c r="R90" i="36"/>
  <c r="R89" i="36"/>
  <c r="R92" i="36"/>
  <c r="R95" i="36"/>
  <c r="R96" i="36"/>
  <c r="R91" i="21"/>
  <c r="R94" i="21"/>
  <c r="R95" i="21"/>
  <c r="R92" i="21"/>
  <c r="R96" i="21"/>
  <c r="R89" i="21"/>
  <c r="R90" i="21"/>
  <c r="R93" i="21"/>
  <c r="X47" i="36"/>
  <c r="X41" i="36"/>
  <c r="X45" i="36"/>
  <c r="X48" i="36"/>
  <c r="X42" i="36"/>
  <c r="X43" i="36"/>
  <c r="X44" i="36"/>
  <c r="X46" i="36"/>
  <c r="X41" i="21"/>
  <c r="X48" i="21"/>
  <c r="X43" i="21"/>
  <c r="X45" i="21"/>
  <c r="X44" i="21"/>
  <c r="X46" i="21"/>
  <c r="X47" i="21"/>
  <c r="X42" i="21"/>
  <c r="R46" i="36"/>
  <c r="R47" i="36"/>
  <c r="R41" i="36"/>
  <c r="R45" i="36"/>
  <c r="R48" i="36"/>
  <c r="R42" i="36"/>
  <c r="R43" i="36"/>
  <c r="R44" i="36"/>
  <c r="R41" i="21"/>
  <c r="R48" i="21"/>
  <c r="R43" i="21"/>
  <c r="R42" i="21"/>
  <c r="R44" i="21"/>
  <c r="R46" i="21"/>
  <c r="R47" i="21"/>
  <c r="R45" i="21"/>
  <c r="R118" i="21"/>
  <c r="R110" i="21"/>
  <c r="R107" i="21"/>
  <c r="R105" i="21"/>
  <c r="R108" i="21"/>
  <c r="R109" i="21"/>
  <c r="R111" i="21"/>
  <c r="R106" i="21"/>
  <c r="R112" i="21"/>
  <c r="R104" i="21"/>
  <c r="AD109" i="21"/>
  <c r="AD111" i="21"/>
  <c r="AD105" i="21"/>
  <c r="AD106" i="21"/>
  <c r="AD107" i="21"/>
  <c r="AD118" i="21"/>
  <c r="AD104" i="21"/>
  <c r="AD108" i="21"/>
  <c r="AD112" i="21"/>
  <c r="AD110" i="21"/>
  <c r="X111" i="21"/>
  <c r="X109" i="21"/>
  <c r="X106" i="21"/>
  <c r="X110" i="21"/>
  <c r="X105" i="21"/>
  <c r="X104" i="21"/>
  <c r="X108" i="21"/>
  <c r="X118" i="21"/>
  <c r="X112" i="21"/>
  <c r="X107" i="21"/>
  <c r="K81" i="10"/>
  <c r="J113" i="21" s="1"/>
  <c r="X113" i="21" s="1"/>
  <c r="K193" i="10"/>
  <c r="J82" i="21" s="1"/>
  <c r="K53" i="21"/>
  <c r="K69" i="36"/>
  <c r="K53" i="37"/>
  <c r="K69" i="37"/>
  <c r="K101" i="37"/>
  <c r="K133" i="37"/>
  <c r="K101" i="43"/>
  <c r="K117" i="43"/>
  <c r="K169" i="10"/>
  <c r="J131" i="21" s="1"/>
  <c r="K221" i="10"/>
  <c r="K282" i="10"/>
  <c r="J144" i="21" s="1"/>
  <c r="K80" i="10"/>
  <c r="J118" i="37" s="1"/>
  <c r="K170" i="10"/>
  <c r="J133" i="42" s="1"/>
  <c r="K287" i="10"/>
  <c r="J150" i="33" s="1"/>
  <c r="K118" i="10"/>
  <c r="J53" i="43" s="1"/>
  <c r="K224" i="10"/>
  <c r="J69" i="21" s="1"/>
  <c r="K165" i="10"/>
  <c r="J133" i="21" s="1"/>
  <c r="K24" i="10"/>
  <c r="K284" i="10"/>
  <c r="J146" i="21" s="1"/>
  <c r="K192" i="10"/>
  <c r="K55" i="10"/>
  <c r="K139" i="10"/>
  <c r="J102" i="33" s="1"/>
  <c r="K191" i="10"/>
  <c r="J86" i="33" s="1"/>
  <c r="J39" i="37"/>
  <c r="J39" i="43"/>
  <c r="J39" i="36"/>
  <c r="J39" i="42"/>
  <c r="J39" i="21"/>
  <c r="J39" i="33"/>
  <c r="K115" i="10"/>
  <c r="K25" i="10"/>
  <c r="K286" i="10"/>
  <c r="J148" i="21" s="1"/>
  <c r="K259" i="10"/>
  <c r="K82" i="10"/>
  <c r="J114" i="21" s="1"/>
  <c r="K142" i="10"/>
  <c r="K58" i="10"/>
  <c r="K21" i="10"/>
  <c r="K281" i="10"/>
  <c r="J150" i="21" s="1"/>
  <c r="K283" i="10"/>
  <c r="J145" i="21" s="1"/>
  <c r="K54" i="10"/>
  <c r="K113" i="10"/>
  <c r="K260" i="10"/>
  <c r="J113" i="37"/>
  <c r="J113" i="36"/>
  <c r="J152" i="33"/>
  <c r="J152" i="37"/>
  <c r="J136" i="43"/>
  <c r="J152" i="36"/>
  <c r="J152" i="42"/>
  <c r="K220" i="10"/>
  <c r="K84" i="10"/>
  <c r="J116" i="21" s="1"/>
  <c r="K254" i="10"/>
  <c r="K222" i="10"/>
  <c r="K285" i="10"/>
  <c r="J147" i="21" s="1"/>
  <c r="K85" i="10"/>
  <c r="K196" i="10"/>
  <c r="E57" i="10"/>
  <c r="K57" i="10"/>
  <c r="K22" i="10"/>
  <c r="K194" i="10"/>
  <c r="K195" i="10"/>
  <c r="K168" i="10"/>
  <c r="J130" i="21" s="1"/>
  <c r="K141" i="10"/>
  <c r="K83" i="10"/>
  <c r="J115" i="21" s="1"/>
  <c r="K256" i="10"/>
  <c r="K112" i="10"/>
  <c r="K23" i="10"/>
  <c r="K255" i="10"/>
  <c r="K143" i="10"/>
  <c r="E117" i="10"/>
  <c r="K117" i="10"/>
  <c r="K140" i="10"/>
  <c r="K166" i="10"/>
  <c r="J128" i="21" s="1"/>
  <c r="K223" i="10"/>
  <c r="K116" i="10"/>
  <c r="K257" i="10"/>
  <c r="H258" i="10"/>
  <c r="K258" i="10"/>
  <c r="K144" i="10"/>
  <c r="K114" i="10"/>
  <c r="K219" i="10"/>
  <c r="K53" i="10"/>
  <c r="K56" i="10"/>
  <c r="K167" i="10"/>
  <c r="J129" i="21" s="1"/>
  <c r="K59" i="10"/>
  <c r="AC133" i="42"/>
  <c r="W133" i="42"/>
  <c r="AI133" i="42"/>
  <c r="Q133" i="42"/>
  <c r="AC53" i="37"/>
  <c r="Q53" i="37"/>
  <c r="AI53" i="37"/>
  <c r="W53" i="37"/>
  <c r="AI101" i="33"/>
  <c r="AC101" i="33"/>
  <c r="Q101" i="33"/>
  <c r="W101" i="33"/>
  <c r="W101" i="43"/>
  <c r="AC101" i="43"/>
  <c r="AI101" i="43"/>
  <c r="Q101" i="43"/>
  <c r="Q117" i="33"/>
  <c r="AI117" i="33"/>
  <c r="W117" i="33"/>
  <c r="AC117" i="33"/>
  <c r="Q117" i="36"/>
  <c r="W117" i="36"/>
  <c r="AC117" i="36"/>
  <c r="AI117" i="36"/>
  <c r="AI132" i="21"/>
  <c r="Q132" i="21"/>
  <c r="AC132" i="21"/>
  <c r="W132" i="21"/>
  <c r="AC69" i="42"/>
  <c r="Q69" i="42"/>
  <c r="W69" i="42"/>
  <c r="AI69" i="42"/>
  <c r="Q53" i="42"/>
  <c r="AI53" i="42"/>
  <c r="W53" i="42"/>
  <c r="AC53" i="42"/>
  <c r="AI69" i="36"/>
  <c r="W69" i="36"/>
  <c r="AC69" i="36"/>
  <c r="Q69" i="36"/>
  <c r="AI101" i="36"/>
  <c r="Q101" i="36"/>
  <c r="AC101" i="36"/>
  <c r="W101" i="36"/>
  <c r="AC117" i="43"/>
  <c r="AI117" i="43"/>
  <c r="W117" i="43"/>
  <c r="Q117" i="43"/>
  <c r="AC53" i="21"/>
  <c r="Q53" i="21"/>
  <c r="W53" i="21"/>
  <c r="AI53" i="21"/>
  <c r="W69" i="33"/>
  <c r="AI69" i="33"/>
  <c r="Q69" i="33"/>
  <c r="AC69" i="33"/>
  <c r="Q53" i="43"/>
  <c r="W53" i="43"/>
  <c r="AC53" i="43"/>
  <c r="AI53" i="43"/>
  <c r="Q69" i="21"/>
  <c r="W69" i="21"/>
  <c r="AC69" i="21"/>
  <c r="AI69" i="21"/>
  <c r="AI117" i="37"/>
  <c r="AC117" i="37"/>
  <c r="Q117" i="37"/>
  <c r="W117" i="37"/>
  <c r="AC133" i="37"/>
  <c r="W133" i="37"/>
  <c r="Q133" i="37"/>
  <c r="AI133" i="37"/>
  <c r="Q101" i="37"/>
  <c r="AI101" i="37"/>
  <c r="W101" i="37"/>
  <c r="AC101" i="37"/>
  <c r="AC133" i="36"/>
  <c r="Q133" i="36"/>
  <c r="W133" i="36"/>
  <c r="AI133" i="36"/>
  <c r="AI69" i="43"/>
  <c r="AC69" i="43"/>
  <c r="Q69" i="43"/>
  <c r="W69" i="43"/>
  <c r="AC133" i="33"/>
  <c r="Q133" i="33"/>
  <c r="W133" i="33"/>
  <c r="AI133" i="33"/>
  <c r="W53" i="33"/>
  <c r="AC53" i="33"/>
  <c r="AI53" i="33"/>
  <c r="Q53" i="33"/>
  <c r="AI101" i="42"/>
  <c r="Q101" i="42"/>
  <c r="W101" i="42"/>
  <c r="AC101" i="42"/>
  <c r="W53" i="36"/>
  <c r="AC53" i="36"/>
  <c r="AI53" i="36"/>
  <c r="Q53" i="36"/>
  <c r="AI101" i="21"/>
  <c r="W101" i="21"/>
  <c r="AC101" i="21"/>
  <c r="Q101" i="21"/>
  <c r="AC117" i="42"/>
  <c r="Q117" i="42"/>
  <c r="W117" i="42"/>
  <c r="AI117" i="42"/>
  <c r="AC69" i="37"/>
  <c r="Q69" i="37"/>
  <c r="W69" i="37"/>
  <c r="AI69" i="37"/>
  <c r="F152" i="36"/>
  <c r="F152" i="42"/>
  <c r="F151" i="21"/>
  <c r="F136" i="43"/>
  <c r="F152" i="33"/>
  <c r="F152" i="37"/>
  <c r="F39" i="43"/>
  <c r="F39" i="42"/>
  <c r="F39" i="21"/>
  <c r="F39" i="36"/>
  <c r="F39" i="37"/>
  <c r="F39" i="33"/>
  <c r="E22" i="43"/>
  <c r="E22" i="42"/>
  <c r="E22" i="36"/>
  <c r="E22" i="33"/>
  <c r="E22" i="21"/>
  <c r="E22" i="37"/>
  <c r="I6" i="1"/>
  <c r="J6" i="1"/>
  <c r="K6" i="1"/>
  <c r="L6" i="1"/>
  <c r="I7" i="1"/>
  <c r="J7" i="1"/>
  <c r="K7" i="1"/>
  <c r="L7" i="1"/>
  <c r="I8" i="1"/>
  <c r="J8" i="1"/>
  <c r="K8" i="1"/>
  <c r="L8" i="1"/>
  <c r="I9" i="1"/>
  <c r="J9" i="1"/>
  <c r="K9" i="1"/>
  <c r="L9" i="1"/>
  <c r="I10" i="1"/>
  <c r="J10" i="1"/>
  <c r="K10" i="1"/>
  <c r="L10" i="1"/>
  <c r="I11" i="1"/>
  <c r="J11" i="1"/>
  <c r="K11" i="1"/>
  <c r="L11" i="1"/>
  <c r="I12" i="1"/>
  <c r="J12" i="1"/>
  <c r="K12" i="1"/>
  <c r="L12" i="1"/>
  <c r="L5" i="1"/>
  <c r="K5" i="1"/>
  <c r="I5" i="1"/>
  <c r="M108" i="21" l="1"/>
  <c r="O108" i="21"/>
  <c r="P108" i="21" s="1"/>
  <c r="N108" i="21"/>
  <c r="M46" i="21"/>
  <c r="O46" i="21"/>
  <c r="P46" i="21" s="1"/>
  <c r="N46" i="21"/>
  <c r="M47" i="21"/>
  <c r="O47" i="21"/>
  <c r="P47" i="21" s="1"/>
  <c r="N47" i="21"/>
  <c r="M94" i="36"/>
  <c r="N94" i="36"/>
  <c r="O94" i="36"/>
  <c r="P94" i="36" s="1"/>
  <c r="M91" i="36"/>
  <c r="O91" i="36"/>
  <c r="P91" i="36" s="1"/>
  <c r="N91" i="36"/>
  <c r="M25" i="36"/>
  <c r="N25" i="36"/>
  <c r="O25" i="36"/>
  <c r="P25" i="36" s="1"/>
  <c r="O24" i="36"/>
  <c r="P24" i="36" s="1"/>
  <c r="N24" i="36"/>
  <c r="M24" i="36"/>
  <c r="M143" i="36"/>
  <c r="N143" i="36"/>
  <c r="O143" i="36"/>
  <c r="P143" i="36" s="1"/>
  <c r="M138" i="21"/>
  <c r="O138" i="21"/>
  <c r="P138" i="21" s="1"/>
  <c r="N138" i="21"/>
  <c r="M80" i="36"/>
  <c r="O80" i="36"/>
  <c r="P80" i="36" s="1"/>
  <c r="N80" i="36"/>
  <c r="M77" i="21"/>
  <c r="N77" i="21"/>
  <c r="O77" i="21"/>
  <c r="P77" i="21" s="1"/>
  <c r="M126" i="36"/>
  <c r="N126" i="36"/>
  <c r="O126" i="36"/>
  <c r="P126" i="36" s="1"/>
  <c r="M121" i="21"/>
  <c r="N121" i="21"/>
  <c r="O121" i="21"/>
  <c r="P121" i="21" s="1"/>
  <c r="M64" i="36"/>
  <c r="N64" i="36"/>
  <c r="O64" i="36"/>
  <c r="P64" i="36" s="1"/>
  <c r="M60" i="21"/>
  <c r="N60" i="21"/>
  <c r="O60" i="21"/>
  <c r="P60" i="21" s="1"/>
  <c r="M106" i="21"/>
  <c r="O106" i="21"/>
  <c r="P106" i="21" s="1"/>
  <c r="N106" i="21"/>
  <c r="O41" i="36"/>
  <c r="P41" i="36" s="1"/>
  <c r="M41" i="36"/>
  <c r="N41" i="36"/>
  <c r="M43" i="21"/>
  <c r="O43" i="21"/>
  <c r="P43" i="21" s="1"/>
  <c r="N43" i="21"/>
  <c r="M90" i="21"/>
  <c r="O90" i="21"/>
  <c r="P90" i="21" s="1"/>
  <c r="N90" i="21"/>
  <c r="M95" i="36"/>
  <c r="N95" i="36"/>
  <c r="O95" i="36"/>
  <c r="P95" i="36" s="1"/>
  <c r="M27" i="21"/>
  <c r="O27" i="21"/>
  <c r="P27" i="21" s="1"/>
  <c r="N27" i="21"/>
  <c r="M28" i="21"/>
  <c r="N28" i="21"/>
  <c r="O28" i="21"/>
  <c r="P28" i="21" s="1"/>
  <c r="M142" i="36"/>
  <c r="O142" i="36"/>
  <c r="P142" i="36" s="1"/>
  <c r="N142" i="36"/>
  <c r="M141" i="21"/>
  <c r="O141" i="21"/>
  <c r="P141" i="21" s="1"/>
  <c r="N141" i="21"/>
  <c r="M79" i="21"/>
  <c r="O79" i="21"/>
  <c r="P79" i="21" s="1"/>
  <c r="N79" i="21"/>
  <c r="M73" i="21"/>
  <c r="N73" i="21"/>
  <c r="O73" i="21"/>
  <c r="P73" i="21" s="1"/>
  <c r="M121" i="36"/>
  <c r="N121" i="36"/>
  <c r="O121" i="36"/>
  <c r="P121" i="36" s="1"/>
  <c r="M123" i="21"/>
  <c r="O123" i="21"/>
  <c r="P123" i="21" s="1"/>
  <c r="N123" i="21"/>
  <c r="M58" i="36"/>
  <c r="O58" i="36"/>
  <c r="P58" i="36" s="1"/>
  <c r="N58" i="36"/>
  <c r="M60" i="36"/>
  <c r="N60" i="36"/>
  <c r="O60" i="36"/>
  <c r="P60" i="36" s="1"/>
  <c r="O105" i="21"/>
  <c r="P105" i="21" s="1"/>
  <c r="N105" i="21"/>
  <c r="M105" i="21"/>
  <c r="M42" i="21"/>
  <c r="N42" i="21"/>
  <c r="O42" i="21"/>
  <c r="P42" i="21" s="1"/>
  <c r="M46" i="36"/>
  <c r="N46" i="36"/>
  <c r="O46" i="36"/>
  <c r="P46" i="36" s="1"/>
  <c r="M89" i="21"/>
  <c r="N89" i="21"/>
  <c r="O89" i="21"/>
  <c r="P89" i="21" s="1"/>
  <c r="M90" i="36"/>
  <c r="N90" i="36"/>
  <c r="O90" i="36"/>
  <c r="P90" i="36" s="1"/>
  <c r="M28" i="36"/>
  <c r="O28" i="36"/>
  <c r="P28" i="36" s="1"/>
  <c r="N28" i="36"/>
  <c r="M31" i="21"/>
  <c r="N31" i="21"/>
  <c r="O31" i="21"/>
  <c r="P31" i="21" s="1"/>
  <c r="M138" i="36"/>
  <c r="O138" i="36"/>
  <c r="P138" i="36" s="1"/>
  <c r="N138" i="36"/>
  <c r="M142" i="21"/>
  <c r="O142" i="21"/>
  <c r="P142" i="21" s="1"/>
  <c r="N142" i="21"/>
  <c r="M75" i="36"/>
  <c r="O75" i="36"/>
  <c r="P75" i="36" s="1"/>
  <c r="N75" i="36"/>
  <c r="M79" i="36"/>
  <c r="N79" i="36"/>
  <c r="O79" i="36"/>
  <c r="P79" i="36" s="1"/>
  <c r="M125" i="36"/>
  <c r="N125" i="36"/>
  <c r="O125" i="36"/>
  <c r="P125" i="36" s="1"/>
  <c r="M120" i="21"/>
  <c r="N120" i="21"/>
  <c r="O120" i="21"/>
  <c r="P120" i="21" s="1"/>
  <c r="M61" i="21"/>
  <c r="O61" i="21"/>
  <c r="P61" i="21" s="1"/>
  <c r="N61" i="21"/>
  <c r="M63" i="21"/>
  <c r="N63" i="21"/>
  <c r="O63" i="21"/>
  <c r="P63" i="21" s="1"/>
  <c r="M112" i="21"/>
  <c r="N112" i="21"/>
  <c r="O112" i="21"/>
  <c r="P112" i="21" s="1"/>
  <c r="O41" i="21"/>
  <c r="P41" i="21" s="1"/>
  <c r="N41" i="21"/>
  <c r="M41" i="21"/>
  <c r="M48" i="21"/>
  <c r="O48" i="21"/>
  <c r="P48" i="21" s="1"/>
  <c r="N48" i="21"/>
  <c r="M93" i="21"/>
  <c r="O93" i="21"/>
  <c r="P93" i="21" s="1"/>
  <c r="N93" i="21"/>
  <c r="M89" i="36"/>
  <c r="N89" i="36"/>
  <c r="O89" i="36"/>
  <c r="P89" i="36" s="1"/>
  <c r="M27" i="36"/>
  <c r="N27" i="36"/>
  <c r="O27" i="36"/>
  <c r="P27" i="36" s="1"/>
  <c r="M30" i="21"/>
  <c r="O30" i="21"/>
  <c r="P30" i="21" s="1"/>
  <c r="N30" i="21"/>
  <c r="M141" i="36"/>
  <c r="O141" i="36"/>
  <c r="P141" i="36" s="1"/>
  <c r="N141" i="36"/>
  <c r="M143" i="21"/>
  <c r="N143" i="21"/>
  <c r="O143" i="21"/>
  <c r="P143" i="21" s="1"/>
  <c r="M74" i="36"/>
  <c r="N74" i="36"/>
  <c r="O74" i="36"/>
  <c r="P74" i="36" s="1"/>
  <c r="M73" i="36"/>
  <c r="O73" i="36"/>
  <c r="P73" i="36" s="1"/>
  <c r="N73" i="36"/>
  <c r="M128" i="36"/>
  <c r="O128" i="36"/>
  <c r="P128" i="36" s="1"/>
  <c r="N128" i="36"/>
  <c r="M127" i="21"/>
  <c r="O127" i="21"/>
  <c r="P127" i="21" s="1"/>
  <c r="N127" i="21"/>
  <c r="M62" i="36"/>
  <c r="O62" i="36"/>
  <c r="P62" i="36" s="1"/>
  <c r="N62" i="36"/>
  <c r="M59" i="36"/>
  <c r="O59" i="36"/>
  <c r="P59" i="36" s="1"/>
  <c r="N59" i="36"/>
  <c r="M109" i="21"/>
  <c r="O109" i="21"/>
  <c r="P109" i="21" s="1"/>
  <c r="N109" i="21"/>
  <c r="M43" i="36"/>
  <c r="O43" i="36"/>
  <c r="P43" i="36" s="1"/>
  <c r="N43" i="36"/>
  <c r="M42" i="36"/>
  <c r="N42" i="36"/>
  <c r="O42" i="36"/>
  <c r="P42" i="36" s="1"/>
  <c r="M92" i="21"/>
  <c r="O92" i="21"/>
  <c r="P92" i="21" s="1"/>
  <c r="N92" i="21"/>
  <c r="M91" i="21"/>
  <c r="O91" i="21"/>
  <c r="P91" i="21" s="1"/>
  <c r="N91" i="21"/>
  <c r="M29" i="21"/>
  <c r="N29" i="21"/>
  <c r="O29" i="21"/>
  <c r="P29" i="21" s="1"/>
  <c r="M26" i="36"/>
  <c r="O26" i="36"/>
  <c r="P26" i="36" s="1"/>
  <c r="N26" i="36"/>
  <c r="O137" i="36"/>
  <c r="P137" i="36" s="1"/>
  <c r="M137" i="36"/>
  <c r="N137" i="36"/>
  <c r="M139" i="21"/>
  <c r="N139" i="21"/>
  <c r="O139" i="21"/>
  <c r="P139" i="21" s="1"/>
  <c r="M74" i="21"/>
  <c r="O74" i="21"/>
  <c r="P74" i="21" s="1"/>
  <c r="N74" i="21"/>
  <c r="M77" i="36"/>
  <c r="N77" i="36"/>
  <c r="O77" i="36"/>
  <c r="P77" i="36" s="1"/>
  <c r="M127" i="36"/>
  <c r="N127" i="36"/>
  <c r="O127" i="36"/>
  <c r="P127" i="36" s="1"/>
  <c r="M126" i="21"/>
  <c r="N126" i="21"/>
  <c r="O126" i="21"/>
  <c r="P126" i="21" s="1"/>
  <c r="M57" i="21"/>
  <c r="O57" i="21"/>
  <c r="P57" i="21" s="1"/>
  <c r="N57" i="21"/>
  <c r="M62" i="21"/>
  <c r="O62" i="21"/>
  <c r="P62" i="21" s="1"/>
  <c r="N62" i="21"/>
  <c r="M104" i="21"/>
  <c r="N104" i="21"/>
  <c r="O104" i="21"/>
  <c r="P104" i="21" s="1"/>
  <c r="M47" i="36"/>
  <c r="O47" i="36"/>
  <c r="P47" i="36" s="1"/>
  <c r="N47" i="36"/>
  <c r="M45" i="36"/>
  <c r="O45" i="36"/>
  <c r="P45" i="36" s="1"/>
  <c r="N45" i="36"/>
  <c r="M96" i="36"/>
  <c r="O96" i="36"/>
  <c r="P96" i="36" s="1"/>
  <c r="N96" i="36"/>
  <c r="M93" i="36"/>
  <c r="N93" i="36"/>
  <c r="O93" i="36"/>
  <c r="P93" i="36" s="1"/>
  <c r="M31" i="36"/>
  <c r="O31" i="36"/>
  <c r="P31" i="36" s="1"/>
  <c r="N31" i="36"/>
  <c r="M26" i="21"/>
  <c r="O26" i="21"/>
  <c r="P26" i="21" s="1"/>
  <c r="N26" i="21"/>
  <c r="M139" i="36"/>
  <c r="N139" i="36"/>
  <c r="O139" i="36"/>
  <c r="P139" i="36" s="1"/>
  <c r="N136" i="21"/>
  <c r="O136" i="21"/>
  <c r="P136" i="21" s="1"/>
  <c r="M136" i="21"/>
  <c r="M78" i="36"/>
  <c r="O78" i="36"/>
  <c r="P78" i="36" s="1"/>
  <c r="N78" i="36"/>
  <c r="M76" i="36"/>
  <c r="O76" i="36"/>
  <c r="P76" i="36" s="1"/>
  <c r="N76" i="36"/>
  <c r="M124" i="36"/>
  <c r="O124" i="36"/>
  <c r="P124" i="36" s="1"/>
  <c r="N124" i="36"/>
  <c r="M122" i="21"/>
  <c r="O122" i="21"/>
  <c r="P122" i="21" s="1"/>
  <c r="N122" i="21"/>
  <c r="M64" i="21"/>
  <c r="O64" i="21"/>
  <c r="P64" i="21" s="1"/>
  <c r="N64" i="21"/>
  <c r="M63" i="36"/>
  <c r="O63" i="36"/>
  <c r="P63" i="36" s="1"/>
  <c r="N63" i="36"/>
  <c r="M107" i="21"/>
  <c r="O107" i="21"/>
  <c r="P107" i="21" s="1"/>
  <c r="N107" i="21"/>
  <c r="M111" i="21"/>
  <c r="O111" i="21"/>
  <c r="P111" i="21" s="1"/>
  <c r="N111" i="21"/>
  <c r="M44" i="21"/>
  <c r="O44" i="21"/>
  <c r="P44" i="21" s="1"/>
  <c r="N44" i="21"/>
  <c r="M44" i="36"/>
  <c r="O44" i="36"/>
  <c r="P44" i="36" s="1"/>
  <c r="N44" i="36"/>
  <c r="M96" i="21"/>
  <c r="O96" i="21"/>
  <c r="P96" i="21" s="1"/>
  <c r="N96" i="21"/>
  <c r="M95" i="21"/>
  <c r="N95" i="21"/>
  <c r="O95" i="21"/>
  <c r="P95" i="21" s="1"/>
  <c r="M25" i="21"/>
  <c r="O25" i="21"/>
  <c r="P25" i="21" s="1"/>
  <c r="N25" i="21"/>
  <c r="M30" i="36"/>
  <c r="N30" i="36"/>
  <c r="O30" i="36"/>
  <c r="P30" i="36" s="1"/>
  <c r="M144" i="36"/>
  <c r="N144" i="36"/>
  <c r="O144" i="36"/>
  <c r="P144" i="36" s="1"/>
  <c r="M137" i="21"/>
  <c r="O137" i="21"/>
  <c r="P137" i="21" s="1"/>
  <c r="N137" i="21"/>
  <c r="M75" i="21"/>
  <c r="O75" i="21"/>
  <c r="P75" i="21" s="1"/>
  <c r="N75" i="21"/>
  <c r="M76" i="21"/>
  <c r="O76" i="21"/>
  <c r="P76" i="21" s="1"/>
  <c r="N76" i="21"/>
  <c r="M123" i="36"/>
  <c r="O123" i="36"/>
  <c r="P123" i="36" s="1"/>
  <c r="N123" i="36"/>
  <c r="M124" i="21"/>
  <c r="O124" i="21"/>
  <c r="P124" i="21" s="1"/>
  <c r="N124" i="21"/>
  <c r="M61" i="36"/>
  <c r="O61" i="36"/>
  <c r="P61" i="36" s="1"/>
  <c r="N61" i="36"/>
  <c r="M58" i="21"/>
  <c r="O58" i="21"/>
  <c r="P58" i="21" s="1"/>
  <c r="N58" i="21"/>
  <c r="M118" i="21"/>
  <c r="O118" i="21"/>
  <c r="P118" i="21" s="1"/>
  <c r="N118" i="21"/>
  <c r="M110" i="21"/>
  <c r="O110" i="21"/>
  <c r="P110" i="21" s="1"/>
  <c r="N110" i="21"/>
  <c r="M45" i="21"/>
  <c r="N45" i="21"/>
  <c r="O45" i="21"/>
  <c r="P45" i="21" s="1"/>
  <c r="M48" i="36"/>
  <c r="O48" i="36"/>
  <c r="P48" i="36" s="1"/>
  <c r="N48" i="36"/>
  <c r="M92" i="36"/>
  <c r="O92" i="36"/>
  <c r="P92" i="36" s="1"/>
  <c r="N92" i="36"/>
  <c r="M94" i="21"/>
  <c r="O94" i="21"/>
  <c r="P94" i="21" s="1"/>
  <c r="N94" i="21"/>
  <c r="O24" i="21"/>
  <c r="P24" i="21" s="1"/>
  <c r="N24" i="21"/>
  <c r="M24" i="21"/>
  <c r="M29" i="36"/>
  <c r="N29" i="36"/>
  <c r="O29" i="36"/>
  <c r="P29" i="36" s="1"/>
  <c r="M140" i="36"/>
  <c r="N140" i="36"/>
  <c r="O140" i="36"/>
  <c r="P140" i="36" s="1"/>
  <c r="M140" i="21"/>
  <c r="N140" i="21"/>
  <c r="O140" i="21"/>
  <c r="P140" i="21" s="1"/>
  <c r="M78" i="21"/>
  <c r="O78" i="21"/>
  <c r="P78" i="21" s="1"/>
  <c r="N78" i="21"/>
  <c r="M80" i="21"/>
  <c r="N80" i="21"/>
  <c r="O80" i="21"/>
  <c r="P80" i="21" s="1"/>
  <c r="M122" i="36"/>
  <c r="O122" i="36"/>
  <c r="P122" i="36" s="1"/>
  <c r="N122" i="36"/>
  <c r="M125" i="21"/>
  <c r="N125" i="21"/>
  <c r="O125" i="21"/>
  <c r="P125" i="21" s="1"/>
  <c r="M57" i="36"/>
  <c r="O57" i="36"/>
  <c r="P57" i="36" s="1"/>
  <c r="N57" i="36"/>
  <c r="M59" i="21"/>
  <c r="O59" i="21"/>
  <c r="P59" i="21" s="1"/>
  <c r="N59" i="21"/>
  <c r="J82" i="33"/>
  <c r="X82" i="33" s="1"/>
  <c r="J82" i="42"/>
  <c r="AJ82" i="42" s="1"/>
  <c r="J82" i="36"/>
  <c r="AD82" i="36" s="1"/>
  <c r="J82" i="43"/>
  <c r="X82" i="43" s="1"/>
  <c r="J82" i="37"/>
  <c r="AJ82" i="37" s="1"/>
  <c r="R113" i="21"/>
  <c r="J113" i="42"/>
  <c r="AD113" i="42" s="1"/>
  <c r="J113" i="33"/>
  <c r="L113" i="33" s="1"/>
  <c r="M113" i="33" s="1"/>
  <c r="L113" i="21"/>
  <c r="M113" i="21" s="1"/>
  <c r="AD113" i="21"/>
  <c r="AJ113" i="21"/>
  <c r="J133" i="36"/>
  <c r="AJ133" i="36" s="1"/>
  <c r="J133" i="37"/>
  <c r="AD133" i="37" s="1"/>
  <c r="J102" i="42"/>
  <c r="AD102" i="42" s="1"/>
  <c r="J102" i="21"/>
  <c r="R102" i="21" s="1"/>
  <c r="J150" i="42"/>
  <c r="X150" i="42" s="1"/>
  <c r="J118" i="33"/>
  <c r="AJ118" i="33" s="1"/>
  <c r="J118" i="42"/>
  <c r="AJ118" i="42" s="1"/>
  <c r="J134" i="36"/>
  <c r="AD134" i="36" s="1"/>
  <c r="J132" i="33"/>
  <c r="X132" i="33" s="1"/>
  <c r="J132" i="42"/>
  <c r="L132" i="42" s="1"/>
  <c r="J118" i="43"/>
  <c r="AJ118" i="43" s="1"/>
  <c r="J134" i="37"/>
  <c r="AJ134" i="37" s="1"/>
  <c r="J132" i="36"/>
  <c r="AJ132" i="36" s="1"/>
  <c r="J116" i="43"/>
  <c r="R116" i="43" s="1"/>
  <c r="J132" i="37"/>
  <c r="L132" i="37" s="1"/>
  <c r="M132" i="37" s="1"/>
  <c r="J134" i="33"/>
  <c r="AJ134" i="33" s="1"/>
  <c r="J66" i="33"/>
  <c r="AJ66" i="33" s="1"/>
  <c r="J134" i="42"/>
  <c r="X134" i="42" s="1"/>
  <c r="J129" i="43"/>
  <c r="L129" i="43" s="1"/>
  <c r="E35" i="33"/>
  <c r="E35" i="37"/>
  <c r="E35" i="42"/>
  <c r="E35" i="36"/>
  <c r="E35" i="21"/>
  <c r="E35" i="43"/>
  <c r="J145" i="33"/>
  <c r="X145" i="33" s="1"/>
  <c r="J147" i="36"/>
  <c r="R147" i="36" s="1"/>
  <c r="J145" i="37"/>
  <c r="R145" i="37" s="1"/>
  <c r="J145" i="42"/>
  <c r="L145" i="42" s="1"/>
  <c r="J35" i="37"/>
  <c r="J35" i="36"/>
  <c r="J35" i="43"/>
  <c r="J35" i="21"/>
  <c r="J35" i="33"/>
  <c r="J35" i="42"/>
  <c r="J145" i="36"/>
  <c r="AJ145" i="36" s="1"/>
  <c r="J36" i="37"/>
  <c r="J36" i="42"/>
  <c r="J36" i="33"/>
  <c r="J36" i="21"/>
  <c r="J36" i="43"/>
  <c r="J36" i="36"/>
  <c r="R128" i="21"/>
  <c r="L128" i="21"/>
  <c r="AD128" i="21"/>
  <c r="AJ128" i="21"/>
  <c r="X128" i="21"/>
  <c r="J66" i="36"/>
  <c r="L102" i="33"/>
  <c r="M102" i="33" s="1"/>
  <c r="J149" i="21"/>
  <c r="AJ115" i="21"/>
  <c r="L115" i="21"/>
  <c r="M115" i="21" s="1"/>
  <c r="R115" i="21"/>
  <c r="AD115" i="21"/>
  <c r="X115" i="21"/>
  <c r="L150" i="33"/>
  <c r="J66" i="43"/>
  <c r="X113" i="37"/>
  <c r="R113" i="37"/>
  <c r="L113" i="37"/>
  <c r="AJ114" i="21"/>
  <c r="L114" i="21"/>
  <c r="M114" i="21" s="1"/>
  <c r="R114" i="21"/>
  <c r="AD114" i="21"/>
  <c r="X114" i="21"/>
  <c r="J133" i="33"/>
  <c r="X133" i="33" s="1"/>
  <c r="J132" i="21"/>
  <c r="L133" i="42"/>
  <c r="X118" i="37"/>
  <c r="R118" i="37"/>
  <c r="L118" i="37"/>
  <c r="J66" i="37"/>
  <c r="J118" i="36"/>
  <c r="J117" i="21"/>
  <c r="L82" i="21"/>
  <c r="AJ130" i="21"/>
  <c r="L130" i="21"/>
  <c r="X130" i="21"/>
  <c r="AD130" i="21"/>
  <c r="R130" i="21"/>
  <c r="AD147" i="21"/>
  <c r="R147" i="21"/>
  <c r="L147" i="21"/>
  <c r="AJ147" i="21"/>
  <c r="X147" i="21"/>
  <c r="AD148" i="21"/>
  <c r="L148" i="21"/>
  <c r="R148" i="21"/>
  <c r="AJ148" i="21"/>
  <c r="X148" i="21"/>
  <c r="AD146" i="21"/>
  <c r="R146" i="21"/>
  <c r="L146" i="21"/>
  <c r="X146" i="21"/>
  <c r="AJ146" i="21"/>
  <c r="R144" i="21"/>
  <c r="L144" i="21"/>
  <c r="M144" i="21" s="1"/>
  <c r="X144" i="21"/>
  <c r="AJ144" i="21"/>
  <c r="AD144" i="21"/>
  <c r="AD129" i="21"/>
  <c r="L129" i="21"/>
  <c r="X129" i="21"/>
  <c r="R129" i="21"/>
  <c r="AJ129" i="21"/>
  <c r="J66" i="21"/>
  <c r="R66" i="21" s="1"/>
  <c r="AJ133" i="21"/>
  <c r="L133" i="21"/>
  <c r="M133" i="21" s="1"/>
  <c r="AD133" i="21"/>
  <c r="X133" i="21"/>
  <c r="R133" i="21"/>
  <c r="AJ131" i="21"/>
  <c r="L131" i="21"/>
  <c r="M131" i="21" s="1"/>
  <c r="AD131" i="21"/>
  <c r="R131" i="21"/>
  <c r="X131" i="21"/>
  <c r="AJ116" i="21"/>
  <c r="L116" i="21"/>
  <c r="M116" i="21" s="1"/>
  <c r="R116" i="21"/>
  <c r="X116" i="21"/>
  <c r="AD116" i="21"/>
  <c r="J66" i="42"/>
  <c r="AJ66" i="42" s="1"/>
  <c r="X145" i="21"/>
  <c r="L145" i="21"/>
  <c r="M145" i="21" s="1"/>
  <c r="R145" i="21"/>
  <c r="AD145" i="21"/>
  <c r="AJ145" i="21"/>
  <c r="L69" i="21"/>
  <c r="M69" i="21" s="1"/>
  <c r="R150" i="21"/>
  <c r="L150" i="21"/>
  <c r="M150" i="21" s="1"/>
  <c r="AD150" i="21"/>
  <c r="X150" i="21"/>
  <c r="AJ150" i="21"/>
  <c r="L86" i="33"/>
  <c r="M86" i="33" s="1"/>
  <c r="AJ53" i="43"/>
  <c r="AD53" i="43"/>
  <c r="R53" i="43"/>
  <c r="L53" i="43"/>
  <c r="X53" i="43"/>
  <c r="AJ86" i="33"/>
  <c r="AD86" i="33"/>
  <c r="X86" i="33"/>
  <c r="R86" i="33"/>
  <c r="AJ102" i="33"/>
  <c r="AD102" i="33"/>
  <c r="X102" i="33"/>
  <c r="R102" i="33"/>
  <c r="X150" i="33"/>
  <c r="R150" i="33"/>
  <c r="AJ150" i="33"/>
  <c r="AD150" i="33"/>
  <c r="AD133" i="42"/>
  <c r="X133" i="42"/>
  <c r="R133" i="42"/>
  <c r="AJ133" i="42"/>
  <c r="AJ69" i="21"/>
  <c r="AD69" i="21"/>
  <c r="R69" i="21"/>
  <c r="X69" i="21"/>
  <c r="X82" i="21"/>
  <c r="AJ82" i="21"/>
  <c r="R82" i="21"/>
  <c r="AD82" i="21"/>
  <c r="J17" i="21"/>
  <c r="J102" i="36"/>
  <c r="J102" i="43"/>
  <c r="J150" i="36"/>
  <c r="J102" i="37"/>
  <c r="J134" i="43"/>
  <c r="J86" i="42"/>
  <c r="J150" i="37"/>
  <c r="J69" i="42"/>
  <c r="J81" i="33"/>
  <c r="J81" i="36"/>
  <c r="J81" i="21"/>
  <c r="J69" i="36"/>
  <c r="J81" i="42"/>
  <c r="J69" i="43"/>
  <c r="J69" i="37"/>
  <c r="J81" i="43"/>
  <c r="J69" i="33"/>
  <c r="J81" i="37"/>
  <c r="J86" i="36"/>
  <c r="J53" i="37"/>
  <c r="J86" i="21"/>
  <c r="J17" i="33"/>
  <c r="J53" i="33"/>
  <c r="J17" i="42"/>
  <c r="J117" i="43"/>
  <c r="J53" i="21"/>
  <c r="J86" i="43"/>
  <c r="J17" i="36"/>
  <c r="J53" i="42"/>
  <c r="J86" i="37"/>
  <c r="J17" i="43"/>
  <c r="J53" i="36"/>
  <c r="J17" i="37"/>
  <c r="J131" i="43"/>
  <c r="J147" i="37"/>
  <c r="J147" i="42"/>
  <c r="J147" i="33"/>
  <c r="J130" i="37"/>
  <c r="J114" i="43"/>
  <c r="J130" i="36"/>
  <c r="J130" i="42"/>
  <c r="J130" i="33"/>
  <c r="J34" i="37"/>
  <c r="J34" i="43"/>
  <c r="J34" i="36"/>
  <c r="J34" i="42"/>
  <c r="J34" i="21"/>
  <c r="J34" i="33"/>
  <c r="J32" i="37"/>
  <c r="J32" i="43"/>
  <c r="J32" i="36"/>
  <c r="J32" i="42"/>
  <c r="J32" i="33"/>
  <c r="J32" i="21"/>
  <c r="J83" i="37"/>
  <c r="J83" i="43"/>
  <c r="J83" i="36"/>
  <c r="J83" i="42"/>
  <c r="J83" i="21"/>
  <c r="J83" i="33"/>
  <c r="J38" i="37"/>
  <c r="J38" i="43"/>
  <c r="J38" i="36"/>
  <c r="J38" i="42"/>
  <c r="J38" i="21"/>
  <c r="J38" i="33"/>
  <c r="J18" i="37"/>
  <c r="J18" i="43"/>
  <c r="J18" i="21"/>
  <c r="J18" i="33"/>
  <c r="J18" i="36"/>
  <c r="J18" i="42"/>
  <c r="J52" i="37"/>
  <c r="J52" i="43"/>
  <c r="J52" i="36"/>
  <c r="J52" i="42"/>
  <c r="J52" i="21"/>
  <c r="J52" i="33"/>
  <c r="J116" i="37"/>
  <c r="J116" i="36"/>
  <c r="J116" i="42"/>
  <c r="J116" i="33"/>
  <c r="J19" i="33"/>
  <c r="J19" i="37"/>
  <c r="J19" i="43"/>
  <c r="J19" i="36"/>
  <c r="J19" i="42"/>
  <c r="J19" i="21"/>
  <c r="J21" i="37"/>
  <c r="J21" i="43"/>
  <c r="J21" i="36"/>
  <c r="J21" i="42"/>
  <c r="J21" i="21"/>
  <c r="J21" i="33"/>
  <c r="J68" i="21"/>
  <c r="J68" i="37"/>
  <c r="J68" i="43"/>
  <c r="J68" i="36"/>
  <c r="J68" i="42"/>
  <c r="J68" i="33"/>
  <c r="J54" i="37"/>
  <c r="J54" i="43"/>
  <c r="J54" i="36"/>
  <c r="J54" i="42"/>
  <c r="J54" i="21"/>
  <c r="J54" i="33"/>
  <c r="J65" i="33"/>
  <c r="J65" i="37"/>
  <c r="J65" i="43"/>
  <c r="J65" i="36"/>
  <c r="J65" i="42"/>
  <c r="J65" i="21"/>
  <c r="J99" i="33"/>
  <c r="J99" i="37"/>
  <c r="J99" i="43"/>
  <c r="J99" i="36"/>
  <c r="J99" i="42"/>
  <c r="J99" i="21"/>
  <c r="J70" i="37"/>
  <c r="J70" i="43"/>
  <c r="J70" i="33"/>
  <c r="J70" i="42"/>
  <c r="J70" i="36"/>
  <c r="J70" i="21"/>
  <c r="J129" i="37"/>
  <c r="J113" i="43"/>
  <c r="J129" i="36"/>
  <c r="J129" i="42"/>
  <c r="J129" i="33"/>
  <c r="J33" i="21"/>
  <c r="J33" i="37"/>
  <c r="J33" i="43"/>
  <c r="J33" i="36"/>
  <c r="J33" i="42"/>
  <c r="J33" i="33"/>
  <c r="J37" i="37"/>
  <c r="J37" i="43"/>
  <c r="J37" i="36"/>
  <c r="J37" i="42"/>
  <c r="J37" i="21"/>
  <c r="J37" i="33"/>
  <c r="J114" i="33"/>
  <c r="J114" i="37"/>
  <c r="J114" i="36"/>
  <c r="J114" i="42"/>
  <c r="J50" i="33"/>
  <c r="J50" i="37"/>
  <c r="J50" i="43"/>
  <c r="J50" i="36"/>
  <c r="J50" i="42"/>
  <c r="J50" i="21"/>
  <c r="J97" i="37"/>
  <c r="J97" i="43"/>
  <c r="J97" i="36"/>
  <c r="J97" i="42"/>
  <c r="J97" i="21"/>
  <c r="J97" i="33"/>
  <c r="J115" i="37"/>
  <c r="J115" i="36"/>
  <c r="J115" i="42"/>
  <c r="J115" i="33"/>
  <c r="J85" i="21"/>
  <c r="J85" i="37"/>
  <c r="J85" i="43"/>
  <c r="J85" i="36"/>
  <c r="J85" i="42"/>
  <c r="J85" i="33"/>
  <c r="J49" i="37"/>
  <c r="J49" i="43"/>
  <c r="J49" i="36"/>
  <c r="J49" i="42"/>
  <c r="J49" i="21"/>
  <c r="J49" i="33"/>
  <c r="J101" i="37"/>
  <c r="J101" i="43"/>
  <c r="J101" i="36"/>
  <c r="J101" i="42"/>
  <c r="J101" i="33"/>
  <c r="J101" i="21"/>
  <c r="J98" i="37"/>
  <c r="J98" i="43"/>
  <c r="J98" i="36"/>
  <c r="J98" i="42"/>
  <c r="J98" i="21"/>
  <c r="J98" i="33"/>
  <c r="J117" i="37"/>
  <c r="J117" i="36"/>
  <c r="J117" i="42"/>
  <c r="J117" i="33"/>
  <c r="J16" i="21"/>
  <c r="J16" i="33"/>
  <c r="J16" i="37"/>
  <c r="J16" i="43"/>
  <c r="J16" i="36"/>
  <c r="J16" i="42"/>
  <c r="J149" i="33"/>
  <c r="J149" i="37"/>
  <c r="J133" i="43"/>
  <c r="J149" i="36"/>
  <c r="J149" i="42"/>
  <c r="J131" i="33"/>
  <c r="J131" i="37"/>
  <c r="J115" i="43"/>
  <c r="J131" i="36"/>
  <c r="J131" i="42"/>
  <c r="J148" i="33"/>
  <c r="J148" i="37"/>
  <c r="J132" i="43"/>
  <c r="J148" i="36"/>
  <c r="J148" i="42"/>
  <c r="J146" i="37"/>
  <c r="J130" i="43"/>
  <c r="J146" i="36"/>
  <c r="J146" i="42"/>
  <c r="J146" i="33"/>
  <c r="J20" i="37"/>
  <c r="J20" i="43"/>
  <c r="J20" i="36"/>
  <c r="J20" i="42"/>
  <c r="J20" i="21"/>
  <c r="J20" i="33"/>
  <c r="J100" i="37"/>
  <c r="J100" i="43"/>
  <c r="J100" i="36"/>
  <c r="J100" i="42"/>
  <c r="J100" i="21"/>
  <c r="J100" i="33"/>
  <c r="J84" i="37"/>
  <c r="J84" i="43"/>
  <c r="J84" i="36"/>
  <c r="J84" i="42"/>
  <c r="J84" i="21"/>
  <c r="J84" i="33"/>
  <c r="J67" i="21"/>
  <c r="J67" i="37"/>
  <c r="J67" i="43"/>
  <c r="J67" i="36"/>
  <c r="J67" i="42"/>
  <c r="J67" i="33"/>
  <c r="J151" i="33"/>
  <c r="J151" i="37"/>
  <c r="J135" i="43"/>
  <c r="J151" i="36"/>
  <c r="J151" i="42"/>
  <c r="J51" i="21"/>
  <c r="J51" i="37"/>
  <c r="J51" i="43"/>
  <c r="J51" i="36"/>
  <c r="J51" i="42"/>
  <c r="J51" i="33"/>
  <c r="AD82" i="33" l="1"/>
  <c r="AJ82" i="33"/>
  <c r="AD82" i="42"/>
  <c r="AJ82" i="43"/>
  <c r="L82" i="33"/>
  <c r="M82" i="33" s="1"/>
  <c r="R82" i="33"/>
  <c r="R82" i="42"/>
  <c r="X82" i="42"/>
  <c r="L82" i="42"/>
  <c r="O82" i="42" s="1"/>
  <c r="P82" i="42" s="1"/>
  <c r="L82" i="43"/>
  <c r="M82" i="43" s="1"/>
  <c r="R82" i="43"/>
  <c r="AD82" i="43"/>
  <c r="L82" i="36"/>
  <c r="M82" i="36" s="1"/>
  <c r="R82" i="36"/>
  <c r="AJ82" i="36"/>
  <c r="AD116" i="43"/>
  <c r="X82" i="36"/>
  <c r="L82" i="37"/>
  <c r="N82" i="37" s="1"/>
  <c r="R82" i="37"/>
  <c r="X82" i="37"/>
  <c r="AD82" i="37"/>
  <c r="X113" i="33"/>
  <c r="AJ113" i="42"/>
  <c r="R133" i="37"/>
  <c r="L133" i="37"/>
  <c r="M133" i="37" s="1"/>
  <c r="X133" i="37"/>
  <c r="AJ133" i="37"/>
  <c r="AD113" i="33"/>
  <c r="AJ113" i="33"/>
  <c r="L102" i="21"/>
  <c r="M102" i="21" s="1"/>
  <c r="L66" i="33"/>
  <c r="M66" i="33" s="1"/>
  <c r="X118" i="33"/>
  <c r="AD118" i="33"/>
  <c r="L118" i="33"/>
  <c r="M118" i="33" s="1"/>
  <c r="L102" i="42"/>
  <c r="M102" i="42" s="1"/>
  <c r="AJ102" i="42"/>
  <c r="N113" i="21"/>
  <c r="L134" i="33"/>
  <c r="M134" i="33" s="1"/>
  <c r="AJ102" i="21"/>
  <c r="O113" i="21"/>
  <c r="P113" i="21" s="1"/>
  <c r="X102" i="21"/>
  <c r="AD102" i="21"/>
  <c r="AJ134" i="36"/>
  <c r="L134" i="36"/>
  <c r="O134" i="36" s="1"/>
  <c r="P134" i="36" s="1"/>
  <c r="R145" i="33"/>
  <c r="R134" i="36"/>
  <c r="AD145" i="33"/>
  <c r="X134" i="36"/>
  <c r="AJ145" i="33"/>
  <c r="L145" i="33"/>
  <c r="M145" i="33" s="1"/>
  <c r="R102" i="42"/>
  <c r="X102" i="42"/>
  <c r="AJ116" i="43"/>
  <c r="X116" i="43"/>
  <c r="R133" i="36"/>
  <c r="L133" i="36"/>
  <c r="O133" i="36" s="1"/>
  <c r="P133" i="36" s="1"/>
  <c r="AD133" i="36"/>
  <c r="AD118" i="42"/>
  <c r="X133" i="36"/>
  <c r="AJ132" i="37"/>
  <c r="AD145" i="37"/>
  <c r="AJ150" i="42"/>
  <c r="X132" i="42"/>
  <c r="AD150" i="42"/>
  <c r="L150" i="42"/>
  <c r="M150" i="42" s="1"/>
  <c r="R150" i="42"/>
  <c r="AD132" i="37"/>
  <c r="X145" i="37"/>
  <c r="AJ145" i="42"/>
  <c r="AD132" i="33"/>
  <c r="R134" i="33"/>
  <c r="L147" i="36"/>
  <c r="M147" i="36" s="1"/>
  <c r="AD132" i="42"/>
  <c r="AJ132" i="33"/>
  <c r="X134" i="33"/>
  <c r="X147" i="36"/>
  <c r="L132" i="33"/>
  <c r="M132" i="33" s="1"/>
  <c r="R132" i="37"/>
  <c r="AJ132" i="42"/>
  <c r="R132" i="33"/>
  <c r="AD134" i="33"/>
  <c r="AD147" i="36"/>
  <c r="X132" i="37"/>
  <c r="R132" i="42"/>
  <c r="AJ147" i="36"/>
  <c r="R118" i="43"/>
  <c r="R145" i="42"/>
  <c r="AD118" i="43"/>
  <c r="X145" i="42"/>
  <c r="AD145" i="42"/>
  <c r="X66" i="33"/>
  <c r="L145" i="37"/>
  <c r="M145" i="37" s="1"/>
  <c r="L116" i="43"/>
  <c r="M116" i="43" s="1"/>
  <c r="L134" i="37"/>
  <c r="M134" i="37" s="1"/>
  <c r="R129" i="43"/>
  <c r="AD134" i="42"/>
  <c r="AD134" i="37"/>
  <c r="AJ134" i="42"/>
  <c r="R132" i="36"/>
  <c r="AJ66" i="21"/>
  <c r="L134" i="42"/>
  <c r="O134" i="42" s="1"/>
  <c r="P134" i="42" s="1"/>
  <c r="X66" i="21"/>
  <c r="X129" i="43"/>
  <c r="X132" i="36"/>
  <c r="AD129" i="43"/>
  <c r="AD132" i="36"/>
  <c r="AD66" i="21"/>
  <c r="R134" i="37"/>
  <c r="X118" i="43"/>
  <c r="AJ129" i="43"/>
  <c r="R66" i="33"/>
  <c r="X134" i="37"/>
  <c r="L118" i="43"/>
  <c r="M118" i="43" s="1"/>
  <c r="R134" i="42"/>
  <c r="AD66" i="33"/>
  <c r="L132" i="36"/>
  <c r="M132" i="36" s="1"/>
  <c r="AJ145" i="37"/>
  <c r="X145" i="36"/>
  <c r="L36" i="33"/>
  <c r="M36" i="33" s="1"/>
  <c r="X36" i="33"/>
  <c r="AD36" i="33"/>
  <c r="R36" i="33"/>
  <c r="AJ36" i="33"/>
  <c r="L36" i="21"/>
  <c r="R36" i="21"/>
  <c r="AD36" i="21"/>
  <c r="AJ36" i="21"/>
  <c r="X36" i="21"/>
  <c r="Y36" i="21" s="1"/>
  <c r="R145" i="36"/>
  <c r="AD35" i="21"/>
  <c r="AJ35" i="21"/>
  <c r="R35" i="21"/>
  <c r="X35" i="21"/>
  <c r="Y35" i="21" s="1"/>
  <c r="L35" i="21"/>
  <c r="L145" i="36"/>
  <c r="M145" i="36" s="1"/>
  <c r="L36" i="42"/>
  <c r="AJ36" i="42"/>
  <c r="R36" i="42"/>
  <c r="X36" i="42"/>
  <c r="Y36" i="42" s="1"/>
  <c r="AD36" i="42"/>
  <c r="AE36" i="42" s="1"/>
  <c r="X35" i="43"/>
  <c r="Y35" i="43" s="1"/>
  <c r="AJ35" i="43"/>
  <c r="AK35" i="43" s="1"/>
  <c r="AD35" i="43"/>
  <c r="AE35" i="43" s="1"/>
  <c r="L35" i="43"/>
  <c r="M35" i="43" s="1"/>
  <c r="R35" i="43"/>
  <c r="X36" i="37"/>
  <c r="Y36" i="37" s="1"/>
  <c r="AD36" i="37"/>
  <c r="AE36" i="37" s="1"/>
  <c r="R36" i="37"/>
  <c r="S36" i="37" s="1"/>
  <c r="AJ36" i="37"/>
  <c r="AK36" i="37" s="1"/>
  <c r="L36" i="37"/>
  <c r="M36" i="37" s="1"/>
  <c r="R35" i="36"/>
  <c r="AD35" i="36"/>
  <c r="X35" i="36"/>
  <c r="AJ35" i="36"/>
  <c r="AK35" i="36" s="1"/>
  <c r="L35" i="36"/>
  <c r="AJ36" i="36"/>
  <c r="R36" i="36"/>
  <c r="S36" i="36" s="1"/>
  <c r="L36" i="36"/>
  <c r="M36" i="36" s="1"/>
  <c r="AD36" i="36"/>
  <c r="AE36" i="36" s="1"/>
  <c r="X36" i="36"/>
  <c r="AD35" i="37"/>
  <c r="R35" i="37"/>
  <c r="S35" i="37" s="1"/>
  <c r="AJ35" i="37"/>
  <c r="AK35" i="37" s="1"/>
  <c r="X35" i="37"/>
  <c r="Y35" i="37" s="1"/>
  <c r="L35" i="37"/>
  <c r="AJ37" i="43"/>
  <c r="AK37" i="43" s="1"/>
  <c r="AD37" i="43"/>
  <c r="AE37" i="43" s="1"/>
  <c r="X37" i="43"/>
  <c r="AD145" i="36"/>
  <c r="X36" i="43"/>
  <c r="AJ36" i="43"/>
  <c r="AD36" i="43"/>
  <c r="R36" i="43"/>
  <c r="S36" i="43" s="1"/>
  <c r="L36" i="43"/>
  <c r="L35" i="42"/>
  <c r="M35" i="42" s="1"/>
  <c r="AJ35" i="42"/>
  <c r="AK35" i="42" s="1"/>
  <c r="AD35" i="42"/>
  <c r="X35" i="42"/>
  <c r="Y35" i="42" s="1"/>
  <c r="R35" i="42"/>
  <c r="S35" i="42" s="1"/>
  <c r="AD37" i="37"/>
  <c r="X37" i="37"/>
  <c r="AD35" i="33"/>
  <c r="X35" i="33"/>
  <c r="AJ35" i="33"/>
  <c r="R35" i="33"/>
  <c r="S35" i="33" s="1"/>
  <c r="L35" i="33"/>
  <c r="M35" i="33" s="1"/>
  <c r="R66" i="42"/>
  <c r="AD66" i="42"/>
  <c r="L68" i="21"/>
  <c r="M68" i="21" s="1"/>
  <c r="N132" i="42"/>
  <c r="O132" i="42"/>
  <c r="P132" i="42" s="1"/>
  <c r="O146" i="21"/>
  <c r="P146" i="21" s="1"/>
  <c r="N146" i="21"/>
  <c r="O147" i="21"/>
  <c r="P147" i="21" s="1"/>
  <c r="N147" i="21"/>
  <c r="O150" i="33"/>
  <c r="P150" i="33" s="1"/>
  <c r="N150" i="33"/>
  <c r="L51" i="42"/>
  <c r="L84" i="42"/>
  <c r="M84" i="42" s="1"/>
  <c r="L100" i="42"/>
  <c r="M100" i="42" s="1"/>
  <c r="L20" i="42"/>
  <c r="M20" i="42" s="1"/>
  <c r="AJ132" i="43"/>
  <c r="AD132" i="43"/>
  <c r="X132" i="43"/>
  <c r="L132" i="43"/>
  <c r="R132" i="43"/>
  <c r="AJ131" i="37"/>
  <c r="AD131" i="37"/>
  <c r="L131" i="37"/>
  <c r="X131" i="37"/>
  <c r="R131" i="37"/>
  <c r="L16" i="33"/>
  <c r="M16" i="33" s="1"/>
  <c r="L85" i="21"/>
  <c r="L97" i="33"/>
  <c r="L50" i="21"/>
  <c r="L37" i="21"/>
  <c r="L33" i="42"/>
  <c r="L129" i="42"/>
  <c r="M129" i="42" s="1"/>
  <c r="L70" i="42"/>
  <c r="L54" i="42"/>
  <c r="L21" i="42"/>
  <c r="L18" i="33"/>
  <c r="AJ130" i="36"/>
  <c r="X130" i="36"/>
  <c r="AD130" i="36"/>
  <c r="R130" i="36"/>
  <c r="L130" i="36"/>
  <c r="AJ147" i="37"/>
  <c r="AD147" i="37"/>
  <c r="X147" i="37"/>
  <c r="R147" i="37"/>
  <c r="L147" i="37"/>
  <c r="AD17" i="36"/>
  <c r="X17" i="36"/>
  <c r="R17" i="36"/>
  <c r="L17" i="36"/>
  <c r="AJ17" i="36"/>
  <c r="L17" i="33"/>
  <c r="M17" i="33" s="1"/>
  <c r="L86" i="42"/>
  <c r="M86" i="42" s="1"/>
  <c r="AJ133" i="33"/>
  <c r="O82" i="21"/>
  <c r="P82" i="21" s="1"/>
  <c r="N82" i="21"/>
  <c r="AJ66" i="37"/>
  <c r="AD66" i="37"/>
  <c r="X66" i="37"/>
  <c r="R66" i="37"/>
  <c r="L66" i="37"/>
  <c r="AD98" i="36"/>
  <c r="AJ98" i="36"/>
  <c r="R98" i="36"/>
  <c r="X98" i="36"/>
  <c r="L98" i="36"/>
  <c r="AJ50" i="37"/>
  <c r="AD50" i="37"/>
  <c r="X50" i="37"/>
  <c r="R50" i="37"/>
  <c r="L50" i="37"/>
  <c r="L65" i="33"/>
  <c r="M65" i="33" s="1"/>
  <c r="L32" i="21"/>
  <c r="L81" i="37"/>
  <c r="X81" i="37"/>
  <c r="R81" i="37"/>
  <c r="AD81" i="37"/>
  <c r="AJ81" i="37"/>
  <c r="O148" i="21"/>
  <c r="P148" i="21" s="1"/>
  <c r="N148" i="21"/>
  <c r="L51" i="21"/>
  <c r="AJ67" i="36"/>
  <c r="X67" i="36"/>
  <c r="AD67" i="36"/>
  <c r="R67" i="36"/>
  <c r="L67" i="36"/>
  <c r="AJ146" i="36"/>
  <c r="AD146" i="36"/>
  <c r="X146" i="36"/>
  <c r="L146" i="36"/>
  <c r="M146" i="36" s="1"/>
  <c r="R146" i="36"/>
  <c r="AJ148" i="37"/>
  <c r="AD148" i="37"/>
  <c r="X148" i="37"/>
  <c r="R148" i="37"/>
  <c r="L148" i="37"/>
  <c r="M148" i="37" s="1"/>
  <c r="L149" i="33"/>
  <c r="L16" i="21"/>
  <c r="M16" i="21" s="1"/>
  <c r="L98" i="33"/>
  <c r="L101" i="21"/>
  <c r="M101" i="21" s="1"/>
  <c r="L49" i="33"/>
  <c r="L85" i="33"/>
  <c r="L115" i="33"/>
  <c r="M115" i="33" s="1"/>
  <c r="L97" i="21"/>
  <c r="M97" i="21" s="1"/>
  <c r="L50" i="42"/>
  <c r="L37" i="42"/>
  <c r="AJ99" i="36"/>
  <c r="X99" i="36"/>
  <c r="AD99" i="36"/>
  <c r="R99" i="36"/>
  <c r="L99" i="36"/>
  <c r="AD65" i="36"/>
  <c r="X65" i="36"/>
  <c r="L65" i="36"/>
  <c r="M65" i="36" s="1"/>
  <c r="AJ65" i="36"/>
  <c r="R65" i="36"/>
  <c r="AJ68" i="36"/>
  <c r="X68" i="36"/>
  <c r="AD68" i="36"/>
  <c r="R68" i="36"/>
  <c r="L68" i="36"/>
  <c r="AJ19" i="36"/>
  <c r="X19" i="36"/>
  <c r="R19" i="36"/>
  <c r="AD19" i="36"/>
  <c r="L19" i="36"/>
  <c r="M19" i="36" s="1"/>
  <c r="AD52" i="36"/>
  <c r="AJ52" i="36"/>
  <c r="X52" i="36"/>
  <c r="R52" i="36"/>
  <c r="L52" i="36"/>
  <c r="M52" i="36" s="1"/>
  <c r="L18" i="21"/>
  <c r="AJ38" i="36"/>
  <c r="X38" i="36"/>
  <c r="R38" i="36"/>
  <c r="AD38" i="36"/>
  <c r="L38" i="36"/>
  <c r="AD83" i="36"/>
  <c r="X83" i="36"/>
  <c r="AJ83" i="36"/>
  <c r="R83" i="36"/>
  <c r="L83" i="36"/>
  <c r="AJ32" i="36"/>
  <c r="X32" i="36"/>
  <c r="R32" i="36"/>
  <c r="AD32" i="36"/>
  <c r="L32" i="36"/>
  <c r="M32" i="36" s="1"/>
  <c r="AJ34" i="36"/>
  <c r="X34" i="36"/>
  <c r="R34" i="36"/>
  <c r="AD34" i="36"/>
  <c r="L34" i="36"/>
  <c r="AJ114" i="43"/>
  <c r="AD114" i="43"/>
  <c r="X114" i="43"/>
  <c r="R114" i="43"/>
  <c r="L114" i="43"/>
  <c r="AJ131" i="43"/>
  <c r="X131" i="43"/>
  <c r="R131" i="43"/>
  <c r="AD131" i="43"/>
  <c r="L131" i="43"/>
  <c r="AJ86" i="43"/>
  <c r="AD86" i="43"/>
  <c r="L86" i="43"/>
  <c r="X86" i="43"/>
  <c r="R86" i="43"/>
  <c r="L86" i="21"/>
  <c r="M86" i="21" s="1"/>
  <c r="AJ69" i="37"/>
  <c r="AD69" i="37"/>
  <c r="X69" i="37"/>
  <c r="L69" i="37"/>
  <c r="R69" i="37"/>
  <c r="AJ81" i="36"/>
  <c r="X81" i="36"/>
  <c r="R81" i="36"/>
  <c r="AD81" i="36"/>
  <c r="L81" i="36"/>
  <c r="AJ134" i="43"/>
  <c r="X134" i="43"/>
  <c r="R134" i="43"/>
  <c r="L134" i="43"/>
  <c r="AD134" i="43"/>
  <c r="R133" i="33"/>
  <c r="O150" i="21"/>
  <c r="P150" i="21" s="1"/>
  <c r="N150" i="21"/>
  <c r="O133" i="21"/>
  <c r="P133" i="21" s="1"/>
  <c r="N133" i="21"/>
  <c r="O144" i="21"/>
  <c r="P144" i="21" s="1"/>
  <c r="N144" i="21"/>
  <c r="M118" i="37"/>
  <c r="N118" i="37"/>
  <c r="O118" i="37"/>
  <c r="P118" i="37" s="1"/>
  <c r="L148" i="42"/>
  <c r="M148" i="42" s="1"/>
  <c r="AD101" i="36"/>
  <c r="AJ101" i="36"/>
  <c r="L101" i="36"/>
  <c r="M101" i="36" s="1"/>
  <c r="X101" i="36"/>
  <c r="R101" i="36"/>
  <c r="L83" i="33"/>
  <c r="M83" i="33" s="1"/>
  <c r="AJ69" i="36"/>
  <c r="X69" i="36"/>
  <c r="AD69" i="36"/>
  <c r="R69" i="36"/>
  <c r="L69" i="36"/>
  <c r="M69" i="36" s="1"/>
  <c r="O130" i="21"/>
  <c r="P130" i="21" s="1"/>
  <c r="N130" i="21"/>
  <c r="AJ135" i="43"/>
  <c r="AD135" i="43"/>
  <c r="X135" i="43"/>
  <c r="R135" i="43"/>
  <c r="L135" i="43"/>
  <c r="AJ100" i="36"/>
  <c r="AD100" i="36"/>
  <c r="X100" i="36"/>
  <c r="R100" i="36"/>
  <c r="L100" i="36"/>
  <c r="AJ20" i="36"/>
  <c r="X20" i="36"/>
  <c r="R20" i="36"/>
  <c r="AD20" i="36"/>
  <c r="L20" i="36"/>
  <c r="L131" i="33"/>
  <c r="L16" i="42"/>
  <c r="L117" i="33"/>
  <c r="L98" i="21"/>
  <c r="M98" i="21" s="1"/>
  <c r="L101" i="33"/>
  <c r="L49" i="21"/>
  <c r="L85" i="42"/>
  <c r="L97" i="42"/>
  <c r="AD33" i="36"/>
  <c r="R33" i="36"/>
  <c r="AJ33" i="36"/>
  <c r="X33" i="36"/>
  <c r="L33" i="36"/>
  <c r="AJ129" i="36"/>
  <c r="X129" i="36"/>
  <c r="AD129" i="36"/>
  <c r="R129" i="36"/>
  <c r="L129" i="36"/>
  <c r="L70" i="33"/>
  <c r="AJ99" i="43"/>
  <c r="AD99" i="43"/>
  <c r="L99" i="43"/>
  <c r="X99" i="43"/>
  <c r="R99" i="43"/>
  <c r="AJ65" i="43"/>
  <c r="AD65" i="43"/>
  <c r="X65" i="43"/>
  <c r="R65" i="43"/>
  <c r="L65" i="43"/>
  <c r="R54" i="36"/>
  <c r="AJ54" i="36"/>
  <c r="AD54" i="36"/>
  <c r="L54" i="36"/>
  <c r="M54" i="36" s="1"/>
  <c r="X54" i="36"/>
  <c r="AJ68" i="43"/>
  <c r="AD68" i="43"/>
  <c r="L68" i="43"/>
  <c r="M68" i="43" s="1"/>
  <c r="R68" i="43"/>
  <c r="X68" i="43"/>
  <c r="AJ21" i="36"/>
  <c r="X21" i="36"/>
  <c r="R21" i="36"/>
  <c r="AD21" i="36"/>
  <c r="L21" i="36"/>
  <c r="AJ19" i="43"/>
  <c r="AD19" i="43"/>
  <c r="X19" i="43"/>
  <c r="R19" i="43"/>
  <c r="L19" i="43"/>
  <c r="AJ52" i="43"/>
  <c r="X52" i="43"/>
  <c r="R52" i="43"/>
  <c r="L52" i="43"/>
  <c r="M52" i="43" s="1"/>
  <c r="AD52" i="43"/>
  <c r="AJ18" i="43"/>
  <c r="AD18" i="43"/>
  <c r="X18" i="43"/>
  <c r="R18" i="43"/>
  <c r="L18" i="43"/>
  <c r="AJ38" i="43"/>
  <c r="AD38" i="43"/>
  <c r="X38" i="43"/>
  <c r="R38" i="43"/>
  <c r="L38" i="43"/>
  <c r="AJ83" i="43"/>
  <c r="AD83" i="43"/>
  <c r="X83" i="43"/>
  <c r="R83" i="43"/>
  <c r="L83" i="43"/>
  <c r="AJ32" i="43"/>
  <c r="AD32" i="43"/>
  <c r="R32" i="43"/>
  <c r="L32" i="43"/>
  <c r="X32" i="43"/>
  <c r="AJ34" i="43"/>
  <c r="AD34" i="43"/>
  <c r="X34" i="43"/>
  <c r="L34" i="43"/>
  <c r="R34" i="43"/>
  <c r="AJ130" i="37"/>
  <c r="AD130" i="37"/>
  <c r="X130" i="37"/>
  <c r="R130" i="37"/>
  <c r="L130" i="37"/>
  <c r="AJ17" i="37"/>
  <c r="AD17" i="37"/>
  <c r="X17" i="37"/>
  <c r="R17" i="37"/>
  <c r="L17" i="37"/>
  <c r="L53" i="21"/>
  <c r="X53" i="37"/>
  <c r="AD53" i="37"/>
  <c r="R53" i="37"/>
  <c r="AJ53" i="37"/>
  <c r="L53" i="37"/>
  <c r="L81" i="33"/>
  <c r="M81" i="33" s="1"/>
  <c r="AJ102" i="37"/>
  <c r="AD102" i="37"/>
  <c r="X102" i="37"/>
  <c r="R102" i="37"/>
  <c r="L102" i="37"/>
  <c r="L66" i="42"/>
  <c r="M66" i="42" s="1"/>
  <c r="L66" i="21"/>
  <c r="M66" i="21" s="1"/>
  <c r="O129" i="21"/>
  <c r="P129" i="21" s="1"/>
  <c r="N129" i="21"/>
  <c r="O132" i="37"/>
  <c r="P132" i="37" s="1"/>
  <c r="N132" i="37"/>
  <c r="N133" i="42"/>
  <c r="O133" i="42"/>
  <c r="P133" i="42" s="1"/>
  <c r="O114" i="21"/>
  <c r="P114" i="21" s="1"/>
  <c r="N114" i="21"/>
  <c r="R149" i="21"/>
  <c r="L149" i="21"/>
  <c r="M149" i="21" s="1"/>
  <c r="X149" i="21"/>
  <c r="AD149" i="21"/>
  <c r="AJ149" i="21"/>
  <c r="L151" i="33"/>
  <c r="M151" i="33" s="1"/>
  <c r="AJ16" i="43"/>
  <c r="AD16" i="43"/>
  <c r="X16" i="43"/>
  <c r="L16" i="43"/>
  <c r="R16" i="43"/>
  <c r="AJ49" i="36"/>
  <c r="X49" i="36"/>
  <c r="R49" i="36"/>
  <c r="AD49" i="36"/>
  <c r="L49" i="36"/>
  <c r="M49" i="36" s="1"/>
  <c r="AD97" i="43"/>
  <c r="X97" i="43"/>
  <c r="R97" i="43"/>
  <c r="L97" i="43"/>
  <c r="AJ97" i="43"/>
  <c r="AJ37" i="37"/>
  <c r="AK37" i="37" s="1"/>
  <c r="R37" i="37"/>
  <c r="L37" i="37"/>
  <c r="L99" i="33"/>
  <c r="M99" i="33" s="1"/>
  <c r="L52" i="33"/>
  <c r="M52" i="33" s="1"/>
  <c r="L38" i="33"/>
  <c r="M38" i="33" s="1"/>
  <c r="L130" i="33"/>
  <c r="M130" i="33" s="1"/>
  <c r="L133" i="33"/>
  <c r="M133" i="33" s="1"/>
  <c r="AJ151" i="36"/>
  <c r="AD151" i="36"/>
  <c r="X151" i="36"/>
  <c r="R151" i="36"/>
  <c r="L151" i="36"/>
  <c r="M151" i="36" s="1"/>
  <c r="AJ51" i="36"/>
  <c r="X51" i="36"/>
  <c r="R51" i="36"/>
  <c r="AD51" i="36"/>
  <c r="L51" i="36"/>
  <c r="M51" i="36" s="1"/>
  <c r="X67" i="43"/>
  <c r="R67" i="43"/>
  <c r="AJ67" i="43"/>
  <c r="L67" i="43"/>
  <c r="AD67" i="43"/>
  <c r="AJ84" i="36"/>
  <c r="X84" i="36"/>
  <c r="AD84" i="36"/>
  <c r="R84" i="36"/>
  <c r="L84" i="36"/>
  <c r="AJ130" i="43"/>
  <c r="AD130" i="43"/>
  <c r="X130" i="43"/>
  <c r="R130" i="43"/>
  <c r="L130" i="43"/>
  <c r="AJ51" i="43"/>
  <c r="L51" i="43"/>
  <c r="AD51" i="43"/>
  <c r="X51" i="43"/>
  <c r="R51" i="43"/>
  <c r="AD151" i="37"/>
  <c r="X151" i="37"/>
  <c r="L151" i="37"/>
  <c r="AJ151" i="37"/>
  <c r="R151" i="37"/>
  <c r="AJ67" i="37"/>
  <c r="AD67" i="37"/>
  <c r="X67" i="37"/>
  <c r="R67" i="37"/>
  <c r="L67" i="37"/>
  <c r="AJ84" i="43"/>
  <c r="AD84" i="43"/>
  <c r="X84" i="43"/>
  <c r="R84" i="43"/>
  <c r="L84" i="43"/>
  <c r="AJ100" i="43"/>
  <c r="AD100" i="43"/>
  <c r="L100" i="43"/>
  <c r="R100" i="43"/>
  <c r="X100" i="43"/>
  <c r="AJ20" i="43"/>
  <c r="AD20" i="43"/>
  <c r="X20" i="43"/>
  <c r="R20" i="43"/>
  <c r="L20" i="43"/>
  <c r="AJ146" i="37"/>
  <c r="AD146" i="37"/>
  <c r="X146" i="37"/>
  <c r="R146" i="37"/>
  <c r="L146" i="37"/>
  <c r="L148" i="33"/>
  <c r="M148" i="33" s="1"/>
  <c r="L149" i="42"/>
  <c r="L98" i="42"/>
  <c r="L101" i="42"/>
  <c r="M101" i="42" s="1"/>
  <c r="L49" i="42"/>
  <c r="M49" i="42" s="1"/>
  <c r="AJ50" i="36"/>
  <c r="X50" i="36"/>
  <c r="R50" i="36"/>
  <c r="AD50" i="36"/>
  <c r="L50" i="36"/>
  <c r="AD37" i="36"/>
  <c r="X37" i="36"/>
  <c r="Z37" i="36" s="1"/>
  <c r="R37" i="36"/>
  <c r="U37" i="36" s="1"/>
  <c r="AJ37" i="36"/>
  <c r="L37" i="36"/>
  <c r="M37" i="36" s="1"/>
  <c r="L33" i="43"/>
  <c r="AD33" i="43"/>
  <c r="R33" i="43"/>
  <c r="AJ33" i="43"/>
  <c r="X33" i="43"/>
  <c r="X113" i="43"/>
  <c r="R113" i="43"/>
  <c r="L113" i="43"/>
  <c r="AJ113" i="43"/>
  <c r="AD113" i="43"/>
  <c r="AD70" i="43"/>
  <c r="L70" i="43"/>
  <c r="X70" i="43"/>
  <c r="R70" i="43"/>
  <c r="AJ70" i="43"/>
  <c r="AJ99" i="37"/>
  <c r="X99" i="37"/>
  <c r="R99" i="37"/>
  <c r="L99" i="37"/>
  <c r="AD99" i="37"/>
  <c r="L65" i="37"/>
  <c r="AJ65" i="37"/>
  <c r="AD65" i="37"/>
  <c r="X65" i="37"/>
  <c r="R65" i="37"/>
  <c r="AJ54" i="43"/>
  <c r="AD54" i="43"/>
  <c r="L54" i="43"/>
  <c r="X54" i="43"/>
  <c r="R54" i="43"/>
  <c r="L68" i="37"/>
  <c r="M68" i="37" s="1"/>
  <c r="AJ68" i="37"/>
  <c r="AD68" i="37"/>
  <c r="X68" i="37"/>
  <c r="R68" i="37"/>
  <c r="AJ21" i="43"/>
  <c r="AD21" i="43"/>
  <c r="X21" i="43"/>
  <c r="L21" i="43"/>
  <c r="R21" i="43"/>
  <c r="AJ19" i="37"/>
  <c r="AD19" i="37"/>
  <c r="X19" i="37"/>
  <c r="R19" i="37"/>
  <c r="L19" i="37"/>
  <c r="M19" i="37" s="1"/>
  <c r="X116" i="37"/>
  <c r="R116" i="37"/>
  <c r="L116" i="37"/>
  <c r="L52" i="37"/>
  <c r="M52" i="37" s="1"/>
  <c r="AJ52" i="37"/>
  <c r="AD52" i="37"/>
  <c r="X52" i="37"/>
  <c r="R52" i="37"/>
  <c r="AJ18" i="37"/>
  <c r="AD18" i="37"/>
  <c r="X18" i="37"/>
  <c r="R18" i="37"/>
  <c r="L18" i="37"/>
  <c r="AJ38" i="37"/>
  <c r="AD38" i="37"/>
  <c r="X38" i="37"/>
  <c r="R38" i="37"/>
  <c r="L38" i="37"/>
  <c r="AJ83" i="37"/>
  <c r="AD83" i="37"/>
  <c r="X83" i="37"/>
  <c r="R83" i="37"/>
  <c r="L83" i="37"/>
  <c r="L32" i="37"/>
  <c r="AJ32" i="37"/>
  <c r="AD32" i="37"/>
  <c r="X32" i="37"/>
  <c r="R32" i="37"/>
  <c r="L34" i="37"/>
  <c r="AD34" i="37"/>
  <c r="AJ34" i="37"/>
  <c r="R34" i="37"/>
  <c r="X34" i="37"/>
  <c r="AJ117" i="43"/>
  <c r="AD117" i="43"/>
  <c r="L117" i="43"/>
  <c r="X117" i="43"/>
  <c r="R117" i="43"/>
  <c r="AD69" i="43"/>
  <c r="X69" i="43"/>
  <c r="R69" i="43"/>
  <c r="L69" i="43"/>
  <c r="AJ69" i="43"/>
  <c r="L69" i="42"/>
  <c r="M69" i="42" s="1"/>
  <c r="X150" i="36"/>
  <c r="R150" i="36"/>
  <c r="AJ150" i="36"/>
  <c r="AD150" i="36"/>
  <c r="L150" i="36"/>
  <c r="M150" i="36" s="1"/>
  <c r="X66" i="42"/>
  <c r="AD133" i="33"/>
  <c r="O86" i="33"/>
  <c r="P86" i="33" s="1"/>
  <c r="N86" i="33"/>
  <c r="N113" i="33"/>
  <c r="O113" i="33"/>
  <c r="P113" i="33" s="1"/>
  <c r="O131" i="21"/>
  <c r="P131" i="21" s="1"/>
  <c r="N131" i="21"/>
  <c r="M129" i="21"/>
  <c r="M133" i="42"/>
  <c r="O115" i="21"/>
  <c r="P115" i="21" s="1"/>
  <c r="N115" i="21"/>
  <c r="L51" i="37"/>
  <c r="AJ51" i="37"/>
  <c r="AD51" i="37"/>
  <c r="X51" i="37"/>
  <c r="R51" i="37"/>
  <c r="AJ84" i="37"/>
  <c r="AD84" i="37"/>
  <c r="X84" i="37"/>
  <c r="R84" i="37"/>
  <c r="L84" i="37"/>
  <c r="AJ100" i="37"/>
  <c r="AD100" i="37"/>
  <c r="X100" i="37"/>
  <c r="R100" i="37"/>
  <c r="L100" i="37"/>
  <c r="M100" i="37" s="1"/>
  <c r="AJ20" i="37"/>
  <c r="AD20" i="37"/>
  <c r="X20" i="37"/>
  <c r="R20" i="37"/>
  <c r="L20" i="37"/>
  <c r="L131" i="42"/>
  <c r="AJ16" i="36"/>
  <c r="X16" i="36"/>
  <c r="R16" i="36"/>
  <c r="AD16" i="36"/>
  <c r="L16" i="36"/>
  <c r="M16" i="36" s="1"/>
  <c r="AJ85" i="36"/>
  <c r="X85" i="36"/>
  <c r="AD85" i="36"/>
  <c r="R85" i="36"/>
  <c r="L85" i="36"/>
  <c r="M85" i="36" s="1"/>
  <c r="AJ97" i="36"/>
  <c r="X97" i="36"/>
  <c r="AD97" i="36"/>
  <c r="R97" i="36"/>
  <c r="L97" i="36"/>
  <c r="M97" i="36" s="1"/>
  <c r="AJ50" i="43"/>
  <c r="AD50" i="43"/>
  <c r="L50" i="43"/>
  <c r="X50" i="43"/>
  <c r="R50" i="43"/>
  <c r="L114" i="37"/>
  <c r="X114" i="37"/>
  <c r="R114" i="37"/>
  <c r="R37" i="43"/>
  <c r="L37" i="43"/>
  <c r="L33" i="37"/>
  <c r="AJ33" i="37"/>
  <c r="AD33" i="37"/>
  <c r="X33" i="37"/>
  <c r="R33" i="37"/>
  <c r="AJ129" i="37"/>
  <c r="AD129" i="37"/>
  <c r="X129" i="37"/>
  <c r="R129" i="37"/>
  <c r="L129" i="37"/>
  <c r="L70" i="37"/>
  <c r="AJ70" i="37"/>
  <c r="AD70" i="37"/>
  <c r="X70" i="37"/>
  <c r="R70" i="37"/>
  <c r="AJ54" i="37"/>
  <c r="AD54" i="37"/>
  <c r="X54" i="37"/>
  <c r="R54" i="37"/>
  <c r="L54" i="37"/>
  <c r="L21" i="37"/>
  <c r="AJ21" i="37"/>
  <c r="AD21" i="37"/>
  <c r="X21" i="37"/>
  <c r="R21" i="37"/>
  <c r="L147" i="33"/>
  <c r="M147" i="33" s="1"/>
  <c r="AJ53" i="36"/>
  <c r="X53" i="36"/>
  <c r="R53" i="36"/>
  <c r="AD53" i="36"/>
  <c r="L53" i="36"/>
  <c r="M53" i="36" s="1"/>
  <c r="L17" i="42"/>
  <c r="M17" i="42" s="1"/>
  <c r="AJ86" i="36"/>
  <c r="X86" i="36"/>
  <c r="AD86" i="36"/>
  <c r="R86" i="36"/>
  <c r="L86" i="36"/>
  <c r="M86" i="36" s="1"/>
  <c r="L81" i="42"/>
  <c r="M81" i="42" s="1"/>
  <c r="AJ102" i="43"/>
  <c r="AD102" i="43"/>
  <c r="X102" i="43"/>
  <c r="R102" i="43"/>
  <c r="L102" i="43"/>
  <c r="M148" i="21"/>
  <c r="O82" i="33"/>
  <c r="P82" i="33" s="1"/>
  <c r="N82" i="33"/>
  <c r="M130" i="21"/>
  <c r="AJ132" i="21"/>
  <c r="L132" i="21"/>
  <c r="M132" i="21" s="1"/>
  <c r="X132" i="21"/>
  <c r="AD132" i="21"/>
  <c r="R132" i="21"/>
  <c r="O102" i="33"/>
  <c r="P102" i="33" s="1"/>
  <c r="N102" i="33"/>
  <c r="O128" i="21"/>
  <c r="P128" i="21" s="1"/>
  <c r="N128" i="21"/>
  <c r="AJ149" i="36"/>
  <c r="AD149" i="36"/>
  <c r="X149" i="36"/>
  <c r="R149" i="36"/>
  <c r="L149" i="36"/>
  <c r="M149" i="36" s="1"/>
  <c r="X85" i="43"/>
  <c r="R85" i="43"/>
  <c r="AD85" i="43"/>
  <c r="AJ85" i="43"/>
  <c r="L85" i="43"/>
  <c r="L34" i="33"/>
  <c r="M34" i="33" s="1"/>
  <c r="AJ17" i="43"/>
  <c r="AD17" i="43"/>
  <c r="X17" i="43"/>
  <c r="L17" i="43"/>
  <c r="R17" i="43"/>
  <c r="AJ66" i="36"/>
  <c r="X66" i="36"/>
  <c r="AD66" i="36"/>
  <c r="L66" i="36"/>
  <c r="M66" i="36" s="1"/>
  <c r="R66" i="36"/>
  <c r="L67" i="33"/>
  <c r="L84" i="33"/>
  <c r="M84" i="33" s="1"/>
  <c r="L100" i="33"/>
  <c r="M100" i="33" s="1"/>
  <c r="L20" i="33"/>
  <c r="M20" i="33" s="1"/>
  <c r="L146" i="33"/>
  <c r="AJ131" i="36"/>
  <c r="X131" i="36"/>
  <c r="AD131" i="36"/>
  <c r="R131" i="36"/>
  <c r="L131" i="36"/>
  <c r="M131" i="36" s="1"/>
  <c r="X133" i="43"/>
  <c r="R133" i="43"/>
  <c r="AD133" i="43"/>
  <c r="L133" i="43"/>
  <c r="AJ133" i="43"/>
  <c r="AJ16" i="37"/>
  <c r="X16" i="37"/>
  <c r="L16" i="37"/>
  <c r="AD16" i="37"/>
  <c r="R16" i="37"/>
  <c r="AJ98" i="43"/>
  <c r="L98" i="43"/>
  <c r="AD98" i="43"/>
  <c r="X98" i="43"/>
  <c r="R98" i="43"/>
  <c r="AJ101" i="43"/>
  <c r="AD101" i="43"/>
  <c r="X101" i="43"/>
  <c r="R101" i="43"/>
  <c r="L101" i="43"/>
  <c r="AD49" i="43"/>
  <c r="X49" i="43"/>
  <c r="R49" i="43"/>
  <c r="L49" i="43"/>
  <c r="AJ49" i="43"/>
  <c r="AJ85" i="37"/>
  <c r="AD85" i="37"/>
  <c r="X85" i="37"/>
  <c r="R85" i="37"/>
  <c r="L85" i="37"/>
  <c r="R115" i="37"/>
  <c r="L115" i="37"/>
  <c r="X115" i="37"/>
  <c r="AJ97" i="37"/>
  <c r="AD97" i="37"/>
  <c r="R97" i="37"/>
  <c r="X97" i="37"/>
  <c r="L97" i="37"/>
  <c r="L114" i="33"/>
  <c r="M114" i="33" s="1"/>
  <c r="L33" i="21"/>
  <c r="L70" i="21"/>
  <c r="M70" i="21" s="1"/>
  <c r="L99" i="21"/>
  <c r="L65" i="21"/>
  <c r="M65" i="21" s="1"/>
  <c r="L54" i="33"/>
  <c r="M54" i="33" s="1"/>
  <c r="L68" i="33"/>
  <c r="L21" i="33"/>
  <c r="M21" i="33" s="1"/>
  <c r="L19" i="21"/>
  <c r="L116" i="33"/>
  <c r="M116" i="33" s="1"/>
  <c r="L52" i="21"/>
  <c r="AD18" i="36"/>
  <c r="X18" i="36"/>
  <c r="R18" i="36"/>
  <c r="L18" i="36"/>
  <c r="M18" i="36" s="1"/>
  <c r="AJ18" i="36"/>
  <c r="L38" i="21"/>
  <c r="L83" i="21"/>
  <c r="M83" i="21" s="1"/>
  <c r="L32" i="33"/>
  <c r="M32" i="33" s="1"/>
  <c r="L34" i="21"/>
  <c r="L147" i="42"/>
  <c r="M147" i="42" s="1"/>
  <c r="AJ86" i="37"/>
  <c r="AD86" i="37"/>
  <c r="X86" i="37"/>
  <c r="R86" i="37"/>
  <c r="L86" i="37"/>
  <c r="L53" i="33"/>
  <c r="M53" i="33" s="1"/>
  <c r="L69" i="33"/>
  <c r="M69" i="33" s="1"/>
  <c r="AJ150" i="37"/>
  <c r="AD150" i="37"/>
  <c r="L150" i="37"/>
  <c r="X150" i="37"/>
  <c r="R150" i="37"/>
  <c r="AJ102" i="36"/>
  <c r="X102" i="36"/>
  <c r="AD102" i="36"/>
  <c r="L102" i="36"/>
  <c r="R102" i="36"/>
  <c r="M132" i="42"/>
  <c r="O69" i="21"/>
  <c r="P69" i="21" s="1"/>
  <c r="N69" i="21"/>
  <c r="X117" i="21"/>
  <c r="L117" i="21"/>
  <c r="M117" i="21" s="1"/>
  <c r="R117" i="21"/>
  <c r="AD117" i="21"/>
  <c r="AJ117" i="21"/>
  <c r="M113" i="37"/>
  <c r="N113" i="37"/>
  <c r="O113" i="37"/>
  <c r="P113" i="37" s="1"/>
  <c r="AJ66" i="43"/>
  <c r="AD66" i="43"/>
  <c r="X66" i="43"/>
  <c r="R66" i="43"/>
  <c r="L66" i="43"/>
  <c r="M150" i="33"/>
  <c r="O145" i="42"/>
  <c r="P145" i="42" s="1"/>
  <c r="N145" i="42"/>
  <c r="M128" i="21"/>
  <c r="L67" i="21"/>
  <c r="L19" i="33"/>
  <c r="M19" i="33" s="1"/>
  <c r="L18" i="42"/>
  <c r="M18" i="42" s="1"/>
  <c r="L51" i="33"/>
  <c r="M51" i="33" s="1"/>
  <c r="L151" i="42"/>
  <c r="L67" i="42"/>
  <c r="M67" i="42" s="1"/>
  <c r="L84" i="21"/>
  <c r="M84" i="21" s="1"/>
  <c r="L100" i="21"/>
  <c r="L20" i="21"/>
  <c r="L146" i="42"/>
  <c r="AJ148" i="36"/>
  <c r="AD148" i="36"/>
  <c r="X148" i="36"/>
  <c r="R148" i="36"/>
  <c r="L148" i="36"/>
  <c r="L115" i="43"/>
  <c r="X115" i="43"/>
  <c r="R115" i="43"/>
  <c r="AJ115" i="43"/>
  <c r="AD115" i="43"/>
  <c r="AJ149" i="37"/>
  <c r="AD149" i="37"/>
  <c r="X149" i="37"/>
  <c r="R149" i="37"/>
  <c r="L149" i="37"/>
  <c r="X117" i="37"/>
  <c r="R117" i="37"/>
  <c r="L117" i="37"/>
  <c r="AJ98" i="37"/>
  <c r="AD98" i="37"/>
  <c r="X98" i="37"/>
  <c r="R98" i="37"/>
  <c r="L98" i="37"/>
  <c r="AJ101" i="37"/>
  <c r="AD101" i="37"/>
  <c r="X101" i="37"/>
  <c r="R101" i="37"/>
  <c r="L101" i="37"/>
  <c r="L49" i="37"/>
  <c r="AJ49" i="37"/>
  <c r="AD49" i="37"/>
  <c r="X49" i="37"/>
  <c r="R49" i="37"/>
  <c r="L50" i="33"/>
  <c r="M50" i="33" s="1"/>
  <c r="L37" i="33"/>
  <c r="M37" i="33" s="1"/>
  <c r="L33" i="33"/>
  <c r="L129" i="33"/>
  <c r="M129" i="33" s="1"/>
  <c r="AD70" i="36"/>
  <c r="X70" i="36"/>
  <c r="R70" i="36"/>
  <c r="AJ70" i="36"/>
  <c r="L70" i="36"/>
  <c r="L99" i="42"/>
  <c r="M99" i="42" s="1"/>
  <c r="L65" i="42"/>
  <c r="M65" i="42" s="1"/>
  <c r="L54" i="21"/>
  <c r="L68" i="42"/>
  <c r="L21" i="21"/>
  <c r="L19" i="42"/>
  <c r="M19" i="42" s="1"/>
  <c r="L52" i="42"/>
  <c r="M52" i="42" s="1"/>
  <c r="L38" i="42"/>
  <c r="L83" i="42"/>
  <c r="M83" i="42" s="1"/>
  <c r="L32" i="42"/>
  <c r="M32" i="42" s="1"/>
  <c r="L34" i="42"/>
  <c r="M34" i="42" s="1"/>
  <c r="L130" i="42"/>
  <c r="L53" i="42"/>
  <c r="M53" i="42" s="1"/>
  <c r="AJ81" i="43"/>
  <c r="AD81" i="43"/>
  <c r="X81" i="43"/>
  <c r="R81" i="43"/>
  <c r="L81" i="43"/>
  <c r="L81" i="21"/>
  <c r="M81" i="21" s="1"/>
  <c r="L17" i="21"/>
  <c r="M53" i="43"/>
  <c r="N53" i="43"/>
  <c r="O53" i="43"/>
  <c r="P53" i="43" s="1"/>
  <c r="O82" i="36"/>
  <c r="P82" i="36" s="1"/>
  <c r="N82" i="36"/>
  <c r="O145" i="21"/>
  <c r="P145" i="21" s="1"/>
  <c r="N145" i="21"/>
  <c r="O116" i="21"/>
  <c r="P116" i="21" s="1"/>
  <c r="N116" i="21"/>
  <c r="M146" i="21"/>
  <c r="M129" i="43"/>
  <c r="N129" i="43"/>
  <c r="O129" i="43"/>
  <c r="P129" i="43" s="1"/>
  <c r="M147" i="21"/>
  <c r="M82" i="21"/>
  <c r="M145" i="42"/>
  <c r="AJ67" i="33"/>
  <c r="AD67" i="33"/>
  <c r="X67" i="33"/>
  <c r="R67" i="33"/>
  <c r="AJ68" i="33"/>
  <c r="AD68" i="33"/>
  <c r="X68" i="33"/>
  <c r="R68" i="33"/>
  <c r="R21" i="33"/>
  <c r="AJ21" i="33"/>
  <c r="AD21" i="33"/>
  <c r="X21" i="33"/>
  <c r="AD116" i="33"/>
  <c r="X116" i="33"/>
  <c r="AJ116" i="33"/>
  <c r="R32" i="33"/>
  <c r="AJ32" i="33"/>
  <c r="AD32" i="33"/>
  <c r="X32" i="33"/>
  <c r="AD53" i="33"/>
  <c r="X53" i="33"/>
  <c r="R53" i="33"/>
  <c r="AJ53" i="33"/>
  <c r="R69" i="33"/>
  <c r="AJ69" i="33"/>
  <c r="AD69" i="33"/>
  <c r="X69" i="33"/>
  <c r="AJ114" i="33"/>
  <c r="AD114" i="33"/>
  <c r="X114" i="33"/>
  <c r="R51" i="33"/>
  <c r="AJ51" i="33"/>
  <c r="AD51" i="33"/>
  <c r="X51" i="33"/>
  <c r="AJ50" i="33"/>
  <c r="AD50" i="33"/>
  <c r="X50" i="33"/>
  <c r="R50" i="33"/>
  <c r="X33" i="33"/>
  <c r="R33" i="33"/>
  <c r="AJ33" i="33"/>
  <c r="AD33" i="33"/>
  <c r="AJ129" i="33"/>
  <c r="AD129" i="33"/>
  <c r="X129" i="33"/>
  <c r="R129" i="33"/>
  <c r="AJ84" i="33"/>
  <c r="AD84" i="33"/>
  <c r="X84" i="33"/>
  <c r="R84" i="33"/>
  <c r="AJ54" i="33"/>
  <c r="AD54" i="33"/>
  <c r="X54" i="33"/>
  <c r="R54" i="33"/>
  <c r="AJ37" i="33"/>
  <c r="AD37" i="33"/>
  <c r="X37" i="33"/>
  <c r="R37" i="33"/>
  <c r="AD16" i="33"/>
  <c r="X16" i="33"/>
  <c r="R16" i="33"/>
  <c r="AJ16" i="33"/>
  <c r="R97" i="33"/>
  <c r="AJ97" i="33"/>
  <c r="AD97" i="33"/>
  <c r="X97" i="33"/>
  <c r="AJ18" i="33"/>
  <c r="AD18" i="33"/>
  <c r="X18" i="33"/>
  <c r="R18" i="33"/>
  <c r="AJ17" i="33"/>
  <c r="AD17" i="33"/>
  <c r="X17" i="33"/>
  <c r="R17" i="33"/>
  <c r="AJ100" i="33"/>
  <c r="AD100" i="33"/>
  <c r="X100" i="33"/>
  <c r="R100" i="33"/>
  <c r="X98" i="33"/>
  <c r="R98" i="33"/>
  <c r="AJ98" i="33"/>
  <c r="AD98" i="33"/>
  <c r="AJ49" i="33"/>
  <c r="AD49" i="33"/>
  <c r="X49" i="33"/>
  <c r="R49" i="33"/>
  <c r="AJ85" i="33"/>
  <c r="AD85" i="33"/>
  <c r="X85" i="33"/>
  <c r="R85" i="33"/>
  <c r="X115" i="33"/>
  <c r="AJ115" i="33"/>
  <c r="AD115" i="33"/>
  <c r="AJ146" i="33"/>
  <c r="AD146" i="33"/>
  <c r="X146" i="33"/>
  <c r="R146" i="33"/>
  <c r="AJ117" i="33"/>
  <c r="AD117" i="33"/>
  <c r="X117" i="33"/>
  <c r="X70" i="33"/>
  <c r="R70" i="33"/>
  <c r="AJ70" i="33"/>
  <c r="AD70" i="33"/>
  <c r="AD81" i="33"/>
  <c r="X81" i="33"/>
  <c r="R81" i="33"/>
  <c r="AJ81" i="33"/>
  <c r="AD99" i="33"/>
  <c r="X99" i="33"/>
  <c r="R99" i="33"/>
  <c r="AJ99" i="33"/>
  <c r="R149" i="33"/>
  <c r="AJ149" i="33"/>
  <c r="AD149" i="33"/>
  <c r="X149" i="33"/>
  <c r="AJ148" i="33"/>
  <c r="AD148" i="33"/>
  <c r="X148" i="33"/>
  <c r="R148" i="33"/>
  <c r="AD151" i="33"/>
  <c r="X151" i="33"/>
  <c r="R151" i="33"/>
  <c r="AJ151" i="33"/>
  <c r="AJ20" i="33"/>
  <c r="AD20" i="33"/>
  <c r="X20" i="33"/>
  <c r="R20" i="33"/>
  <c r="R131" i="33"/>
  <c r="AJ131" i="33"/>
  <c r="AD131" i="33"/>
  <c r="X131" i="33"/>
  <c r="AJ101" i="33"/>
  <c r="AD101" i="33"/>
  <c r="X101" i="33"/>
  <c r="R101" i="33"/>
  <c r="AJ147" i="33"/>
  <c r="AD147" i="33"/>
  <c r="X147" i="33"/>
  <c r="R147" i="33"/>
  <c r="AJ65" i="33"/>
  <c r="AD65" i="33"/>
  <c r="X65" i="33"/>
  <c r="R65" i="33"/>
  <c r="AJ19" i="33"/>
  <c r="AD19" i="33"/>
  <c r="X19" i="33"/>
  <c r="R19" i="33"/>
  <c r="X52" i="33"/>
  <c r="R52" i="33"/>
  <c r="AJ52" i="33"/>
  <c r="AD52" i="33"/>
  <c r="AJ38" i="33"/>
  <c r="AD38" i="33"/>
  <c r="X38" i="33"/>
  <c r="R38" i="33"/>
  <c r="AJ83" i="33"/>
  <c r="AD83" i="33"/>
  <c r="X83" i="33"/>
  <c r="R83" i="33"/>
  <c r="AD34" i="33"/>
  <c r="X34" i="33"/>
  <c r="R34" i="33"/>
  <c r="AJ34" i="33"/>
  <c r="AJ130" i="33"/>
  <c r="AD130" i="33"/>
  <c r="X130" i="33"/>
  <c r="R130" i="33"/>
  <c r="AJ67" i="42"/>
  <c r="AD67" i="42"/>
  <c r="X67" i="42"/>
  <c r="R67" i="42"/>
  <c r="AJ19" i="42"/>
  <c r="AD19" i="42"/>
  <c r="X19" i="42"/>
  <c r="R19" i="42"/>
  <c r="X52" i="42"/>
  <c r="R52" i="42"/>
  <c r="AJ52" i="42"/>
  <c r="AD52" i="42"/>
  <c r="AJ17" i="42"/>
  <c r="AD17" i="42"/>
  <c r="X17" i="42"/>
  <c r="R17" i="42"/>
  <c r="AJ148" i="42"/>
  <c r="AD148" i="42"/>
  <c r="R148" i="42"/>
  <c r="X148" i="42"/>
  <c r="AJ18" i="42"/>
  <c r="AD18" i="42"/>
  <c r="X18" i="42"/>
  <c r="R18" i="42"/>
  <c r="AD99" i="42"/>
  <c r="X99" i="42"/>
  <c r="R99" i="42"/>
  <c r="AJ99" i="42"/>
  <c r="AJ38" i="42"/>
  <c r="AD38" i="42"/>
  <c r="X38" i="42"/>
  <c r="R38" i="42"/>
  <c r="R131" i="42"/>
  <c r="X131" i="42"/>
  <c r="AJ131" i="42"/>
  <c r="AD131" i="42"/>
  <c r="AD81" i="42"/>
  <c r="X81" i="42"/>
  <c r="R81" i="42"/>
  <c r="AJ81" i="42"/>
  <c r="AJ147" i="42"/>
  <c r="AD147" i="42"/>
  <c r="X147" i="42"/>
  <c r="R147" i="42"/>
  <c r="R32" i="42"/>
  <c r="AJ32" i="42"/>
  <c r="X32" i="42"/>
  <c r="AD32" i="42"/>
  <c r="AJ146" i="42"/>
  <c r="AD146" i="42"/>
  <c r="X146" i="42"/>
  <c r="R146" i="42"/>
  <c r="AJ83" i="42"/>
  <c r="AD83" i="42"/>
  <c r="X83" i="42"/>
  <c r="R83" i="42"/>
  <c r="AJ84" i="42"/>
  <c r="AD84" i="42"/>
  <c r="X84" i="42"/>
  <c r="R84" i="42"/>
  <c r="X33" i="42"/>
  <c r="R33" i="42"/>
  <c r="AJ33" i="42"/>
  <c r="AD33" i="42"/>
  <c r="X70" i="42"/>
  <c r="R70" i="42"/>
  <c r="AD70" i="42"/>
  <c r="AJ70" i="42"/>
  <c r="AJ54" i="42"/>
  <c r="AD54" i="42"/>
  <c r="X54" i="42"/>
  <c r="R54" i="42"/>
  <c r="AJ21" i="42"/>
  <c r="AD21" i="42"/>
  <c r="X21" i="42"/>
  <c r="R21" i="42"/>
  <c r="AJ86" i="42"/>
  <c r="AD86" i="42"/>
  <c r="X86" i="42"/>
  <c r="R86" i="42"/>
  <c r="AD151" i="42"/>
  <c r="X151" i="42"/>
  <c r="R151" i="42"/>
  <c r="AJ151" i="42"/>
  <c r="AD116" i="42"/>
  <c r="AJ116" i="42"/>
  <c r="AD53" i="42"/>
  <c r="X53" i="42"/>
  <c r="R53" i="42"/>
  <c r="AJ53" i="42"/>
  <c r="R51" i="42"/>
  <c r="AJ51" i="42"/>
  <c r="AD51" i="42"/>
  <c r="X51" i="42"/>
  <c r="AJ20" i="42"/>
  <c r="AD20" i="42"/>
  <c r="X20" i="42"/>
  <c r="R20" i="42"/>
  <c r="AJ129" i="42"/>
  <c r="AD129" i="42"/>
  <c r="X129" i="42"/>
  <c r="R129" i="42"/>
  <c r="AJ50" i="42"/>
  <c r="AD50" i="42"/>
  <c r="X50" i="42"/>
  <c r="R50" i="42"/>
  <c r="AJ37" i="42"/>
  <c r="AD37" i="42"/>
  <c r="X37" i="42"/>
  <c r="R37" i="42"/>
  <c r="AJ68" i="42"/>
  <c r="AD68" i="42"/>
  <c r="X68" i="42"/>
  <c r="R68" i="42"/>
  <c r="AJ130" i="42"/>
  <c r="R130" i="42"/>
  <c r="AD130" i="42"/>
  <c r="X130" i="42"/>
  <c r="AJ100" i="42"/>
  <c r="AD100" i="42"/>
  <c r="X100" i="42"/>
  <c r="R100" i="42"/>
  <c r="AJ114" i="42"/>
  <c r="AD114" i="42"/>
  <c r="AD16" i="42"/>
  <c r="X16" i="42"/>
  <c r="R16" i="42"/>
  <c r="AJ16" i="42"/>
  <c r="AJ85" i="42"/>
  <c r="AD85" i="42"/>
  <c r="X85" i="42"/>
  <c r="R85" i="42"/>
  <c r="AJ115" i="42"/>
  <c r="AD115" i="42"/>
  <c r="R97" i="42"/>
  <c r="AJ97" i="42"/>
  <c r="X97" i="42"/>
  <c r="AD97" i="42"/>
  <c r="AJ65" i="42"/>
  <c r="AD65" i="42"/>
  <c r="X65" i="42"/>
  <c r="R65" i="42"/>
  <c r="AD34" i="42"/>
  <c r="X34" i="42"/>
  <c r="R34" i="42"/>
  <c r="AJ34" i="42"/>
  <c r="R149" i="42"/>
  <c r="AJ149" i="42"/>
  <c r="X149" i="42"/>
  <c r="AD149" i="42"/>
  <c r="AJ117" i="42"/>
  <c r="AD117" i="42"/>
  <c r="X98" i="42"/>
  <c r="R98" i="42"/>
  <c r="AJ98" i="42"/>
  <c r="AD98" i="42"/>
  <c r="AJ101" i="42"/>
  <c r="AD101" i="42"/>
  <c r="X101" i="42"/>
  <c r="R101" i="42"/>
  <c r="AJ49" i="42"/>
  <c r="AD49" i="42"/>
  <c r="X49" i="42"/>
  <c r="R49" i="42"/>
  <c r="R69" i="42"/>
  <c r="AJ69" i="42"/>
  <c r="AD69" i="42"/>
  <c r="X69" i="42"/>
  <c r="X19" i="21"/>
  <c r="AD19" i="21"/>
  <c r="AJ19" i="21"/>
  <c r="R19" i="21"/>
  <c r="R65" i="21"/>
  <c r="X65" i="21"/>
  <c r="AD65" i="21"/>
  <c r="AJ65" i="21"/>
  <c r="AD50" i="21"/>
  <c r="X50" i="21"/>
  <c r="R50" i="21"/>
  <c r="AJ50" i="21"/>
  <c r="AJ16" i="21"/>
  <c r="R16" i="21"/>
  <c r="AD16" i="21"/>
  <c r="X16" i="21"/>
  <c r="AJ86" i="21"/>
  <c r="R86" i="21"/>
  <c r="AD86" i="21"/>
  <c r="X86" i="21"/>
  <c r="AJ98" i="21"/>
  <c r="R98" i="21"/>
  <c r="AD98" i="21"/>
  <c r="X98" i="21"/>
  <c r="AD49" i="21"/>
  <c r="X49" i="21"/>
  <c r="R49" i="21"/>
  <c r="AJ49" i="21"/>
  <c r="R53" i="21"/>
  <c r="AJ53" i="21"/>
  <c r="X53" i="21"/>
  <c r="AD53" i="21"/>
  <c r="AJ33" i="21"/>
  <c r="R33" i="21"/>
  <c r="AD33" i="21"/>
  <c r="X33" i="21"/>
  <c r="R85" i="21"/>
  <c r="AD85" i="21"/>
  <c r="X85" i="21"/>
  <c r="AJ85" i="21"/>
  <c r="AJ97" i="21"/>
  <c r="R97" i="21"/>
  <c r="AD97" i="21"/>
  <c r="X97" i="21"/>
  <c r="AJ70" i="21"/>
  <c r="AD70" i="21"/>
  <c r="R70" i="21"/>
  <c r="X70" i="21"/>
  <c r="AD37" i="21"/>
  <c r="AF37" i="21" s="1"/>
  <c r="X37" i="21"/>
  <c r="R37" i="21"/>
  <c r="S37" i="21" s="1"/>
  <c r="AJ37" i="21"/>
  <c r="X101" i="21"/>
  <c r="AJ101" i="21"/>
  <c r="AD101" i="21"/>
  <c r="R101" i="21"/>
  <c r="AD18" i="21"/>
  <c r="X18" i="21"/>
  <c r="AJ18" i="21"/>
  <c r="R18" i="21"/>
  <c r="AJ51" i="21"/>
  <c r="AD51" i="21"/>
  <c r="X51" i="21"/>
  <c r="R51" i="21"/>
  <c r="AD38" i="21"/>
  <c r="X38" i="21"/>
  <c r="R38" i="21"/>
  <c r="AJ38" i="21"/>
  <c r="AD67" i="21"/>
  <c r="R67" i="21"/>
  <c r="X67" i="21"/>
  <c r="AJ67" i="21"/>
  <c r="AD68" i="21"/>
  <c r="R68" i="21"/>
  <c r="X68" i="21"/>
  <c r="AJ68" i="21"/>
  <c r="AJ32" i="21"/>
  <c r="AD32" i="21"/>
  <c r="X32" i="21"/>
  <c r="R32" i="21"/>
  <c r="R34" i="21"/>
  <c r="AJ34" i="21"/>
  <c r="X34" i="21"/>
  <c r="AD34" i="21"/>
  <c r="AJ99" i="21"/>
  <c r="X99" i="21"/>
  <c r="R99" i="21"/>
  <c r="AD99" i="21"/>
  <c r="AJ52" i="21"/>
  <c r="AD52" i="21"/>
  <c r="X52" i="21"/>
  <c r="R52" i="21"/>
  <c r="X83" i="21"/>
  <c r="AJ83" i="21"/>
  <c r="R83" i="21"/>
  <c r="AD83" i="21"/>
  <c r="AD84" i="21"/>
  <c r="R84" i="21"/>
  <c r="X84" i="21"/>
  <c r="AJ84" i="21"/>
  <c r="X100" i="21"/>
  <c r="AJ100" i="21"/>
  <c r="R100" i="21"/>
  <c r="AD100" i="21"/>
  <c r="X20" i="21"/>
  <c r="AD20" i="21"/>
  <c r="AJ20" i="21"/>
  <c r="R20" i="21"/>
  <c r="X54" i="21"/>
  <c r="R54" i="21"/>
  <c r="AJ54" i="21"/>
  <c r="AD54" i="21"/>
  <c r="R21" i="21"/>
  <c r="X21" i="21"/>
  <c r="AD21" i="21"/>
  <c r="AJ21" i="21"/>
  <c r="X81" i="21"/>
  <c r="AJ81" i="21"/>
  <c r="R81" i="21"/>
  <c r="AD81" i="21"/>
  <c r="AD17" i="21"/>
  <c r="AJ17" i="21"/>
  <c r="R17" i="21"/>
  <c r="X17" i="21"/>
  <c r="M52" i="21" l="1"/>
  <c r="M50" i="21"/>
  <c r="M17" i="21"/>
  <c r="M18" i="21"/>
  <c r="M19" i="21"/>
  <c r="M35" i="21"/>
  <c r="M51" i="21"/>
  <c r="M53" i="21"/>
  <c r="M34" i="21"/>
  <c r="N82" i="42"/>
  <c r="M82" i="42"/>
  <c r="O82" i="43"/>
  <c r="P82" i="43" s="1"/>
  <c r="O82" i="37"/>
  <c r="P82" i="37" s="1"/>
  <c r="N82" i="43"/>
  <c r="M82" i="37"/>
  <c r="N133" i="37"/>
  <c r="O133" i="37"/>
  <c r="P133" i="37" s="1"/>
  <c r="N118" i="33"/>
  <c r="N102" i="21"/>
  <c r="O102" i="21"/>
  <c r="P102" i="21" s="1"/>
  <c r="N66" i="33"/>
  <c r="O66" i="33"/>
  <c r="P66" i="33" s="1"/>
  <c r="N102" i="42"/>
  <c r="O102" i="42"/>
  <c r="P102" i="42" s="1"/>
  <c r="O118" i="33"/>
  <c r="P118" i="33" s="1"/>
  <c r="O147" i="36"/>
  <c r="P147" i="36" s="1"/>
  <c r="M133" i="36"/>
  <c r="N133" i="36"/>
  <c r="N147" i="36"/>
  <c r="N134" i="33"/>
  <c r="O132" i="33"/>
  <c r="P132" i="33" s="1"/>
  <c r="O134" i="33"/>
  <c r="P134" i="33" s="1"/>
  <c r="O150" i="42"/>
  <c r="P150" i="42" s="1"/>
  <c r="N150" i="42"/>
  <c r="M134" i="36"/>
  <c r="N145" i="36"/>
  <c r="O145" i="36"/>
  <c r="P145" i="36" s="1"/>
  <c r="N134" i="36"/>
  <c r="O145" i="33"/>
  <c r="P145" i="33" s="1"/>
  <c r="N145" i="33"/>
  <c r="O134" i="37"/>
  <c r="P134" i="37" s="1"/>
  <c r="N134" i="37"/>
  <c r="N116" i="43"/>
  <c r="N132" i="33"/>
  <c r="O145" i="37"/>
  <c r="P145" i="37" s="1"/>
  <c r="N145" i="37"/>
  <c r="O118" i="43"/>
  <c r="P118" i="43" s="1"/>
  <c r="N118" i="43"/>
  <c r="O116" i="43"/>
  <c r="P116" i="43" s="1"/>
  <c r="O132" i="36"/>
  <c r="P132" i="36" s="1"/>
  <c r="M134" i="42"/>
  <c r="N134" i="42"/>
  <c r="N132" i="36"/>
  <c r="AL35" i="33"/>
  <c r="AM35" i="33"/>
  <c r="AN35" i="33" s="1"/>
  <c r="AK36" i="21"/>
  <c r="AM36" i="21"/>
  <c r="AN36" i="21" s="1"/>
  <c r="AL36" i="21"/>
  <c r="AA34" i="37"/>
  <c r="Z34" i="37"/>
  <c r="AL37" i="37"/>
  <c r="AM37" i="37"/>
  <c r="AN37" i="37" s="1"/>
  <c r="AM34" i="36"/>
  <c r="AL34" i="36"/>
  <c r="Z35" i="33"/>
  <c r="AA35" i="33"/>
  <c r="AB35" i="33" s="1"/>
  <c r="Z37" i="43"/>
  <c r="AA37" i="43"/>
  <c r="AB37" i="43" s="1"/>
  <c r="N35" i="37"/>
  <c r="O35" i="37"/>
  <c r="P35" i="37" s="1"/>
  <c r="Z35" i="36"/>
  <c r="AA35" i="36"/>
  <c r="AB35" i="36" s="1"/>
  <c r="AM36" i="42"/>
  <c r="AN36" i="42" s="1"/>
  <c r="AL36" i="42"/>
  <c r="AF36" i="21"/>
  <c r="AG36" i="21"/>
  <c r="AH36" i="21" s="1"/>
  <c r="AK36" i="33"/>
  <c r="AM36" i="33"/>
  <c r="AN36" i="33" s="1"/>
  <c r="AL36" i="33"/>
  <c r="U36" i="42"/>
  <c r="V36" i="42" s="1"/>
  <c r="T36" i="42"/>
  <c r="U34" i="37"/>
  <c r="T34" i="37"/>
  <c r="AA34" i="43"/>
  <c r="Z34" i="43"/>
  <c r="AF35" i="33"/>
  <c r="AG35" i="33"/>
  <c r="AH35" i="33" s="1"/>
  <c r="AL36" i="36"/>
  <c r="AM36" i="36"/>
  <c r="AN36" i="36" s="1"/>
  <c r="AF35" i="36"/>
  <c r="AG35" i="36"/>
  <c r="AH35" i="36" s="1"/>
  <c r="AF36" i="37"/>
  <c r="AG36" i="37"/>
  <c r="AH36" i="37" s="1"/>
  <c r="N35" i="43"/>
  <c r="O35" i="43"/>
  <c r="P35" i="43" s="1"/>
  <c r="S36" i="42"/>
  <c r="O36" i="42"/>
  <c r="P36" i="42" s="1"/>
  <c r="N36" i="42"/>
  <c r="AK35" i="21"/>
  <c r="AL35" i="21"/>
  <c r="AM35" i="21"/>
  <c r="AN35" i="21" s="1"/>
  <c r="U36" i="21"/>
  <c r="V36" i="21" s="1"/>
  <c r="T36" i="21"/>
  <c r="S36" i="33"/>
  <c r="T36" i="33"/>
  <c r="U36" i="33"/>
  <c r="V36" i="33" s="1"/>
  <c r="AM37" i="36"/>
  <c r="AL37" i="36"/>
  <c r="U34" i="43"/>
  <c r="T34" i="43"/>
  <c r="N35" i="42"/>
  <c r="O35" i="42"/>
  <c r="P35" i="42" s="1"/>
  <c r="T36" i="36"/>
  <c r="U36" i="36"/>
  <c r="V36" i="36" s="1"/>
  <c r="U35" i="21"/>
  <c r="T35" i="21"/>
  <c r="AM34" i="37"/>
  <c r="AL34" i="37"/>
  <c r="AG37" i="36"/>
  <c r="AF37" i="36"/>
  <c r="AG34" i="43"/>
  <c r="AF34" i="43"/>
  <c r="N35" i="33"/>
  <c r="O35" i="33"/>
  <c r="P35" i="33" s="1"/>
  <c r="T35" i="42"/>
  <c r="U35" i="42"/>
  <c r="V35" i="42" s="1"/>
  <c r="M36" i="43"/>
  <c r="N36" i="43"/>
  <c r="O36" i="43"/>
  <c r="P36" i="43" s="1"/>
  <c r="AG37" i="43"/>
  <c r="AH37" i="43" s="1"/>
  <c r="AF37" i="43"/>
  <c r="Z35" i="37"/>
  <c r="AA35" i="37"/>
  <c r="AB35" i="37" s="1"/>
  <c r="Z36" i="36"/>
  <c r="AA36" i="36"/>
  <c r="AB36" i="36" s="1"/>
  <c r="T35" i="36"/>
  <c r="U35" i="36"/>
  <c r="V35" i="36" s="1"/>
  <c r="Z36" i="37"/>
  <c r="AA36" i="37"/>
  <c r="AB36" i="37" s="1"/>
  <c r="AF35" i="43"/>
  <c r="AG35" i="43"/>
  <c r="AH35" i="43" s="1"/>
  <c r="AG35" i="21"/>
  <c r="AH35" i="21" s="1"/>
  <c r="AF35" i="21"/>
  <c r="AE37" i="21"/>
  <c r="AE36" i="33"/>
  <c r="AG36" i="33"/>
  <c r="AH36" i="33" s="1"/>
  <c r="AF36" i="33"/>
  <c r="AG34" i="37"/>
  <c r="AF34" i="37"/>
  <c r="AL34" i="43"/>
  <c r="AM34" i="43"/>
  <c r="Y35" i="33"/>
  <c r="T36" i="43"/>
  <c r="U36" i="43"/>
  <c r="V36" i="43" s="1"/>
  <c r="AK36" i="36"/>
  <c r="M35" i="36"/>
  <c r="N35" i="36"/>
  <c r="O35" i="36"/>
  <c r="P35" i="36" s="1"/>
  <c r="M36" i="42"/>
  <c r="O35" i="21"/>
  <c r="N35" i="21"/>
  <c r="S35" i="21"/>
  <c r="S36" i="21"/>
  <c r="Y36" i="33"/>
  <c r="AA36" i="33"/>
  <c r="AB36" i="33" s="1"/>
  <c r="Z36" i="33"/>
  <c r="AA34" i="36"/>
  <c r="Z34" i="36"/>
  <c r="AL35" i="36"/>
  <c r="AM35" i="36"/>
  <c r="AN35" i="36" s="1"/>
  <c r="AE35" i="33"/>
  <c r="AA35" i="42"/>
  <c r="AB35" i="42" s="1"/>
  <c r="Z35" i="42"/>
  <c r="AE36" i="43"/>
  <c r="AG36" i="43"/>
  <c r="AH36" i="43" s="1"/>
  <c r="AF36" i="43"/>
  <c r="AL37" i="43"/>
  <c r="AM37" i="43"/>
  <c r="AN37" i="43" s="1"/>
  <c r="AL35" i="37"/>
  <c r="AM35" i="37"/>
  <c r="AN35" i="37" s="1"/>
  <c r="AF36" i="36"/>
  <c r="AG36" i="36"/>
  <c r="AH36" i="36" s="1"/>
  <c r="S35" i="36"/>
  <c r="O36" i="37"/>
  <c r="P36" i="37" s="1"/>
  <c r="N36" i="37"/>
  <c r="AK36" i="42"/>
  <c r="AE35" i="21"/>
  <c r="AE36" i="21"/>
  <c r="N36" i="21"/>
  <c r="O36" i="21"/>
  <c r="N36" i="33"/>
  <c r="O36" i="33"/>
  <c r="P36" i="33" s="1"/>
  <c r="T37" i="37"/>
  <c r="U37" i="37"/>
  <c r="V37" i="37" s="1"/>
  <c r="T35" i="43"/>
  <c r="U35" i="43"/>
  <c r="V35" i="43" s="1"/>
  <c r="AG34" i="36"/>
  <c r="AF34" i="36"/>
  <c r="AK35" i="33"/>
  <c r="Y37" i="37"/>
  <c r="Z37" i="37"/>
  <c r="AA37" i="37"/>
  <c r="AB37" i="37" s="1"/>
  <c r="AE35" i="42"/>
  <c r="AG35" i="42"/>
  <c r="AH35" i="42" s="1"/>
  <c r="AF35" i="42"/>
  <c r="AK36" i="43"/>
  <c r="AL36" i="43"/>
  <c r="AM36" i="43"/>
  <c r="AN36" i="43" s="1"/>
  <c r="Y37" i="43"/>
  <c r="T35" i="37"/>
  <c r="U35" i="37"/>
  <c r="V35" i="37" s="1"/>
  <c r="Y36" i="36"/>
  <c r="Y35" i="36"/>
  <c r="AL36" i="37"/>
  <c r="AM36" i="37"/>
  <c r="AN36" i="37" s="1"/>
  <c r="AL35" i="43"/>
  <c r="AM35" i="43"/>
  <c r="AN35" i="43" s="1"/>
  <c r="AF36" i="42"/>
  <c r="AG36" i="42"/>
  <c r="AH36" i="42" s="1"/>
  <c r="M36" i="21"/>
  <c r="AF35" i="37"/>
  <c r="AG35" i="37"/>
  <c r="AH35" i="37" s="1"/>
  <c r="U37" i="21"/>
  <c r="T37" i="43"/>
  <c r="U37" i="43"/>
  <c r="V37" i="43" s="1"/>
  <c r="U34" i="36"/>
  <c r="T34" i="36"/>
  <c r="T35" i="33"/>
  <c r="U35" i="33"/>
  <c r="V35" i="33" s="1"/>
  <c r="AE37" i="37"/>
  <c r="AF37" i="37"/>
  <c r="AG37" i="37"/>
  <c r="AH37" i="37" s="1"/>
  <c r="AM35" i="42"/>
  <c r="AN35" i="42" s="1"/>
  <c r="AL35" i="42"/>
  <c r="Y36" i="43"/>
  <c r="AA36" i="43"/>
  <c r="AB36" i="43" s="1"/>
  <c r="Z36" i="43"/>
  <c r="M35" i="37"/>
  <c r="AE35" i="37"/>
  <c r="N36" i="36"/>
  <c r="O36" i="36"/>
  <c r="P36" i="36" s="1"/>
  <c r="AE35" i="36"/>
  <c r="T36" i="37"/>
  <c r="U36" i="37"/>
  <c r="V36" i="37" s="1"/>
  <c r="S35" i="43"/>
  <c r="Z35" i="43"/>
  <c r="AA35" i="43"/>
  <c r="AB35" i="43" s="1"/>
  <c r="AA36" i="42"/>
  <c r="AB36" i="42" s="1"/>
  <c r="Z36" i="42"/>
  <c r="AA35" i="21"/>
  <c r="AB35" i="21" s="1"/>
  <c r="Z35" i="21"/>
  <c r="AA36" i="21"/>
  <c r="AB36" i="21" s="1"/>
  <c r="Z36" i="21"/>
  <c r="O34" i="36"/>
  <c r="P34" i="36" s="1"/>
  <c r="N34" i="36"/>
  <c r="O21" i="21"/>
  <c r="P21" i="21" s="1"/>
  <c r="N21" i="21"/>
  <c r="M115" i="43"/>
  <c r="O115" i="43"/>
  <c r="P115" i="43" s="1"/>
  <c r="N115" i="43"/>
  <c r="O146" i="42"/>
  <c r="P146" i="42" s="1"/>
  <c r="N146" i="42"/>
  <c r="O69" i="33"/>
  <c r="P69" i="33" s="1"/>
  <c r="N69" i="33"/>
  <c r="O99" i="21"/>
  <c r="P99" i="21" s="1"/>
  <c r="N99" i="21"/>
  <c r="M85" i="43"/>
  <c r="N85" i="43"/>
  <c r="O85" i="43"/>
  <c r="P85" i="43" s="1"/>
  <c r="M21" i="37"/>
  <c r="N21" i="37"/>
  <c r="O21" i="37"/>
  <c r="P21" i="37" s="1"/>
  <c r="O85" i="36"/>
  <c r="P85" i="36" s="1"/>
  <c r="N85" i="36"/>
  <c r="O16" i="36"/>
  <c r="P16" i="36" s="1"/>
  <c r="N16" i="36"/>
  <c r="M20" i="37"/>
  <c r="N20" i="37"/>
  <c r="O20" i="37"/>
  <c r="P20" i="37" s="1"/>
  <c r="O69" i="42"/>
  <c r="P69" i="42" s="1"/>
  <c r="N69" i="42"/>
  <c r="M34" i="37"/>
  <c r="N34" i="37"/>
  <c r="O34" i="37"/>
  <c r="P34" i="37" s="1"/>
  <c r="M18" i="37"/>
  <c r="N18" i="37"/>
  <c r="O18" i="37"/>
  <c r="P18" i="37" s="1"/>
  <c r="O149" i="42"/>
  <c r="P149" i="42" s="1"/>
  <c r="N149" i="42"/>
  <c r="M16" i="43"/>
  <c r="O16" i="43"/>
  <c r="P16" i="43" s="1"/>
  <c r="N16" i="43"/>
  <c r="M34" i="43"/>
  <c r="O34" i="43"/>
  <c r="P34" i="43" s="1"/>
  <c r="N34" i="43"/>
  <c r="O70" i="33"/>
  <c r="P70" i="33" s="1"/>
  <c r="N70" i="33"/>
  <c r="O33" i="36"/>
  <c r="P33" i="36" s="1"/>
  <c r="N33" i="36"/>
  <c r="O85" i="42"/>
  <c r="P85" i="42" s="1"/>
  <c r="N85" i="42"/>
  <c r="O20" i="36"/>
  <c r="P20" i="36" s="1"/>
  <c r="N20" i="36"/>
  <c r="O81" i="36"/>
  <c r="P81" i="36" s="1"/>
  <c r="N81" i="36"/>
  <c r="O83" i="36"/>
  <c r="P83" i="36" s="1"/>
  <c r="N83" i="36"/>
  <c r="O149" i="33"/>
  <c r="P149" i="33" s="1"/>
  <c r="N149" i="33"/>
  <c r="O32" i="21"/>
  <c r="P32" i="21" s="1"/>
  <c r="N32" i="21"/>
  <c r="O98" i="36"/>
  <c r="P98" i="36" s="1"/>
  <c r="N98" i="36"/>
  <c r="O54" i="42"/>
  <c r="P54" i="42" s="1"/>
  <c r="N54" i="42"/>
  <c r="O37" i="21"/>
  <c r="N37" i="21"/>
  <c r="O54" i="21"/>
  <c r="P54" i="21" s="1"/>
  <c r="N54" i="21"/>
  <c r="M114" i="37"/>
  <c r="N114" i="37"/>
  <c r="O114" i="37"/>
  <c r="P114" i="37" s="1"/>
  <c r="N81" i="21"/>
  <c r="O81" i="21"/>
  <c r="P81" i="21" s="1"/>
  <c r="O130" i="42"/>
  <c r="P130" i="42" s="1"/>
  <c r="N130" i="42"/>
  <c r="O38" i="42"/>
  <c r="P38" i="42" s="1"/>
  <c r="N38" i="42"/>
  <c r="O68" i="42"/>
  <c r="P68" i="42" s="1"/>
  <c r="N68" i="42"/>
  <c r="O70" i="36"/>
  <c r="P70" i="36" s="1"/>
  <c r="N70" i="36"/>
  <c r="O33" i="33"/>
  <c r="P33" i="33" s="1"/>
  <c r="N33" i="33"/>
  <c r="O148" i="36"/>
  <c r="P148" i="36" s="1"/>
  <c r="N148" i="36"/>
  <c r="O20" i="21"/>
  <c r="N20" i="21"/>
  <c r="N151" i="42"/>
  <c r="O151" i="42"/>
  <c r="P151" i="42" s="1"/>
  <c r="O67" i="21"/>
  <c r="P67" i="21" s="1"/>
  <c r="N67" i="21"/>
  <c r="M66" i="43"/>
  <c r="N66" i="43"/>
  <c r="O66" i="43"/>
  <c r="P66" i="43" s="1"/>
  <c r="O38" i="21"/>
  <c r="P38" i="21" s="1"/>
  <c r="N38" i="21"/>
  <c r="O68" i="33"/>
  <c r="P68" i="33" s="1"/>
  <c r="N68" i="33"/>
  <c r="O146" i="33"/>
  <c r="P146" i="33" s="1"/>
  <c r="N146" i="33"/>
  <c r="O67" i="33"/>
  <c r="P67" i="33" s="1"/>
  <c r="N67" i="33"/>
  <c r="M54" i="37"/>
  <c r="N54" i="37"/>
  <c r="O54" i="37"/>
  <c r="P54" i="37" s="1"/>
  <c r="M117" i="43"/>
  <c r="N117" i="43"/>
  <c r="O117" i="43"/>
  <c r="P117" i="43" s="1"/>
  <c r="M65" i="37"/>
  <c r="N65" i="37"/>
  <c r="O65" i="37"/>
  <c r="P65" i="37" s="1"/>
  <c r="M149" i="42"/>
  <c r="M20" i="43"/>
  <c r="O20" i="43"/>
  <c r="P20" i="43" s="1"/>
  <c r="N20" i="43"/>
  <c r="O100" i="43"/>
  <c r="P100" i="43" s="1"/>
  <c r="N100" i="43"/>
  <c r="M151" i="37"/>
  <c r="N151" i="37"/>
  <c r="O151" i="37"/>
  <c r="P151" i="37" s="1"/>
  <c r="M130" i="43"/>
  <c r="N130" i="43"/>
  <c r="O130" i="43"/>
  <c r="P130" i="43" s="1"/>
  <c r="O51" i="36"/>
  <c r="P51" i="36" s="1"/>
  <c r="N51" i="36"/>
  <c r="O38" i="33"/>
  <c r="P38" i="33" s="1"/>
  <c r="N38" i="33"/>
  <c r="O49" i="36"/>
  <c r="P49" i="36" s="1"/>
  <c r="N49" i="36"/>
  <c r="M83" i="43"/>
  <c r="O83" i="43"/>
  <c r="P83" i="43" s="1"/>
  <c r="N83" i="43"/>
  <c r="O52" i="43"/>
  <c r="P52" i="43" s="1"/>
  <c r="N52" i="43"/>
  <c r="O54" i="36"/>
  <c r="P54" i="36" s="1"/>
  <c r="N54" i="36"/>
  <c r="M70" i="33"/>
  <c r="M85" i="42"/>
  <c r="O98" i="21"/>
  <c r="P98" i="21" s="1"/>
  <c r="N98" i="21"/>
  <c r="M20" i="36"/>
  <c r="O69" i="36"/>
  <c r="P69" i="36" s="1"/>
  <c r="N69" i="36"/>
  <c r="M81" i="36"/>
  <c r="M83" i="36"/>
  <c r="O97" i="21"/>
  <c r="P97" i="21" s="1"/>
  <c r="N97" i="21"/>
  <c r="M149" i="33"/>
  <c r="N146" i="36"/>
  <c r="O146" i="36"/>
  <c r="P146" i="36" s="1"/>
  <c r="O65" i="33"/>
  <c r="P65" i="33" s="1"/>
  <c r="N65" i="33"/>
  <c r="M98" i="36"/>
  <c r="O17" i="33"/>
  <c r="P17" i="33" s="1"/>
  <c r="N17" i="33"/>
  <c r="M147" i="37"/>
  <c r="N147" i="37"/>
  <c r="O147" i="37"/>
  <c r="P147" i="37" s="1"/>
  <c r="M54" i="42"/>
  <c r="M37" i="21"/>
  <c r="O16" i="33"/>
  <c r="P16" i="33" s="1"/>
  <c r="N16" i="33"/>
  <c r="O132" i="43"/>
  <c r="P132" i="43" s="1"/>
  <c r="N132" i="43"/>
  <c r="O68" i="21"/>
  <c r="P68" i="21" s="1"/>
  <c r="N68" i="21"/>
  <c r="O100" i="21"/>
  <c r="P100" i="21" s="1"/>
  <c r="N100" i="21"/>
  <c r="O33" i="21"/>
  <c r="P33" i="21" s="1"/>
  <c r="N33" i="21"/>
  <c r="O84" i="37"/>
  <c r="P84" i="37" s="1"/>
  <c r="N84" i="37"/>
  <c r="O84" i="43"/>
  <c r="P84" i="43" s="1"/>
  <c r="N84" i="43"/>
  <c r="M81" i="43"/>
  <c r="O81" i="43"/>
  <c r="P81" i="43" s="1"/>
  <c r="N81" i="43"/>
  <c r="M130" i="42"/>
  <c r="M38" i="42"/>
  <c r="M68" i="42"/>
  <c r="M33" i="33"/>
  <c r="M101" i="37"/>
  <c r="N101" i="37"/>
  <c r="O101" i="37"/>
  <c r="P101" i="37" s="1"/>
  <c r="M148" i="36"/>
  <c r="M20" i="21"/>
  <c r="M151" i="42"/>
  <c r="M67" i="21"/>
  <c r="O147" i="42"/>
  <c r="P147" i="42" s="1"/>
  <c r="N147" i="42"/>
  <c r="M38" i="21"/>
  <c r="O52" i="21"/>
  <c r="N52" i="21"/>
  <c r="M68" i="33"/>
  <c r="O70" i="21"/>
  <c r="P70" i="21" s="1"/>
  <c r="N70" i="21"/>
  <c r="M146" i="33"/>
  <c r="M67" i="33"/>
  <c r="M17" i="43"/>
  <c r="N17" i="43"/>
  <c r="O17" i="43"/>
  <c r="P17" i="43" s="1"/>
  <c r="N81" i="42"/>
  <c r="O81" i="42"/>
  <c r="P81" i="42" s="1"/>
  <c r="O17" i="42"/>
  <c r="P17" i="42" s="1"/>
  <c r="N17" i="42"/>
  <c r="O147" i="33"/>
  <c r="P147" i="33" s="1"/>
  <c r="N147" i="33"/>
  <c r="M70" i="37"/>
  <c r="O70" i="37"/>
  <c r="P70" i="37" s="1"/>
  <c r="N70" i="37"/>
  <c r="O97" i="36"/>
  <c r="P97" i="36" s="1"/>
  <c r="N97" i="36"/>
  <c r="O150" i="36"/>
  <c r="P150" i="36" s="1"/>
  <c r="N150" i="36"/>
  <c r="O52" i="37"/>
  <c r="P52" i="37" s="1"/>
  <c r="N52" i="37"/>
  <c r="M54" i="43"/>
  <c r="N54" i="43"/>
  <c r="O54" i="43"/>
  <c r="P54" i="43" s="1"/>
  <c r="M70" i="43"/>
  <c r="N70" i="43"/>
  <c r="O70" i="43"/>
  <c r="P70" i="43" s="1"/>
  <c r="O49" i="42"/>
  <c r="P49" i="42" s="1"/>
  <c r="N49" i="42"/>
  <c r="O148" i="33"/>
  <c r="P148" i="33" s="1"/>
  <c r="N148" i="33"/>
  <c r="M67" i="37"/>
  <c r="N67" i="37"/>
  <c r="O67" i="37"/>
  <c r="P67" i="37" s="1"/>
  <c r="O149" i="21"/>
  <c r="P149" i="21" s="1"/>
  <c r="N149" i="21"/>
  <c r="M130" i="37"/>
  <c r="N130" i="37"/>
  <c r="O130" i="37"/>
  <c r="P130" i="37" s="1"/>
  <c r="O129" i="36"/>
  <c r="P129" i="36" s="1"/>
  <c r="N129" i="36"/>
  <c r="M33" i="36"/>
  <c r="O49" i="21"/>
  <c r="P49" i="21" s="1"/>
  <c r="N49" i="21"/>
  <c r="O117" i="33"/>
  <c r="P117" i="33" s="1"/>
  <c r="N117" i="33"/>
  <c r="M131" i="43"/>
  <c r="O131" i="43"/>
  <c r="P131" i="43" s="1"/>
  <c r="N131" i="43"/>
  <c r="O32" i="36"/>
  <c r="P32" i="36" s="1"/>
  <c r="N32" i="36"/>
  <c r="O68" i="36"/>
  <c r="P68" i="36" s="1"/>
  <c r="N68" i="36"/>
  <c r="O115" i="33"/>
  <c r="P115" i="33" s="1"/>
  <c r="N115" i="33"/>
  <c r="O101" i="21"/>
  <c r="P101" i="21" s="1"/>
  <c r="N101" i="21"/>
  <c r="N70" i="42"/>
  <c r="O70" i="42"/>
  <c r="P70" i="42" s="1"/>
  <c r="O84" i="42"/>
  <c r="P84" i="42" s="1"/>
  <c r="N84" i="42"/>
  <c r="O21" i="36"/>
  <c r="P21" i="36" s="1"/>
  <c r="N21" i="36"/>
  <c r="N16" i="42"/>
  <c r="O16" i="42"/>
  <c r="P16" i="42" s="1"/>
  <c r="M134" i="43"/>
  <c r="N134" i="43"/>
  <c r="O134" i="43"/>
  <c r="P134" i="43" s="1"/>
  <c r="N34" i="42"/>
  <c r="O34" i="42"/>
  <c r="P34" i="42" s="1"/>
  <c r="N52" i="42"/>
  <c r="O52" i="42"/>
  <c r="P52" i="42" s="1"/>
  <c r="M54" i="21"/>
  <c r="M70" i="36"/>
  <c r="O37" i="33"/>
  <c r="P37" i="33" s="1"/>
  <c r="N37" i="33"/>
  <c r="M49" i="37"/>
  <c r="N49" i="37"/>
  <c r="O49" i="37"/>
  <c r="P49" i="37" s="1"/>
  <c r="M100" i="21"/>
  <c r="O51" i="33"/>
  <c r="P51" i="33" s="1"/>
  <c r="N51" i="33"/>
  <c r="O53" i="33"/>
  <c r="P53" i="33" s="1"/>
  <c r="N53" i="33"/>
  <c r="O54" i="33"/>
  <c r="P54" i="33" s="1"/>
  <c r="N54" i="33"/>
  <c r="M33" i="21"/>
  <c r="M16" i="37"/>
  <c r="O16" i="37"/>
  <c r="P16" i="37" s="1"/>
  <c r="N16" i="37"/>
  <c r="O131" i="36"/>
  <c r="P131" i="36" s="1"/>
  <c r="N131" i="36"/>
  <c r="O20" i="33"/>
  <c r="P20" i="33" s="1"/>
  <c r="N20" i="33"/>
  <c r="M129" i="37"/>
  <c r="N129" i="37"/>
  <c r="O129" i="37"/>
  <c r="P129" i="37" s="1"/>
  <c r="M84" i="37"/>
  <c r="M69" i="43"/>
  <c r="N69" i="43"/>
  <c r="O69" i="43"/>
  <c r="P69" i="43" s="1"/>
  <c r="M38" i="37"/>
  <c r="O38" i="37"/>
  <c r="P38" i="37" s="1"/>
  <c r="N38" i="37"/>
  <c r="O116" i="37"/>
  <c r="P116" i="37" s="1"/>
  <c r="N116" i="37"/>
  <c r="M99" i="37"/>
  <c r="O99" i="37"/>
  <c r="P99" i="37" s="1"/>
  <c r="N99" i="37"/>
  <c r="O52" i="33"/>
  <c r="P52" i="33" s="1"/>
  <c r="N52" i="33"/>
  <c r="O66" i="42"/>
  <c r="P66" i="42" s="1"/>
  <c r="N66" i="42"/>
  <c r="M18" i="43"/>
  <c r="O18" i="43"/>
  <c r="P18" i="43" s="1"/>
  <c r="N18" i="43"/>
  <c r="M129" i="36"/>
  <c r="M49" i="21"/>
  <c r="M117" i="33"/>
  <c r="N101" i="36"/>
  <c r="O101" i="36"/>
  <c r="P101" i="36" s="1"/>
  <c r="M68" i="36"/>
  <c r="N65" i="36"/>
  <c r="O65" i="36"/>
  <c r="P65" i="36" s="1"/>
  <c r="O148" i="37"/>
  <c r="P148" i="37" s="1"/>
  <c r="N148" i="37"/>
  <c r="M50" i="37"/>
  <c r="O50" i="37"/>
  <c r="P50" i="37" s="1"/>
  <c r="N50" i="37"/>
  <c r="M66" i="37"/>
  <c r="O66" i="37"/>
  <c r="P66" i="37" s="1"/>
  <c r="N66" i="37"/>
  <c r="M70" i="42"/>
  <c r="O50" i="21"/>
  <c r="N50" i="21"/>
  <c r="O51" i="42"/>
  <c r="P51" i="42" s="1"/>
  <c r="N51" i="42"/>
  <c r="O37" i="42"/>
  <c r="P37" i="42" s="1"/>
  <c r="N37" i="42"/>
  <c r="O85" i="33"/>
  <c r="P85" i="33" s="1"/>
  <c r="N85" i="33"/>
  <c r="O98" i="33"/>
  <c r="P98" i="33" s="1"/>
  <c r="N98" i="33"/>
  <c r="O17" i="36"/>
  <c r="P17" i="36" s="1"/>
  <c r="N17" i="36"/>
  <c r="O18" i="33"/>
  <c r="P18" i="33" s="1"/>
  <c r="N18" i="33"/>
  <c r="O97" i="33"/>
  <c r="P97" i="33" s="1"/>
  <c r="N97" i="33"/>
  <c r="M131" i="37"/>
  <c r="O131" i="37"/>
  <c r="P131" i="37" s="1"/>
  <c r="N131" i="37"/>
  <c r="M51" i="42"/>
  <c r="M86" i="37"/>
  <c r="N86" i="37"/>
  <c r="O86" i="37"/>
  <c r="P86" i="37" s="1"/>
  <c r="O50" i="36"/>
  <c r="P50" i="36" s="1"/>
  <c r="N50" i="36"/>
  <c r="M135" i="43"/>
  <c r="N135" i="43"/>
  <c r="O135" i="43"/>
  <c r="P135" i="43" s="1"/>
  <c r="O86" i="21"/>
  <c r="P86" i="21" s="1"/>
  <c r="N86" i="21"/>
  <c r="O32" i="42"/>
  <c r="P32" i="42" s="1"/>
  <c r="N32" i="42"/>
  <c r="O65" i="42"/>
  <c r="P65" i="42" s="1"/>
  <c r="N65" i="42"/>
  <c r="N50" i="33"/>
  <c r="O50" i="33"/>
  <c r="P50" i="33" s="1"/>
  <c r="O84" i="21"/>
  <c r="P84" i="21" s="1"/>
  <c r="N84" i="21"/>
  <c r="O18" i="42"/>
  <c r="P18" i="42" s="1"/>
  <c r="N18" i="42"/>
  <c r="O117" i="21"/>
  <c r="P117" i="21" s="1"/>
  <c r="N117" i="21"/>
  <c r="M150" i="37"/>
  <c r="O150" i="37"/>
  <c r="P150" i="37" s="1"/>
  <c r="N150" i="37"/>
  <c r="O32" i="33"/>
  <c r="P32" i="33" s="1"/>
  <c r="N32" i="33"/>
  <c r="O18" i="36"/>
  <c r="P18" i="36" s="1"/>
  <c r="N18" i="36"/>
  <c r="O19" i="21"/>
  <c r="N19" i="21"/>
  <c r="O65" i="21"/>
  <c r="P65" i="21" s="1"/>
  <c r="N65" i="21"/>
  <c r="O114" i="33"/>
  <c r="P114" i="33" s="1"/>
  <c r="N114" i="33"/>
  <c r="M115" i="37"/>
  <c r="N115" i="37"/>
  <c r="O115" i="37"/>
  <c r="P115" i="37" s="1"/>
  <c r="M49" i="43"/>
  <c r="O49" i="43"/>
  <c r="P49" i="43" s="1"/>
  <c r="N49" i="43"/>
  <c r="O100" i="33"/>
  <c r="P100" i="33" s="1"/>
  <c r="N100" i="33"/>
  <c r="N66" i="36"/>
  <c r="O66" i="36"/>
  <c r="P66" i="36" s="1"/>
  <c r="O149" i="36"/>
  <c r="P149" i="36" s="1"/>
  <c r="N149" i="36"/>
  <c r="O132" i="21"/>
  <c r="P132" i="21" s="1"/>
  <c r="N132" i="21"/>
  <c r="M102" i="43"/>
  <c r="N102" i="43"/>
  <c r="O102" i="43"/>
  <c r="P102" i="43" s="1"/>
  <c r="M37" i="43"/>
  <c r="N37" i="43"/>
  <c r="O37" i="43"/>
  <c r="P37" i="43" s="1"/>
  <c r="M51" i="37"/>
  <c r="O51" i="37"/>
  <c r="P51" i="37" s="1"/>
  <c r="N51" i="37"/>
  <c r="M32" i="37"/>
  <c r="N32" i="37"/>
  <c r="O32" i="37"/>
  <c r="P32" i="37" s="1"/>
  <c r="M116" i="37"/>
  <c r="M33" i="43"/>
  <c r="N33" i="43"/>
  <c r="O33" i="43"/>
  <c r="P33" i="43" s="1"/>
  <c r="M50" i="36"/>
  <c r="M67" i="43"/>
  <c r="O67" i="43"/>
  <c r="P67" i="43" s="1"/>
  <c r="N67" i="43"/>
  <c r="M97" i="43"/>
  <c r="N97" i="43"/>
  <c r="O97" i="43"/>
  <c r="P97" i="43" s="1"/>
  <c r="O151" i="33"/>
  <c r="P151" i="33" s="1"/>
  <c r="N151" i="33"/>
  <c r="N81" i="33"/>
  <c r="O81" i="33"/>
  <c r="P81" i="33" s="1"/>
  <c r="M17" i="37"/>
  <c r="O17" i="37"/>
  <c r="P17" i="37" s="1"/>
  <c r="N17" i="37"/>
  <c r="M32" i="43"/>
  <c r="N32" i="43"/>
  <c r="O32" i="43"/>
  <c r="P32" i="43" s="1"/>
  <c r="M21" i="36"/>
  <c r="O68" i="43"/>
  <c r="P68" i="43" s="1"/>
  <c r="N68" i="43"/>
  <c r="M99" i="43"/>
  <c r="N99" i="43"/>
  <c r="O99" i="43"/>
  <c r="P99" i="43" s="1"/>
  <c r="M16" i="42"/>
  <c r="O18" i="21"/>
  <c r="N18" i="21"/>
  <c r="N19" i="36"/>
  <c r="O19" i="36"/>
  <c r="P19" i="36" s="1"/>
  <c r="M37" i="42"/>
  <c r="M85" i="33"/>
  <c r="M98" i="33"/>
  <c r="O51" i="21"/>
  <c r="N51" i="21"/>
  <c r="M17" i="36"/>
  <c r="M18" i="33"/>
  <c r="O129" i="42"/>
  <c r="P129" i="42" s="1"/>
  <c r="N129" i="42"/>
  <c r="M97" i="33"/>
  <c r="O20" i="42"/>
  <c r="P20" i="42" s="1"/>
  <c r="N20" i="42"/>
  <c r="M117" i="37"/>
  <c r="N117" i="37"/>
  <c r="O117" i="37"/>
  <c r="P117" i="37" s="1"/>
  <c r="O116" i="33"/>
  <c r="P116" i="33" s="1"/>
  <c r="N116" i="33"/>
  <c r="O86" i="36"/>
  <c r="P86" i="36" s="1"/>
  <c r="N86" i="36"/>
  <c r="M33" i="37"/>
  <c r="O33" i="37"/>
  <c r="P33" i="37" s="1"/>
  <c r="N33" i="37"/>
  <c r="M146" i="37"/>
  <c r="O146" i="37"/>
  <c r="P146" i="37" s="1"/>
  <c r="N146" i="37"/>
  <c r="O19" i="42"/>
  <c r="P19" i="42" s="1"/>
  <c r="N19" i="42"/>
  <c r="N102" i="36"/>
  <c r="O102" i="36"/>
  <c r="P102" i="36" s="1"/>
  <c r="O131" i="42"/>
  <c r="P131" i="42" s="1"/>
  <c r="N131" i="42"/>
  <c r="O100" i="37"/>
  <c r="P100" i="37" s="1"/>
  <c r="N100" i="37"/>
  <c r="M83" i="37"/>
  <c r="N83" i="37"/>
  <c r="O83" i="37"/>
  <c r="P83" i="37" s="1"/>
  <c r="M21" i="43"/>
  <c r="N21" i="43"/>
  <c r="O21" i="43"/>
  <c r="P21" i="43" s="1"/>
  <c r="M113" i="43"/>
  <c r="O113" i="43"/>
  <c r="P113" i="43" s="1"/>
  <c r="N113" i="43"/>
  <c r="N98" i="42"/>
  <c r="O98" i="42"/>
  <c r="P98" i="42" s="1"/>
  <c r="O84" i="36"/>
  <c r="P84" i="36" s="1"/>
  <c r="N84" i="36"/>
  <c r="O133" i="33"/>
  <c r="P133" i="33" s="1"/>
  <c r="N133" i="33"/>
  <c r="O99" i="33"/>
  <c r="P99" i="33" s="1"/>
  <c r="N99" i="33"/>
  <c r="M53" i="37"/>
  <c r="N53" i="37"/>
  <c r="O53" i="37"/>
  <c r="P53" i="37" s="1"/>
  <c r="M38" i="43"/>
  <c r="N38" i="43"/>
  <c r="O38" i="43"/>
  <c r="P38" i="43" s="1"/>
  <c r="O19" i="43"/>
  <c r="P19" i="43" s="1"/>
  <c r="N19" i="43"/>
  <c r="M65" i="43"/>
  <c r="N65" i="43"/>
  <c r="O65" i="43"/>
  <c r="P65" i="43" s="1"/>
  <c r="O97" i="42"/>
  <c r="P97" i="42" s="1"/>
  <c r="N97" i="42"/>
  <c r="N101" i="33"/>
  <c r="O101" i="33"/>
  <c r="P101" i="33" s="1"/>
  <c r="O131" i="33"/>
  <c r="P131" i="33" s="1"/>
  <c r="N131" i="33"/>
  <c r="O100" i="36"/>
  <c r="P100" i="36" s="1"/>
  <c r="N100" i="36"/>
  <c r="M34" i="36"/>
  <c r="O38" i="36"/>
  <c r="P38" i="36" s="1"/>
  <c r="N38" i="36"/>
  <c r="O52" i="36"/>
  <c r="P52" i="36" s="1"/>
  <c r="N52" i="36"/>
  <c r="O99" i="36"/>
  <c r="P99" i="36" s="1"/>
  <c r="N99" i="36"/>
  <c r="O50" i="42"/>
  <c r="P50" i="42" s="1"/>
  <c r="N50" i="42"/>
  <c r="O49" i="33"/>
  <c r="P49" i="33" s="1"/>
  <c r="N49" i="33"/>
  <c r="O67" i="36"/>
  <c r="P67" i="36" s="1"/>
  <c r="N67" i="36"/>
  <c r="M81" i="37"/>
  <c r="N81" i="37"/>
  <c r="O81" i="37"/>
  <c r="P81" i="37" s="1"/>
  <c r="O130" i="36"/>
  <c r="P130" i="36" s="1"/>
  <c r="N130" i="36"/>
  <c r="O21" i="42"/>
  <c r="P21" i="42" s="1"/>
  <c r="N21" i="42"/>
  <c r="N33" i="42"/>
  <c r="O33" i="42"/>
  <c r="P33" i="42" s="1"/>
  <c r="O85" i="21"/>
  <c r="P85" i="21" s="1"/>
  <c r="N85" i="21"/>
  <c r="O34" i="21"/>
  <c r="N34" i="21"/>
  <c r="O53" i="36"/>
  <c r="P53" i="36" s="1"/>
  <c r="N53" i="36"/>
  <c r="O101" i="42"/>
  <c r="P101" i="42" s="1"/>
  <c r="N101" i="42"/>
  <c r="O53" i="21"/>
  <c r="N53" i="21"/>
  <c r="O17" i="21"/>
  <c r="N17" i="21"/>
  <c r="N53" i="42"/>
  <c r="O53" i="42"/>
  <c r="P53" i="42" s="1"/>
  <c r="O83" i="42"/>
  <c r="P83" i="42" s="1"/>
  <c r="N83" i="42"/>
  <c r="M21" i="21"/>
  <c r="N99" i="42"/>
  <c r="O99" i="42"/>
  <c r="P99" i="42" s="1"/>
  <c r="O129" i="33"/>
  <c r="P129" i="33" s="1"/>
  <c r="N129" i="33"/>
  <c r="M98" i="37"/>
  <c r="N98" i="37"/>
  <c r="O98" i="37"/>
  <c r="P98" i="37" s="1"/>
  <c r="M149" i="37"/>
  <c r="N149" i="37"/>
  <c r="O149" i="37"/>
  <c r="P149" i="37" s="1"/>
  <c r="M146" i="42"/>
  <c r="O67" i="42"/>
  <c r="P67" i="42" s="1"/>
  <c r="N67" i="42"/>
  <c r="O19" i="33"/>
  <c r="P19" i="33" s="1"/>
  <c r="N19" i="33"/>
  <c r="M102" i="36"/>
  <c r="O83" i="21"/>
  <c r="P83" i="21" s="1"/>
  <c r="N83" i="21"/>
  <c r="O21" i="33"/>
  <c r="P21" i="33" s="1"/>
  <c r="N21" i="33"/>
  <c r="M99" i="21"/>
  <c r="M97" i="37"/>
  <c r="N97" i="37"/>
  <c r="O97" i="37"/>
  <c r="P97" i="37" s="1"/>
  <c r="M85" i="37"/>
  <c r="N85" i="37"/>
  <c r="O85" i="37"/>
  <c r="P85" i="37" s="1"/>
  <c r="M101" i="43"/>
  <c r="N101" i="43"/>
  <c r="O101" i="43"/>
  <c r="P101" i="43" s="1"/>
  <c r="M98" i="43"/>
  <c r="N98" i="43"/>
  <c r="O98" i="43"/>
  <c r="P98" i="43" s="1"/>
  <c r="M133" i="43"/>
  <c r="N133" i="43"/>
  <c r="O133" i="43"/>
  <c r="P133" i="43" s="1"/>
  <c r="O84" i="33"/>
  <c r="P84" i="33" s="1"/>
  <c r="N84" i="33"/>
  <c r="O34" i="33"/>
  <c r="P34" i="33" s="1"/>
  <c r="N34" i="33"/>
  <c r="M50" i="43"/>
  <c r="N50" i="43"/>
  <c r="O50" i="43"/>
  <c r="P50" i="43" s="1"/>
  <c r="M131" i="42"/>
  <c r="O19" i="37"/>
  <c r="P19" i="37" s="1"/>
  <c r="N19" i="37"/>
  <c r="O68" i="37"/>
  <c r="P68" i="37" s="1"/>
  <c r="N68" i="37"/>
  <c r="N37" i="36"/>
  <c r="O37" i="36"/>
  <c r="P37" i="36" s="1"/>
  <c r="M98" i="42"/>
  <c r="M100" i="43"/>
  <c r="M84" i="43"/>
  <c r="M51" i="43"/>
  <c r="N51" i="43"/>
  <c r="O51" i="43"/>
  <c r="P51" i="43" s="1"/>
  <c r="M84" i="36"/>
  <c r="O151" i="36"/>
  <c r="P151" i="36" s="1"/>
  <c r="N151" i="36"/>
  <c r="O130" i="33"/>
  <c r="P130" i="33" s="1"/>
  <c r="N130" i="33"/>
  <c r="M37" i="37"/>
  <c r="N37" i="37"/>
  <c r="O37" i="37"/>
  <c r="P37" i="37" s="1"/>
  <c r="O66" i="21"/>
  <c r="P66" i="21" s="1"/>
  <c r="N66" i="21"/>
  <c r="M102" i="37"/>
  <c r="N102" i="37"/>
  <c r="O102" i="37"/>
  <c r="P102" i="37" s="1"/>
  <c r="M19" i="43"/>
  <c r="M97" i="42"/>
  <c r="M101" i="33"/>
  <c r="M131" i="33"/>
  <c r="M100" i="36"/>
  <c r="O83" i="33"/>
  <c r="P83" i="33" s="1"/>
  <c r="N83" i="33"/>
  <c r="O148" i="42"/>
  <c r="P148" i="42" s="1"/>
  <c r="N148" i="42"/>
  <c r="M69" i="37"/>
  <c r="N69" i="37"/>
  <c r="O69" i="37"/>
  <c r="P69" i="37" s="1"/>
  <c r="M86" i="43"/>
  <c r="N86" i="43"/>
  <c r="O86" i="43"/>
  <c r="P86" i="43" s="1"/>
  <c r="M114" i="43"/>
  <c r="N114" i="43"/>
  <c r="O114" i="43"/>
  <c r="P114" i="43" s="1"/>
  <c r="M38" i="36"/>
  <c r="M99" i="36"/>
  <c r="M50" i="42"/>
  <c r="M49" i="33"/>
  <c r="O16" i="21"/>
  <c r="P16" i="21" s="1"/>
  <c r="N16" i="21"/>
  <c r="M67" i="36"/>
  <c r="M32" i="21"/>
  <c r="O86" i="42"/>
  <c r="P86" i="42" s="1"/>
  <c r="N86" i="42"/>
  <c r="M130" i="36"/>
  <c r="M21" i="42"/>
  <c r="M33" i="42"/>
  <c r="M85" i="21"/>
  <c r="M132" i="43"/>
  <c r="O100" i="42"/>
  <c r="P100" i="42" s="1"/>
  <c r="N100" i="42"/>
  <c r="J265" i="10"/>
  <c r="J267" i="10"/>
  <c r="J231" i="10"/>
  <c r="J34" i="10"/>
  <c r="J177" i="10"/>
  <c r="J33" i="10"/>
  <c r="J31" i="10"/>
  <c r="J262" i="10"/>
  <c r="P50" i="21" l="1"/>
  <c r="P37" i="21"/>
  <c r="P52" i="21"/>
  <c r="P17" i="21"/>
  <c r="P34" i="21"/>
  <c r="P18" i="21"/>
  <c r="P20" i="21"/>
  <c r="P51" i="21"/>
  <c r="P53" i="21"/>
  <c r="P36" i="21"/>
  <c r="P35" i="21"/>
  <c r="P19" i="21"/>
  <c r="V35" i="21"/>
  <c r="I239" i="10"/>
  <c r="H239" i="10" s="1"/>
  <c r="F106" i="10"/>
  <c r="E106" i="10" s="1"/>
  <c r="H282" i="10"/>
  <c r="I245" i="10"/>
  <c r="H245" i="10" s="1"/>
  <c r="J149" i="10"/>
  <c r="J5" i="10"/>
  <c r="J13" i="10"/>
  <c r="J64" i="10"/>
  <c r="J201" i="10"/>
  <c r="I106" i="10"/>
  <c r="H106" i="10" s="1"/>
  <c r="I100" i="10"/>
  <c r="H100" i="10" s="1"/>
  <c r="J66" i="10"/>
  <c r="I211" i="10"/>
  <c r="H211" i="10" s="1"/>
  <c r="F47" i="10"/>
  <c r="E47" i="10" s="1"/>
  <c r="E45" i="10"/>
  <c r="J16" i="10"/>
  <c r="J199" i="10"/>
  <c r="F211" i="10"/>
  <c r="J204" i="10"/>
  <c r="F100" i="10"/>
  <c r="E100" i="10" s="1"/>
  <c r="F208" i="10"/>
  <c r="E208" i="10" s="1"/>
  <c r="J120" i="10"/>
  <c r="I236" i="10"/>
  <c r="I97" i="10"/>
  <c r="F97" i="10"/>
  <c r="I208" i="10"/>
  <c r="H208" i="10" s="1"/>
  <c r="F44" i="10"/>
  <c r="J44" i="10" s="1"/>
  <c r="F38" i="10"/>
  <c r="J125" i="10"/>
  <c r="J229" i="10"/>
  <c r="J175" i="10"/>
  <c r="J92" i="10"/>
  <c r="J151" i="10"/>
  <c r="J232" i="10"/>
  <c r="J121" i="10"/>
  <c r="J163" i="10"/>
  <c r="J202" i="10"/>
  <c r="J9" i="10"/>
  <c r="J122" i="10"/>
  <c r="J164" i="10"/>
  <c r="J203" i="10"/>
  <c r="J90" i="10"/>
  <c r="H106" i="43"/>
  <c r="H122" i="42"/>
  <c r="H122" i="33"/>
  <c r="H122" i="37"/>
  <c r="H122" i="36"/>
  <c r="H121" i="21"/>
  <c r="J99" i="10"/>
  <c r="I44" i="43"/>
  <c r="I44" i="42"/>
  <c r="I44" i="36"/>
  <c r="I44" i="37"/>
  <c r="I44" i="33"/>
  <c r="I44" i="21"/>
  <c r="H111" i="37"/>
  <c r="H111" i="42"/>
  <c r="H111" i="36"/>
  <c r="H111" i="33"/>
  <c r="H111" i="21"/>
  <c r="J126" i="10"/>
  <c r="J93" i="10"/>
  <c r="H58" i="42"/>
  <c r="H58" i="43"/>
  <c r="H58" i="36"/>
  <c r="H58" i="37"/>
  <c r="H58" i="21"/>
  <c r="H58" i="33"/>
  <c r="J107" i="10"/>
  <c r="I47" i="43"/>
  <c r="I47" i="42"/>
  <c r="I47" i="36"/>
  <c r="I47" i="37"/>
  <c r="I47" i="21"/>
  <c r="I47" i="33"/>
  <c r="J61" i="10"/>
  <c r="J172" i="10"/>
  <c r="J88" i="10"/>
  <c r="H129" i="43"/>
  <c r="H145" i="42"/>
  <c r="H145" i="37"/>
  <c r="H145" i="36"/>
  <c r="H145" i="33"/>
  <c r="H144" i="21"/>
  <c r="J235" i="10"/>
  <c r="I25" i="43"/>
  <c r="I25" i="42"/>
  <c r="I25" i="36"/>
  <c r="I25" i="37"/>
  <c r="I25" i="33"/>
  <c r="I25" i="21"/>
  <c r="H12" i="42"/>
  <c r="H59" i="10"/>
  <c r="H12" i="43"/>
  <c r="H12" i="37"/>
  <c r="H12" i="21"/>
  <c r="H12" i="33"/>
  <c r="H12" i="36"/>
  <c r="J217" i="10"/>
  <c r="J266" i="10"/>
  <c r="J243" i="10"/>
  <c r="E260" i="10"/>
  <c r="I28" i="42"/>
  <c r="I28" i="43"/>
  <c r="I28" i="21"/>
  <c r="I28" i="37"/>
  <c r="I28" i="36"/>
  <c r="I28" i="33"/>
  <c r="J104" i="10"/>
  <c r="I45" i="43"/>
  <c r="I45" i="42"/>
  <c r="I45" i="37"/>
  <c r="I45" i="36"/>
  <c r="I45" i="21"/>
  <c r="I45" i="33"/>
  <c r="H64" i="42"/>
  <c r="H64" i="43"/>
  <c r="H64" i="21"/>
  <c r="H64" i="37"/>
  <c r="H64" i="33"/>
  <c r="H64" i="36"/>
  <c r="J215" i="10"/>
  <c r="I64" i="42"/>
  <c r="I64" i="43"/>
  <c r="I64" i="37"/>
  <c r="I64" i="33"/>
  <c r="I64" i="36"/>
  <c r="I64" i="21"/>
  <c r="H8" i="42"/>
  <c r="H8" i="43"/>
  <c r="H8" i="37"/>
  <c r="H8" i="21"/>
  <c r="H8" i="33"/>
  <c r="H8" i="36"/>
  <c r="H41" i="43"/>
  <c r="H41" i="42"/>
  <c r="H41" i="37"/>
  <c r="H41" i="36"/>
  <c r="H41" i="33"/>
  <c r="H41" i="21"/>
  <c r="J269" i="10"/>
  <c r="H107" i="42"/>
  <c r="H107" i="33"/>
  <c r="H107" i="36"/>
  <c r="H107" i="21"/>
  <c r="H107" i="37"/>
  <c r="H26" i="43"/>
  <c r="H26" i="42"/>
  <c r="H26" i="36"/>
  <c r="H26" i="37"/>
  <c r="H26" i="21"/>
  <c r="H26" i="33"/>
  <c r="J89" i="10"/>
  <c r="E24" i="10"/>
  <c r="H13" i="42"/>
  <c r="H13" i="43"/>
  <c r="H13" i="37"/>
  <c r="H13" i="36"/>
  <c r="H13" i="33"/>
  <c r="H13" i="21"/>
  <c r="J218" i="10"/>
  <c r="J280" i="10"/>
  <c r="J180" i="10"/>
  <c r="I73" i="43"/>
  <c r="I73" i="42"/>
  <c r="I73" i="37"/>
  <c r="I73" i="36"/>
  <c r="I73" i="21"/>
  <c r="I73" i="33"/>
  <c r="E23" i="10"/>
  <c r="H27" i="43"/>
  <c r="H27" i="42"/>
  <c r="H27" i="36"/>
  <c r="H27" i="37"/>
  <c r="H27" i="33"/>
  <c r="H27" i="21"/>
  <c r="J77" i="10"/>
  <c r="J133" i="10"/>
  <c r="I94" i="42"/>
  <c r="I94" i="37"/>
  <c r="I94" i="43"/>
  <c r="I94" i="36"/>
  <c r="I94" i="33"/>
  <c r="I94" i="21"/>
  <c r="H143" i="37"/>
  <c r="H127" i="43"/>
  <c r="H143" i="42"/>
  <c r="H143" i="33"/>
  <c r="H143" i="36"/>
  <c r="H142" i="21"/>
  <c r="J131" i="10"/>
  <c r="I92" i="43"/>
  <c r="I92" i="42"/>
  <c r="I92" i="37"/>
  <c r="I92" i="36"/>
  <c r="I92" i="21"/>
  <c r="I92" i="33"/>
  <c r="J214" i="10"/>
  <c r="I63" i="42"/>
  <c r="I63" i="43"/>
  <c r="I63" i="21"/>
  <c r="I63" i="33"/>
  <c r="I63" i="37"/>
  <c r="I63" i="36"/>
  <c r="H93" i="42"/>
  <c r="H93" i="43"/>
  <c r="H93" i="21"/>
  <c r="H93" i="36"/>
  <c r="H93" i="37"/>
  <c r="H93" i="33"/>
  <c r="H96" i="43"/>
  <c r="H96" i="42"/>
  <c r="H96" i="37"/>
  <c r="H96" i="36"/>
  <c r="H96" i="33"/>
  <c r="H96" i="21"/>
  <c r="J237" i="10"/>
  <c r="I26" i="42"/>
  <c r="I26" i="43"/>
  <c r="I26" i="37"/>
  <c r="I26" i="33"/>
  <c r="I26" i="21"/>
  <c r="I26" i="36"/>
  <c r="E21" i="10"/>
  <c r="J123" i="10"/>
  <c r="J43" i="10"/>
  <c r="I11" i="43"/>
  <c r="I11" i="42"/>
  <c r="I11" i="36"/>
  <c r="I11" i="37"/>
  <c r="I11" i="21"/>
  <c r="I11" i="33"/>
  <c r="H14" i="43"/>
  <c r="H14" i="42"/>
  <c r="H14" i="36"/>
  <c r="H14" i="33"/>
  <c r="H14" i="21"/>
  <c r="H14" i="37"/>
  <c r="H47" i="42"/>
  <c r="H47" i="43"/>
  <c r="H47" i="36"/>
  <c r="H47" i="21"/>
  <c r="H47" i="37"/>
  <c r="H47" i="33"/>
  <c r="J178" i="10"/>
  <c r="H74" i="43"/>
  <c r="H74" i="42"/>
  <c r="H74" i="21"/>
  <c r="H74" i="36"/>
  <c r="H74" i="37"/>
  <c r="H74" i="33"/>
  <c r="H42" i="42"/>
  <c r="H42" i="43"/>
  <c r="H42" i="37"/>
  <c r="H42" i="21"/>
  <c r="H42" i="33"/>
  <c r="H42" i="36"/>
  <c r="J160" i="10"/>
  <c r="I111" i="43"/>
  <c r="I127" i="42"/>
  <c r="I126" i="21"/>
  <c r="I127" i="36"/>
  <c r="I127" i="37"/>
  <c r="I127" i="33"/>
  <c r="J146" i="10"/>
  <c r="J29" i="10"/>
  <c r="J11" i="10"/>
  <c r="J70" i="10"/>
  <c r="I106" i="42"/>
  <c r="I106" i="37"/>
  <c r="I106" i="21"/>
  <c r="I106" i="36"/>
  <c r="I106" i="33"/>
  <c r="H196" i="10"/>
  <c r="H77" i="42"/>
  <c r="H77" i="43"/>
  <c r="H77" i="36"/>
  <c r="H77" i="37"/>
  <c r="H77" i="33"/>
  <c r="H77" i="21"/>
  <c r="J51" i="10"/>
  <c r="J91" i="10"/>
  <c r="J6" i="10"/>
  <c r="J184" i="10"/>
  <c r="I77" i="43"/>
  <c r="I77" i="42"/>
  <c r="I77" i="36"/>
  <c r="I77" i="37"/>
  <c r="I77" i="21"/>
  <c r="I77" i="33"/>
  <c r="H112" i="43"/>
  <c r="H128" i="42"/>
  <c r="H128" i="36"/>
  <c r="H128" i="37"/>
  <c r="H128" i="33"/>
  <c r="H127" i="21"/>
  <c r="J49" i="10"/>
  <c r="I15" i="43"/>
  <c r="I15" i="42"/>
  <c r="I15" i="36"/>
  <c r="I15" i="37"/>
  <c r="I15" i="33"/>
  <c r="I15" i="21"/>
  <c r="H121" i="43"/>
  <c r="H137" i="42"/>
  <c r="H136" i="21"/>
  <c r="H137" i="37"/>
  <c r="H137" i="36"/>
  <c r="H137" i="33"/>
  <c r="J153" i="10"/>
  <c r="H59" i="43"/>
  <c r="H59" i="42"/>
  <c r="H59" i="33"/>
  <c r="H59" i="36"/>
  <c r="H59" i="37"/>
  <c r="H59" i="21"/>
  <c r="H10" i="42"/>
  <c r="H10" i="43"/>
  <c r="H10" i="37"/>
  <c r="H10" i="36"/>
  <c r="H10" i="21"/>
  <c r="H10" i="33"/>
  <c r="J30" i="10"/>
  <c r="J209" i="10"/>
  <c r="I59" i="43"/>
  <c r="I59" i="21"/>
  <c r="I59" i="37"/>
  <c r="I59" i="36"/>
  <c r="I59" i="42"/>
  <c r="I59" i="33"/>
  <c r="J182" i="10"/>
  <c r="I75" i="42"/>
  <c r="I75" i="43"/>
  <c r="I75" i="37"/>
  <c r="I75" i="36"/>
  <c r="I75" i="21"/>
  <c r="I75" i="33"/>
  <c r="J52" i="10"/>
  <c r="J154" i="10"/>
  <c r="I121" i="42"/>
  <c r="I105" i="43"/>
  <c r="I121" i="36"/>
  <c r="I121" i="37"/>
  <c r="I120" i="21"/>
  <c r="I121" i="33"/>
  <c r="H60" i="43"/>
  <c r="H60" i="42"/>
  <c r="H60" i="36"/>
  <c r="H60" i="37"/>
  <c r="H60" i="33"/>
  <c r="H60" i="21"/>
  <c r="H11" i="43"/>
  <c r="H11" i="42"/>
  <c r="H11" i="36"/>
  <c r="H11" i="37"/>
  <c r="H11" i="21"/>
  <c r="H11" i="33"/>
  <c r="J162" i="10"/>
  <c r="J74" i="10"/>
  <c r="I110" i="42"/>
  <c r="I110" i="37"/>
  <c r="I110" i="36"/>
  <c r="I110" i="33"/>
  <c r="I110" i="21"/>
  <c r="J2" i="10"/>
  <c r="J181" i="10"/>
  <c r="I74" i="42"/>
  <c r="I74" i="43"/>
  <c r="I74" i="33"/>
  <c r="I74" i="37"/>
  <c r="I74" i="36"/>
  <c r="I74" i="21"/>
  <c r="J132" i="10"/>
  <c r="I93" i="42"/>
  <c r="I93" i="43"/>
  <c r="I93" i="37"/>
  <c r="I93" i="36"/>
  <c r="I93" i="33"/>
  <c r="I93" i="21"/>
  <c r="H22" i="10"/>
  <c r="H75" i="43"/>
  <c r="H75" i="42"/>
  <c r="H75" i="37"/>
  <c r="H75" i="36"/>
  <c r="H75" i="33"/>
  <c r="H75" i="21"/>
  <c r="J156" i="10"/>
  <c r="I107" i="43"/>
  <c r="I123" i="42"/>
  <c r="I122" i="21"/>
  <c r="I123" i="36"/>
  <c r="I123" i="37"/>
  <c r="I123" i="33"/>
  <c r="J36" i="10"/>
  <c r="I8" i="42"/>
  <c r="I8" i="43"/>
  <c r="I8" i="37"/>
  <c r="I8" i="36"/>
  <c r="I8" i="33"/>
  <c r="I8" i="21"/>
  <c r="J157" i="10"/>
  <c r="I108" i="43"/>
  <c r="I124" i="42"/>
  <c r="I124" i="37"/>
  <c r="I124" i="36"/>
  <c r="I124" i="33"/>
  <c r="I123" i="21"/>
  <c r="H127" i="42"/>
  <c r="H111" i="43"/>
  <c r="H126" i="21"/>
  <c r="H127" i="37"/>
  <c r="H127" i="33"/>
  <c r="H127" i="36"/>
  <c r="J7" i="10"/>
  <c r="J67" i="10"/>
  <c r="H9" i="42"/>
  <c r="H9" i="43"/>
  <c r="H9" i="21"/>
  <c r="H9" i="37"/>
  <c r="H9" i="36"/>
  <c r="H9" i="33"/>
  <c r="J134" i="10"/>
  <c r="I95" i="42"/>
  <c r="I95" i="43"/>
  <c r="I95" i="37"/>
  <c r="I95" i="36"/>
  <c r="I95" i="33"/>
  <c r="I95" i="21"/>
  <c r="J48" i="10"/>
  <c r="I14" i="42"/>
  <c r="I14" i="43"/>
  <c r="I14" i="37"/>
  <c r="I14" i="21"/>
  <c r="I14" i="36"/>
  <c r="I14" i="33"/>
  <c r="J198" i="10"/>
  <c r="J227" i="10"/>
  <c r="J155" i="10"/>
  <c r="I122" i="42"/>
  <c r="I106" i="43"/>
  <c r="I122" i="37"/>
  <c r="I122" i="36"/>
  <c r="I121" i="21"/>
  <c r="I122" i="33"/>
  <c r="H61" i="42"/>
  <c r="H61" i="43"/>
  <c r="H61" i="37"/>
  <c r="H61" i="36"/>
  <c r="H61" i="21"/>
  <c r="H61" i="33"/>
  <c r="H170" i="10"/>
  <c r="H26" i="10"/>
  <c r="H85" i="10"/>
  <c r="H144" i="10"/>
  <c r="H287" i="10"/>
  <c r="J252" i="10"/>
  <c r="J124" i="10"/>
  <c r="J150" i="10"/>
  <c r="J73" i="10"/>
  <c r="I109" i="36"/>
  <c r="I109" i="42"/>
  <c r="I109" i="33"/>
  <c r="I109" i="37"/>
  <c r="I109" i="21"/>
  <c r="H80" i="42"/>
  <c r="H80" i="36"/>
  <c r="H80" i="37"/>
  <c r="H80" i="43"/>
  <c r="H80" i="21"/>
  <c r="H80" i="33"/>
  <c r="J187" i="10"/>
  <c r="I80" i="43"/>
  <c r="I80" i="42"/>
  <c r="I80" i="37"/>
  <c r="I80" i="36"/>
  <c r="I80" i="21"/>
  <c r="I80" i="33"/>
  <c r="J250" i="10"/>
  <c r="I31" i="43"/>
  <c r="I31" i="42"/>
  <c r="I31" i="21"/>
  <c r="I31" i="33"/>
  <c r="I31" i="36"/>
  <c r="I31" i="37"/>
  <c r="H105" i="42"/>
  <c r="H105" i="36"/>
  <c r="H105" i="37"/>
  <c r="H105" i="21"/>
  <c r="H105" i="33"/>
  <c r="J35" i="10"/>
  <c r="H123" i="42"/>
  <c r="H107" i="43"/>
  <c r="H123" i="37"/>
  <c r="H123" i="36"/>
  <c r="H123" i="33"/>
  <c r="H122" i="21"/>
  <c r="J228" i="10"/>
  <c r="J98" i="10"/>
  <c r="I43" i="42"/>
  <c r="I43" i="37"/>
  <c r="I43" i="43"/>
  <c r="I43" i="36"/>
  <c r="I43" i="21"/>
  <c r="I43" i="33"/>
  <c r="J71" i="10"/>
  <c r="I107" i="42"/>
  <c r="I107" i="37"/>
  <c r="I107" i="36"/>
  <c r="G87" i="10"/>
  <c r="K87" i="10" s="1"/>
  <c r="I107" i="33"/>
  <c r="I107" i="21"/>
  <c r="H78" i="43"/>
  <c r="H78" i="42"/>
  <c r="H78" i="37"/>
  <c r="H78" i="36"/>
  <c r="H78" i="21"/>
  <c r="H78" i="33"/>
  <c r="J253" i="10"/>
  <c r="J69" i="10"/>
  <c r="I105" i="42"/>
  <c r="I105" i="37"/>
  <c r="I105" i="36"/>
  <c r="I105" i="33"/>
  <c r="I105" i="21"/>
  <c r="H124" i="42"/>
  <c r="H108" i="43"/>
  <c r="H124" i="36"/>
  <c r="H124" i="37"/>
  <c r="H123" i="21"/>
  <c r="H124" i="33"/>
  <c r="H76" i="42"/>
  <c r="H76" i="43"/>
  <c r="H76" i="37"/>
  <c r="H76" i="36"/>
  <c r="H76" i="21"/>
  <c r="H76" i="33"/>
  <c r="J50" i="10"/>
  <c r="J275" i="10"/>
  <c r="I142" i="42"/>
  <c r="I126" i="43"/>
  <c r="I142" i="33"/>
  <c r="I142" i="37"/>
  <c r="I141" i="21"/>
  <c r="I142" i="36"/>
  <c r="J273" i="10"/>
  <c r="I140" i="42"/>
  <c r="I124" i="43"/>
  <c r="I139" i="21"/>
  <c r="I140" i="36"/>
  <c r="I140" i="37"/>
  <c r="I140" i="33"/>
  <c r="H63" i="42"/>
  <c r="H63" i="21"/>
  <c r="H63" i="36"/>
  <c r="H63" i="43"/>
  <c r="H63" i="37"/>
  <c r="H63" i="33"/>
  <c r="J271" i="10"/>
  <c r="I138" i="42"/>
  <c r="I122" i="43"/>
  <c r="I138" i="37"/>
  <c r="I138" i="36"/>
  <c r="I138" i="33"/>
  <c r="I137" i="21"/>
  <c r="H48" i="42"/>
  <c r="H48" i="43"/>
  <c r="H48" i="37"/>
  <c r="H48" i="36"/>
  <c r="H48" i="21"/>
  <c r="H48" i="33"/>
  <c r="J216" i="10"/>
  <c r="J238" i="10"/>
  <c r="I27" i="42"/>
  <c r="I27" i="37"/>
  <c r="I27" i="36"/>
  <c r="I27" i="43"/>
  <c r="I27" i="21"/>
  <c r="I27" i="33"/>
  <c r="H95" i="43"/>
  <c r="H95" i="42"/>
  <c r="H95" i="36"/>
  <c r="H95" i="37"/>
  <c r="H95" i="21"/>
  <c r="H95" i="33"/>
  <c r="J268" i="10"/>
  <c r="H138" i="42"/>
  <c r="H122" i="43"/>
  <c r="H138" i="37"/>
  <c r="H138" i="36"/>
  <c r="H138" i="33"/>
  <c r="H137" i="21"/>
  <c r="J186" i="10"/>
  <c r="I79" i="43"/>
  <c r="I79" i="42"/>
  <c r="I79" i="36"/>
  <c r="I79" i="37"/>
  <c r="I79" i="21"/>
  <c r="I79" i="33"/>
  <c r="J249" i="10"/>
  <c r="I30" i="43"/>
  <c r="I30" i="42"/>
  <c r="I30" i="37"/>
  <c r="I30" i="36"/>
  <c r="I30" i="33"/>
  <c r="I30" i="21"/>
  <c r="J87" i="10"/>
  <c r="J3" i="10"/>
  <c r="J173" i="10"/>
  <c r="J207" i="10"/>
  <c r="I58" i="42"/>
  <c r="I58" i="43"/>
  <c r="I58" i="21"/>
  <c r="I58" i="36"/>
  <c r="I58" i="33"/>
  <c r="I58" i="37"/>
  <c r="H125" i="42"/>
  <c r="H109" i="43"/>
  <c r="H125" i="37"/>
  <c r="H125" i="36"/>
  <c r="H124" i="21"/>
  <c r="H125" i="33"/>
  <c r="H141" i="42"/>
  <c r="H125" i="43"/>
  <c r="H141" i="37"/>
  <c r="H140" i="21"/>
  <c r="H141" i="36"/>
  <c r="H141" i="33"/>
  <c r="J137" i="10"/>
  <c r="J32" i="10"/>
  <c r="J274" i="10"/>
  <c r="E287" i="10"/>
  <c r="I125" i="43"/>
  <c r="I141" i="42"/>
  <c r="I141" i="37"/>
  <c r="I141" i="36"/>
  <c r="I141" i="33"/>
  <c r="I140" i="21"/>
  <c r="H15" i="43"/>
  <c r="H15" i="42"/>
  <c r="H15" i="33"/>
  <c r="H15" i="37"/>
  <c r="H15" i="21"/>
  <c r="H15" i="36"/>
  <c r="J76" i="10"/>
  <c r="I112" i="42"/>
  <c r="I112" i="37"/>
  <c r="I112" i="36"/>
  <c r="I112" i="21"/>
  <c r="I112" i="33"/>
  <c r="J135" i="10"/>
  <c r="I96" i="43"/>
  <c r="I96" i="42"/>
  <c r="I96" i="36"/>
  <c r="I96" i="37"/>
  <c r="I96" i="21"/>
  <c r="I96" i="33"/>
  <c r="H21" i="10"/>
  <c r="J205" i="10"/>
  <c r="H24" i="10"/>
  <c r="J174" i="10"/>
  <c r="E25" i="10"/>
  <c r="J272" i="10"/>
  <c r="I139" i="42"/>
  <c r="I123" i="43"/>
  <c r="I139" i="33"/>
  <c r="I139" i="37"/>
  <c r="I139" i="36"/>
  <c r="I138" i="21"/>
  <c r="H62" i="43"/>
  <c r="H62" i="42"/>
  <c r="H62" i="37"/>
  <c r="H62" i="36"/>
  <c r="H62" i="21"/>
  <c r="H62" i="33"/>
  <c r="J138" i="10"/>
  <c r="J206" i="10"/>
  <c r="I57" i="43"/>
  <c r="I57" i="42"/>
  <c r="I57" i="37"/>
  <c r="I57" i="36"/>
  <c r="I57" i="21"/>
  <c r="I57" i="33"/>
  <c r="H124" i="43"/>
  <c r="H140" i="42"/>
  <c r="H139" i="21"/>
  <c r="H140" i="36"/>
  <c r="H140" i="37"/>
  <c r="H140" i="33"/>
  <c r="J278" i="10"/>
  <c r="J251" i="10"/>
  <c r="J15" i="10"/>
  <c r="J28" i="10"/>
  <c r="I145" i="37"/>
  <c r="I145" i="42"/>
  <c r="I129" i="43"/>
  <c r="I145" i="33"/>
  <c r="J282" i="10"/>
  <c r="I145" i="36"/>
  <c r="I144" i="21"/>
  <c r="J161" i="10"/>
  <c r="I112" i="43"/>
  <c r="I128" i="42"/>
  <c r="I128" i="37"/>
  <c r="I128" i="36"/>
  <c r="I128" i="33"/>
  <c r="I127" i="21"/>
  <c r="H91" i="43"/>
  <c r="H91" i="36"/>
  <c r="H91" i="42"/>
  <c r="H91" i="37"/>
  <c r="H91" i="21"/>
  <c r="H91" i="33"/>
  <c r="H94" i="42"/>
  <c r="H94" i="43"/>
  <c r="H94" i="36"/>
  <c r="H94" i="21"/>
  <c r="H94" i="37"/>
  <c r="H94" i="33"/>
  <c r="J185" i="10"/>
  <c r="I78" i="43"/>
  <c r="I78" i="21"/>
  <c r="I78" i="42"/>
  <c r="I78" i="36"/>
  <c r="I78" i="37"/>
  <c r="I78" i="33"/>
  <c r="J8" i="10"/>
  <c r="H106" i="42"/>
  <c r="H106" i="37"/>
  <c r="H106" i="33"/>
  <c r="H106" i="21"/>
  <c r="H106" i="36"/>
  <c r="J75" i="10"/>
  <c r="I111" i="42"/>
  <c r="I111" i="37"/>
  <c r="I111" i="36"/>
  <c r="I111" i="33"/>
  <c r="I111" i="21"/>
  <c r="J226" i="10"/>
  <c r="J147" i="10"/>
  <c r="J62" i="10"/>
  <c r="J96" i="10"/>
  <c r="I42" i="42"/>
  <c r="I42" i="43"/>
  <c r="I42" i="37"/>
  <c r="I42" i="36"/>
  <c r="I42" i="33"/>
  <c r="I42" i="21"/>
  <c r="H45" i="42"/>
  <c r="H45" i="21"/>
  <c r="H45" i="43"/>
  <c r="H45" i="37"/>
  <c r="H45" i="36"/>
  <c r="H45" i="33"/>
  <c r="H109" i="42"/>
  <c r="H109" i="21"/>
  <c r="H109" i="36"/>
  <c r="H109" i="37"/>
  <c r="H109" i="33"/>
  <c r="J279" i="10"/>
  <c r="J230" i="10"/>
  <c r="J14" i="10"/>
  <c r="H128" i="43"/>
  <c r="H144" i="42"/>
  <c r="H143" i="21"/>
  <c r="H144" i="37"/>
  <c r="H144" i="36"/>
  <c r="H144" i="33"/>
  <c r="J277" i="10"/>
  <c r="I144" i="42"/>
  <c r="I128" i="43"/>
  <c r="I144" i="33"/>
  <c r="I144" i="36"/>
  <c r="I144" i="37"/>
  <c r="I143" i="21"/>
  <c r="H89" i="43"/>
  <c r="H89" i="42"/>
  <c r="H89" i="21"/>
  <c r="H89" i="37"/>
  <c r="H89" i="36"/>
  <c r="H89" i="33"/>
  <c r="H23" i="10"/>
  <c r="J233" i="10"/>
  <c r="J94" i="10"/>
  <c r="H43" i="42"/>
  <c r="H43" i="37"/>
  <c r="H43" i="36"/>
  <c r="H43" i="43"/>
  <c r="H43" i="33"/>
  <c r="H43" i="21"/>
  <c r="J148" i="10"/>
  <c r="J63" i="10"/>
  <c r="J130" i="10"/>
  <c r="I91" i="42"/>
  <c r="I91" i="43"/>
  <c r="I91" i="36"/>
  <c r="I91" i="37"/>
  <c r="I91" i="33"/>
  <c r="I91" i="21"/>
  <c r="H110" i="43"/>
  <c r="H126" i="42"/>
  <c r="H126" i="37"/>
  <c r="H126" i="36"/>
  <c r="H126" i="33"/>
  <c r="H125" i="21"/>
  <c r="H126" i="43"/>
  <c r="H142" i="42"/>
  <c r="H142" i="36"/>
  <c r="H142" i="37"/>
  <c r="H141" i="21"/>
  <c r="H142" i="33"/>
  <c r="J190" i="10"/>
  <c r="E22" i="10"/>
  <c r="J95" i="10"/>
  <c r="I41" i="42"/>
  <c r="I41" i="43"/>
  <c r="I41" i="37"/>
  <c r="I41" i="36"/>
  <c r="I41" i="21"/>
  <c r="I41" i="33"/>
  <c r="H44" i="42"/>
  <c r="H44" i="43"/>
  <c r="H44" i="36"/>
  <c r="H44" i="37"/>
  <c r="H44" i="33"/>
  <c r="H44" i="21"/>
  <c r="J188" i="10"/>
  <c r="J136" i="10"/>
  <c r="J213" i="10"/>
  <c r="I62" i="43"/>
  <c r="I62" i="42"/>
  <c r="I62" i="36"/>
  <c r="I62" i="37"/>
  <c r="I62" i="21"/>
  <c r="I62" i="33"/>
  <c r="J210" i="10"/>
  <c r="I60" i="42"/>
  <c r="I60" i="43"/>
  <c r="I60" i="37"/>
  <c r="I60" i="21"/>
  <c r="I60" i="36"/>
  <c r="I60" i="33"/>
  <c r="H30" i="42"/>
  <c r="H30" i="43"/>
  <c r="H30" i="37"/>
  <c r="H30" i="36"/>
  <c r="H30" i="33"/>
  <c r="H30" i="21"/>
  <c r="H25" i="42"/>
  <c r="H25" i="43"/>
  <c r="H25" i="36"/>
  <c r="H25" i="37"/>
  <c r="H25" i="21"/>
  <c r="H25" i="33"/>
  <c r="H57" i="43"/>
  <c r="H57" i="42"/>
  <c r="H57" i="37"/>
  <c r="H57" i="36"/>
  <c r="H57" i="33"/>
  <c r="H57" i="21"/>
  <c r="H92" i="43"/>
  <c r="H92" i="42"/>
  <c r="H92" i="33"/>
  <c r="H92" i="37"/>
  <c r="H92" i="36"/>
  <c r="H92" i="21"/>
  <c r="J183" i="10"/>
  <c r="I76" i="43"/>
  <c r="I76" i="42"/>
  <c r="I76" i="37"/>
  <c r="I76" i="36"/>
  <c r="I76" i="33"/>
  <c r="I76" i="21"/>
  <c r="J72" i="10"/>
  <c r="I108" i="42"/>
  <c r="I108" i="37"/>
  <c r="I108" i="36"/>
  <c r="I108" i="21"/>
  <c r="I108" i="33"/>
  <c r="H79" i="42"/>
  <c r="H79" i="43"/>
  <c r="H79" i="36"/>
  <c r="H79" i="37"/>
  <c r="H79" i="33"/>
  <c r="H79" i="21"/>
  <c r="J152" i="10"/>
  <c r="H90" i="42"/>
  <c r="H90" i="43"/>
  <c r="H90" i="21"/>
  <c r="H90" i="36"/>
  <c r="H90" i="37"/>
  <c r="H90" i="33"/>
  <c r="J276" i="10"/>
  <c r="I127" i="43"/>
  <c r="I143" i="42"/>
  <c r="I143" i="36"/>
  <c r="I143" i="37"/>
  <c r="I142" i="21"/>
  <c r="I143" i="33"/>
  <c r="E60" i="10"/>
  <c r="J263" i="10"/>
  <c r="J129" i="10"/>
  <c r="I90" i="43"/>
  <c r="I90" i="42"/>
  <c r="I90" i="37"/>
  <c r="I90" i="36"/>
  <c r="I90" i="33"/>
  <c r="I90" i="21"/>
  <c r="J19" i="10"/>
  <c r="J189" i="10"/>
  <c r="J176" i="10"/>
  <c r="E170" i="10"/>
  <c r="E26" i="10"/>
  <c r="E144" i="10"/>
  <c r="E85" i="10"/>
  <c r="E196" i="10"/>
  <c r="J212" i="10"/>
  <c r="I61" i="42"/>
  <c r="I61" i="43"/>
  <c r="I61" i="33"/>
  <c r="I61" i="37"/>
  <c r="I61" i="36"/>
  <c r="I61" i="21"/>
  <c r="H112" i="42"/>
  <c r="H112" i="37"/>
  <c r="H112" i="36"/>
  <c r="H112" i="21"/>
  <c r="H112" i="33"/>
  <c r="J17" i="10"/>
  <c r="H24" i="42"/>
  <c r="H24" i="21"/>
  <c r="H24" i="43"/>
  <c r="H24" i="37"/>
  <c r="H24" i="36"/>
  <c r="H24" i="33"/>
  <c r="H105" i="43"/>
  <c r="H121" i="42"/>
  <c r="H121" i="36"/>
  <c r="H121" i="37"/>
  <c r="H121" i="33"/>
  <c r="H120" i="21"/>
  <c r="J179" i="10"/>
  <c r="J127" i="10"/>
  <c r="H25" i="10"/>
  <c r="J4" i="10"/>
  <c r="J264" i="10"/>
  <c r="J42" i="10"/>
  <c r="I10" i="42"/>
  <c r="I10" i="36"/>
  <c r="I10" i="43"/>
  <c r="I10" i="21"/>
  <c r="I10" i="33"/>
  <c r="I10" i="37"/>
  <c r="H46" i="42"/>
  <c r="H46" i="43"/>
  <c r="H46" i="36"/>
  <c r="H46" i="33"/>
  <c r="H46" i="37"/>
  <c r="H46" i="21"/>
  <c r="H110" i="42"/>
  <c r="H110" i="36"/>
  <c r="H110" i="21"/>
  <c r="H110" i="37"/>
  <c r="H110" i="33"/>
  <c r="J79" i="10"/>
  <c r="J270" i="10"/>
  <c r="I137" i="42"/>
  <c r="I121" i="43"/>
  <c r="I137" i="36"/>
  <c r="I136" i="21"/>
  <c r="I137" i="37"/>
  <c r="I137" i="33"/>
  <c r="J128" i="10"/>
  <c r="I89" i="42"/>
  <c r="I89" i="43"/>
  <c r="I89" i="21"/>
  <c r="I89" i="37"/>
  <c r="I89" i="36"/>
  <c r="I89" i="33"/>
  <c r="J18" i="10"/>
  <c r="J46" i="10"/>
  <c r="I13" i="42"/>
  <c r="I13" i="43"/>
  <c r="I13" i="37"/>
  <c r="I13" i="33"/>
  <c r="I13" i="21"/>
  <c r="I13" i="36"/>
  <c r="J159" i="10"/>
  <c r="I126" i="42"/>
  <c r="I110" i="43"/>
  <c r="I126" i="37"/>
  <c r="I126" i="33"/>
  <c r="I126" i="36"/>
  <c r="I125" i="21"/>
  <c r="J37" i="10"/>
  <c r="I9" i="42"/>
  <c r="I9" i="43"/>
  <c r="I9" i="36"/>
  <c r="I9" i="37"/>
  <c r="I9" i="33"/>
  <c r="I9" i="21"/>
  <c r="H28" i="42"/>
  <c r="H28" i="43"/>
  <c r="H28" i="21"/>
  <c r="H28" i="36"/>
  <c r="H28" i="33"/>
  <c r="H28" i="37"/>
  <c r="J110" i="10"/>
  <c r="J78" i="10"/>
  <c r="J65" i="10"/>
  <c r="J45" i="10"/>
  <c r="I12" i="43"/>
  <c r="I12" i="21"/>
  <c r="I12" i="42"/>
  <c r="I12" i="36"/>
  <c r="I12" i="37"/>
  <c r="I12" i="33"/>
  <c r="J158" i="10"/>
  <c r="I109" i="43"/>
  <c r="I125" i="42"/>
  <c r="I125" i="37"/>
  <c r="I124" i="21"/>
  <c r="I125" i="36"/>
  <c r="I125" i="33"/>
  <c r="H31" i="43"/>
  <c r="H31" i="42"/>
  <c r="H31" i="37"/>
  <c r="H31" i="36"/>
  <c r="H31" i="21"/>
  <c r="H31" i="33"/>
  <c r="J108" i="10"/>
  <c r="I48" i="42"/>
  <c r="I48" i="43"/>
  <c r="I48" i="37"/>
  <c r="I48" i="36"/>
  <c r="I48" i="33"/>
  <c r="I48" i="21"/>
  <c r="H73" i="42"/>
  <c r="H73" i="37"/>
  <c r="H73" i="43"/>
  <c r="H73" i="36"/>
  <c r="H73" i="21"/>
  <c r="H73" i="33"/>
  <c r="J68" i="10"/>
  <c r="H139" i="42"/>
  <c r="H123" i="43"/>
  <c r="H139" i="37"/>
  <c r="H139" i="36"/>
  <c r="H139" i="33"/>
  <c r="H138" i="21"/>
  <c r="J200" i="10"/>
  <c r="J12" i="10"/>
  <c r="H29" i="42"/>
  <c r="H29" i="43"/>
  <c r="H29" i="37"/>
  <c r="H29" i="36"/>
  <c r="H29" i="33"/>
  <c r="H29" i="21"/>
  <c r="J20" i="10"/>
  <c r="J111" i="10"/>
  <c r="J10" i="10"/>
  <c r="J234" i="10"/>
  <c r="I24" i="42"/>
  <c r="I24" i="43"/>
  <c r="I24" i="21"/>
  <c r="I24" i="37"/>
  <c r="I24" i="36"/>
  <c r="I24" i="33"/>
  <c r="H108" i="42"/>
  <c r="H108" i="21"/>
  <c r="H108" i="36"/>
  <c r="H108" i="37"/>
  <c r="H108" i="33"/>
  <c r="J109" i="10"/>
  <c r="J244" i="10"/>
  <c r="I29" i="42"/>
  <c r="I29" i="43"/>
  <c r="I29" i="37"/>
  <c r="I29" i="36"/>
  <c r="I29" i="21"/>
  <c r="I29" i="33"/>
  <c r="J105" i="10"/>
  <c r="I46" i="42"/>
  <c r="I46" i="43"/>
  <c r="I46" i="36"/>
  <c r="I46" i="37"/>
  <c r="I46" i="33"/>
  <c r="I46" i="21"/>
  <c r="H36" i="37" l="1"/>
  <c r="H36" i="21"/>
  <c r="H36" i="33"/>
  <c r="H36" i="43"/>
  <c r="H36" i="36"/>
  <c r="H36" i="42"/>
  <c r="G8" i="33"/>
  <c r="K8" i="33" s="1"/>
  <c r="J239" i="10"/>
  <c r="E145" i="36"/>
  <c r="E145" i="37"/>
  <c r="E145" i="33"/>
  <c r="S145" i="33" s="1"/>
  <c r="E145" i="42"/>
  <c r="E144" i="21"/>
  <c r="E129" i="43"/>
  <c r="H169" i="10"/>
  <c r="E132" i="37" s="1"/>
  <c r="H116" i="10"/>
  <c r="E224" i="10"/>
  <c r="E166" i="10"/>
  <c r="F113" i="43" s="1"/>
  <c r="H285" i="10"/>
  <c r="H165" i="10"/>
  <c r="H81" i="10"/>
  <c r="E113" i="33" s="1"/>
  <c r="E139" i="10"/>
  <c r="E167" i="10"/>
  <c r="F114" i="43" s="1"/>
  <c r="E59" i="10"/>
  <c r="F20" i="37" s="1"/>
  <c r="E81" i="10"/>
  <c r="E223" i="10"/>
  <c r="H286" i="10"/>
  <c r="E149" i="37" s="1"/>
  <c r="E54" i="10"/>
  <c r="H114" i="10"/>
  <c r="E143" i="10"/>
  <c r="H115" i="10"/>
  <c r="H112" i="10"/>
  <c r="H224" i="10"/>
  <c r="H283" i="10"/>
  <c r="E112" i="10"/>
  <c r="E193" i="10"/>
  <c r="E83" i="10"/>
  <c r="F115" i="36" s="1"/>
  <c r="H140" i="10"/>
  <c r="E82" i="10"/>
  <c r="H84" i="10"/>
  <c r="E118" i="10"/>
  <c r="E220" i="10"/>
  <c r="F65" i="37" s="1"/>
  <c r="H221" i="10"/>
  <c r="E116" i="10"/>
  <c r="H142" i="10"/>
  <c r="E99" i="33" s="1"/>
  <c r="H255" i="10"/>
  <c r="E219" i="10"/>
  <c r="F70" i="37" s="1"/>
  <c r="E114" i="10"/>
  <c r="E142" i="10"/>
  <c r="E115" i="10"/>
  <c r="H256" i="10"/>
  <c r="E195" i="10"/>
  <c r="H281" i="10"/>
  <c r="E191" i="10"/>
  <c r="F86" i="36" s="1"/>
  <c r="E141" i="10"/>
  <c r="F98" i="33" s="1"/>
  <c r="E168" i="10"/>
  <c r="H141" i="10"/>
  <c r="H259" i="10"/>
  <c r="E192" i="10"/>
  <c r="H167" i="10"/>
  <c r="E84" i="10"/>
  <c r="H222" i="10"/>
  <c r="H139" i="10"/>
  <c r="H260" i="10"/>
  <c r="H220" i="10"/>
  <c r="E80" i="10"/>
  <c r="F118" i="36" s="1"/>
  <c r="E194" i="10"/>
  <c r="H83" i="10"/>
  <c r="H80" i="10"/>
  <c r="H143" i="10"/>
  <c r="E140" i="10"/>
  <c r="H284" i="10"/>
  <c r="E169" i="10"/>
  <c r="F116" i="43" s="1"/>
  <c r="H257" i="10"/>
  <c r="H219" i="10"/>
  <c r="H166" i="10"/>
  <c r="E113" i="43" s="1"/>
  <c r="E165" i="10"/>
  <c r="E221" i="10"/>
  <c r="E222" i="10"/>
  <c r="F67" i="43" s="1"/>
  <c r="H223" i="10"/>
  <c r="E113" i="10"/>
  <c r="F49" i="43" s="1"/>
  <c r="H82" i="10"/>
  <c r="E58" i="10"/>
  <c r="H168" i="10"/>
  <c r="E115" i="43" s="1"/>
  <c r="H254" i="10"/>
  <c r="H118" i="10"/>
  <c r="H113" i="10"/>
  <c r="E49" i="42" s="1"/>
  <c r="E53" i="10"/>
  <c r="E55" i="10"/>
  <c r="E56" i="10"/>
  <c r="J47" i="10"/>
  <c r="AE58" i="36"/>
  <c r="J106" i="10"/>
  <c r="J245" i="10"/>
  <c r="AK8" i="42"/>
  <c r="J236" i="10"/>
  <c r="H236" i="10"/>
  <c r="J211" i="10"/>
  <c r="E211" i="10"/>
  <c r="AE143" i="21"/>
  <c r="F12" i="33"/>
  <c r="F12" i="37"/>
  <c r="F12" i="42"/>
  <c r="F12" i="21"/>
  <c r="F12" i="43"/>
  <c r="AK12" i="43" s="1"/>
  <c r="F12" i="36"/>
  <c r="F22" i="21"/>
  <c r="F22" i="36"/>
  <c r="F22" i="42"/>
  <c r="F22" i="33"/>
  <c r="F22" i="37"/>
  <c r="F22" i="43"/>
  <c r="J97" i="10"/>
  <c r="AK93" i="42"/>
  <c r="AE96" i="37"/>
  <c r="AE137" i="33"/>
  <c r="AE14" i="43"/>
  <c r="AE128" i="42"/>
  <c r="AK137" i="42"/>
  <c r="AE105" i="37"/>
  <c r="S8" i="37"/>
  <c r="AE26" i="42"/>
  <c r="AK106" i="43"/>
  <c r="AE58" i="43"/>
  <c r="AK122" i="36"/>
  <c r="J208" i="10"/>
  <c r="J38" i="10"/>
  <c r="J100" i="10"/>
  <c r="AK13" i="33"/>
  <c r="Y42" i="36"/>
  <c r="AK93" i="36"/>
  <c r="AK80" i="36"/>
  <c r="AE27" i="43"/>
  <c r="AE96" i="43"/>
  <c r="Y62" i="42"/>
  <c r="AK93" i="43"/>
  <c r="AK58" i="42"/>
  <c r="AK93" i="33"/>
  <c r="AE144" i="33"/>
  <c r="AK48" i="37"/>
  <c r="AE9" i="43"/>
  <c r="AE27" i="21"/>
  <c r="S62" i="36"/>
  <c r="AK107" i="21"/>
  <c r="AE107" i="42"/>
  <c r="Y91" i="21"/>
  <c r="S107" i="36"/>
  <c r="AE10" i="43"/>
  <c r="Y111" i="42"/>
  <c r="AE110" i="43"/>
  <c r="AK60" i="42"/>
  <c r="Y74" i="33"/>
  <c r="AK89" i="21"/>
  <c r="S42" i="21"/>
  <c r="Y46" i="36"/>
  <c r="AK109" i="43"/>
  <c r="S76" i="37"/>
  <c r="AE78" i="37"/>
  <c r="AK29" i="42"/>
  <c r="AE24" i="21"/>
  <c r="S122" i="37"/>
  <c r="AE29" i="37"/>
  <c r="AE125" i="33"/>
  <c r="AK78" i="36"/>
  <c r="AE26" i="21"/>
  <c r="AK126" i="33"/>
  <c r="AE122" i="33"/>
  <c r="AE46" i="43"/>
  <c r="AE26" i="43"/>
  <c r="Y9" i="21"/>
  <c r="AK125" i="21"/>
  <c r="AE48" i="43"/>
  <c r="AE24" i="37"/>
  <c r="Y77" i="33"/>
  <c r="S91" i="36"/>
  <c r="AK60" i="21"/>
  <c r="AK59" i="42"/>
  <c r="AE124" i="21"/>
  <c r="AE60" i="43"/>
  <c r="AE89" i="43"/>
  <c r="AE29" i="43"/>
  <c r="AK24" i="33"/>
  <c r="S89" i="37"/>
  <c r="AK107" i="33"/>
  <c r="S26" i="33"/>
  <c r="AE13" i="43"/>
  <c r="AE60" i="36"/>
  <c r="AE48" i="36"/>
  <c r="AE143" i="42"/>
  <c r="AK76" i="36"/>
  <c r="S41" i="36"/>
  <c r="AK42" i="33"/>
  <c r="S24" i="42"/>
  <c r="AE9" i="36"/>
  <c r="AK10" i="21"/>
  <c r="AE128" i="33"/>
  <c r="AK46" i="33"/>
  <c r="AK125" i="37"/>
  <c r="Y61" i="33"/>
  <c r="AE77" i="37"/>
  <c r="J27" i="10"/>
  <c r="AK41" i="43"/>
  <c r="AK26" i="36"/>
  <c r="AE64" i="43"/>
  <c r="Y96" i="42"/>
  <c r="AK9" i="33"/>
  <c r="Y91" i="43"/>
  <c r="S78" i="21"/>
  <c r="AK96" i="21"/>
  <c r="AK27" i="42"/>
  <c r="Y143" i="36"/>
  <c r="Y8" i="43"/>
  <c r="S121" i="43"/>
  <c r="AE10" i="33"/>
  <c r="S144" i="37"/>
  <c r="Y42" i="42"/>
  <c r="Y78" i="33"/>
  <c r="AK127" i="21"/>
  <c r="Y112" i="43"/>
  <c r="AK27" i="33"/>
  <c r="AE26" i="37"/>
  <c r="S64" i="36"/>
  <c r="AE62" i="33"/>
  <c r="AE58" i="21"/>
  <c r="AK8" i="21"/>
  <c r="S74" i="21"/>
  <c r="Y74" i="42"/>
  <c r="AE76" i="33"/>
  <c r="AK41" i="21"/>
  <c r="AK91" i="42"/>
  <c r="Y57" i="43"/>
  <c r="J25" i="10"/>
  <c r="AK30" i="33"/>
  <c r="Y138" i="36"/>
  <c r="AK140" i="42"/>
  <c r="AK142" i="37"/>
  <c r="Y105" i="36"/>
  <c r="AK43" i="33"/>
  <c r="AE31" i="21"/>
  <c r="AK123" i="42"/>
  <c r="AK121" i="33"/>
  <c r="Y121" i="42"/>
  <c r="Y15" i="43"/>
  <c r="AE111" i="43"/>
  <c r="S11" i="37"/>
  <c r="AE63" i="42"/>
  <c r="AK94" i="36"/>
  <c r="J24" i="10"/>
  <c r="AE28" i="43"/>
  <c r="S25" i="36"/>
  <c r="S44" i="33"/>
  <c r="Y13" i="21"/>
  <c r="AE80" i="21"/>
  <c r="AK121" i="21"/>
  <c r="AK59" i="36"/>
  <c r="AE59" i="43"/>
  <c r="S126" i="36"/>
  <c r="AK108" i="33"/>
  <c r="AK141" i="42"/>
  <c r="AK79" i="42"/>
  <c r="AK142" i="33"/>
  <c r="AK43" i="42"/>
  <c r="AE31" i="42"/>
  <c r="AK80" i="42"/>
  <c r="Y123" i="37"/>
  <c r="S110" i="21"/>
  <c r="AK120" i="21"/>
  <c r="S75" i="33"/>
  <c r="AE15" i="21"/>
  <c r="AE106" i="21"/>
  <c r="S127" i="37"/>
  <c r="AE139" i="37"/>
  <c r="AK109" i="37"/>
  <c r="S95" i="43"/>
  <c r="AK126" i="21"/>
  <c r="AK77" i="36"/>
  <c r="J287" i="10"/>
  <c r="I150" i="36"/>
  <c r="I150" i="37"/>
  <c r="I150" i="42"/>
  <c r="I134" i="43"/>
  <c r="I149" i="21"/>
  <c r="I150" i="33"/>
  <c r="I49" i="42"/>
  <c r="I49" i="37"/>
  <c r="I49" i="43"/>
  <c r="I49" i="36"/>
  <c r="I49" i="33"/>
  <c r="I49" i="21"/>
  <c r="J113" i="10"/>
  <c r="H131" i="42"/>
  <c r="H115" i="43"/>
  <c r="H131" i="36"/>
  <c r="H131" i="37"/>
  <c r="H131" i="33"/>
  <c r="H130" i="21"/>
  <c r="G27" i="43"/>
  <c r="K27" i="43" s="1"/>
  <c r="G27" i="42"/>
  <c r="K27" i="42" s="1"/>
  <c r="G27" i="37"/>
  <c r="K27" i="37" s="1"/>
  <c r="G27" i="21"/>
  <c r="K27" i="21" s="1"/>
  <c r="G27" i="36"/>
  <c r="K27" i="36" s="1"/>
  <c r="G27" i="33"/>
  <c r="K27" i="33" s="1"/>
  <c r="E20" i="37"/>
  <c r="E20" i="43"/>
  <c r="E20" i="42"/>
  <c r="E20" i="21"/>
  <c r="E20" i="33"/>
  <c r="E20" i="36"/>
  <c r="I100" i="43"/>
  <c r="I100" i="42"/>
  <c r="I100" i="37"/>
  <c r="I100" i="36"/>
  <c r="J143" i="10"/>
  <c r="I100" i="33"/>
  <c r="I100" i="21"/>
  <c r="G105" i="42"/>
  <c r="G105" i="36"/>
  <c r="G105" i="21"/>
  <c r="K105" i="21" s="1"/>
  <c r="G105" i="37"/>
  <c r="K105" i="37" s="1"/>
  <c r="G105" i="33"/>
  <c r="K105" i="33" s="1"/>
  <c r="H100" i="43"/>
  <c r="H100" i="42"/>
  <c r="H100" i="37"/>
  <c r="H100" i="36"/>
  <c r="H100" i="33"/>
  <c r="H100" i="21"/>
  <c r="I22" i="37"/>
  <c r="I22" i="33"/>
  <c r="I22" i="42"/>
  <c r="I22" i="21"/>
  <c r="I22" i="36"/>
  <c r="I22" i="43"/>
  <c r="J60" i="10"/>
  <c r="G42" i="42"/>
  <c r="K42" i="42" s="1"/>
  <c r="G42" i="43"/>
  <c r="K42" i="43" s="1"/>
  <c r="G42" i="21"/>
  <c r="K42" i="21" s="1"/>
  <c r="G42" i="33"/>
  <c r="K42" i="33" s="1"/>
  <c r="G42" i="36"/>
  <c r="K42" i="36" s="1"/>
  <c r="G42" i="37"/>
  <c r="K42" i="37" s="1"/>
  <c r="H118" i="43"/>
  <c r="H134" i="42"/>
  <c r="H134" i="37"/>
  <c r="H134" i="36"/>
  <c r="H133" i="21"/>
  <c r="H134" i="33"/>
  <c r="H86" i="36"/>
  <c r="H86" i="37"/>
  <c r="H86" i="33"/>
  <c r="H86" i="42"/>
  <c r="H86" i="43"/>
  <c r="H86" i="21"/>
  <c r="G13" i="42"/>
  <c r="K13" i="42" s="1"/>
  <c r="G13" i="43"/>
  <c r="K13" i="43" s="1"/>
  <c r="G13" i="36"/>
  <c r="K13" i="36" s="1"/>
  <c r="G13" i="21"/>
  <c r="K13" i="21" s="1"/>
  <c r="G13" i="33"/>
  <c r="K13" i="33" s="1"/>
  <c r="G13" i="37"/>
  <c r="K13" i="37" s="1"/>
  <c r="H132" i="42"/>
  <c r="H116" i="43"/>
  <c r="H132" i="36"/>
  <c r="H132" i="37"/>
  <c r="H131" i="21"/>
  <c r="H132" i="33"/>
  <c r="G9" i="42"/>
  <c r="K9" i="42" s="1"/>
  <c r="G9" i="43"/>
  <c r="K9" i="43" s="1"/>
  <c r="G9" i="37"/>
  <c r="K9" i="37" s="1"/>
  <c r="G9" i="33"/>
  <c r="K9" i="33" s="1"/>
  <c r="G9" i="36"/>
  <c r="K9" i="36" s="1"/>
  <c r="G9" i="21"/>
  <c r="K9" i="21" s="1"/>
  <c r="G89" i="42"/>
  <c r="K89" i="42" s="1"/>
  <c r="G89" i="43"/>
  <c r="K89" i="43" s="1"/>
  <c r="G89" i="37"/>
  <c r="K89" i="37" s="1"/>
  <c r="G89" i="21"/>
  <c r="K89" i="21" s="1"/>
  <c r="G89" i="36"/>
  <c r="K89" i="36" s="1"/>
  <c r="G89" i="33"/>
  <c r="K89" i="33" s="1"/>
  <c r="H19" i="43"/>
  <c r="H19" i="42"/>
  <c r="H19" i="37"/>
  <c r="H19" i="36"/>
  <c r="H19" i="33"/>
  <c r="H19" i="21"/>
  <c r="AK61" i="21"/>
  <c r="AE61" i="21"/>
  <c r="S61" i="21"/>
  <c r="J59" i="10"/>
  <c r="I20" i="43"/>
  <c r="I20" i="33"/>
  <c r="I20" i="42"/>
  <c r="I20" i="36"/>
  <c r="I20" i="37"/>
  <c r="I20" i="21"/>
  <c r="J119" i="10"/>
  <c r="I55" i="37"/>
  <c r="I55" i="21"/>
  <c r="I55" i="42"/>
  <c r="I55" i="33"/>
  <c r="I55" i="36"/>
  <c r="I55" i="43"/>
  <c r="I97" i="43"/>
  <c r="I97" i="42"/>
  <c r="I97" i="37"/>
  <c r="I97" i="36"/>
  <c r="I97" i="21"/>
  <c r="I97" i="33"/>
  <c r="J140" i="10"/>
  <c r="I68" i="43"/>
  <c r="I68" i="42"/>
  <c r="I68" i="37"/>
  <c r="I68" i="36"/>
  <c r="I68" i="21"/>
  <c r="I68" i="33"/>
  <c r="J223" i="10"/>
  <c r="H34" i="43"/>
  <c r="H34" i="42"/>
  <c r="H34" i="37"/>
  <c r="H34" i="36"/>
  <c r="H34" i="33"/>
  <c r="H34" i="21"/>
  <c r="H151" i="42"/>
  <c r="H135" i="43"/>
  <c r="H151" i="36"/>
  <c r="H151" i="37"/>
  <c r="H150" i="21"/>
  <c r="H151" i="33"/>
  <c r="G31" i="42"/>
  <c r="K31" i="42" s="1"/>
  <c r="G31" i="21"/>
  <c r="K31" i="21" s="1"/>
  <c r="G31" i="43"/>
  <c r="K31" i="43" s="1"/>
  <c r="G31" i="37"/>
  <c r="K31" i="37" s="1"/>
  <c r="G31" i="33"/>
  <c r="K31" i="33" s="1"/>
  <c r="G31" i="36"/>
  <c r="K31" i="36" s="1"/>
  <c r="H117" i="42"/>
  <c r="H117" i="37"/>
  <c r="H117" i="33"/>
  <c r="H117" i="36"/>
  <c r="H146" i="42"/>
  <c r="H130" i="43"/>
  <c r="H146" i="37"/>
  <c r="H146" i="36"/>
  <c r="H146" i="33"/>
  <c r="H145" i="21"/>
  <c r="I102" i="43"/>
  <c r="I102" i="42"/>
  <c r="I102" i="36"/>
  <c r="I102" i="37"/>
  <c r="I102" i="21"/>
  <c r="J139" i="10"/>
  <c r="I102" i="33"/>
  <c r="I147" i="42"/>
  <c r="I147" i="37"/>
  <c r="I147" i="33"/>
  <c r="J284" i="10"/>
  <c r="I131" i="43"/>
  <c r="I147" i="36"/>
  <c r="I146" i="21"/>
  <c r="I51" i="43"/>
  <c r="I51" i="42"/>
  <c r="I51" i="37"/>
  <c r="I51" i="36"/>
  <c r="J115" i="10"/>
  <c r="I51" i="33"/>
  <c r="I51" i="21"/>
  <c r="G25" i="42"/>
  <c r="K25" i="42" s="1"/>
  <c r="G25" i="43"/>
  <c r="K25" i="43" s="1"/>
  <c r="G25" i="33"/>
  <c r="K25" i="33" s="1"/>
  <c r="G25" i="36"/>
  <c r="K25" i="36" s="1"/>
  <c r="G25" i="37"/>
  <c r="K25" i="37" s="1"/>
  <c r="G25" i="21"/>
  <c r="K25" i="21" s="1"/>
  <c r="H119" i="36"/>
  <c r="H119" i="33"/>
  <c r="H119" i="37"/>
  <c r="H119" i="42"/>
  <c r="H118" i="21"/>
  <c r="G110" i="43"/>
  <c r="K110" i="43" s="1"/>
  <c r="G126" i="42"/>
  <c r="K126" i="42" s="1"/>
  <c r="G126" i="33"/>
  <c r="K126" i="33" s="1"/>
  <c r="G126" i="36"/>
  <c r="K126" i="36" s="1"/>
  <c r="G126" i="37"/>
  <c r="K126" i="37" s="1"/>
  <c r="G125" i="21"/>
  <c r="K125" i="21" s="1"/>
  <c r="H115" i="42"/>
  <c r="H115" i="37"/>
  <c r="H115" i="36"/>
  <c r="H115" i="21"/>
  <c r="H115" i="33"/>
  <c r="H102" i="42"/>
  <c r="H102" i="43"/>
  <c r="H102" i="36"/>
  <c r="H102" i="37"/>
  <c r="H102" i="33"/>
  <c r="H102" i="21"/>
  <c r="G92" i="42"/>
  <c r="K92" i="42" s="1"/>
  <c r="G92" i="21"/>
  <c r="K92" i="21" s="1"/>
  <c r="G92" i="37"/>
  <c r="K92" i="37" s="1"/>
  <c r="G92" i="33"/>
  <c r="K92" i="33" s="1"/>
  <c r="G92" i="36"/>
  <c r="K92" i="36" s="1"/>
  <c r="G92" i="43"/>
  <c r="K92" i="43" s="1"/>
  <c r="G45" i="42"/>
  <c r="K45" i="42" s="1"/>
  <c r="G45" i="43"/>
  <c r="K45" i="43" s="1"/>
  <c r="G45" i="33"/>
  <c r="K45" i="33" s="1"/>
  <c r="G45" i="21"/>
  <c r="K45" i="21" s="1"/>
  <c r="G45" i="37"/>
  <c r="K45" i="37" s="1"/>
  <c r="G45" i="36"/>
  <c r="K45" i="36" s="1"/>
  <c r="I69" i="37"/>
  <c r="I69" i="21"/>
  <c r="I69" i="36"/>
  <c r="I69" i="42"/>
  <c r="I69" i="43"/>
  <c r="I69" i="33"/>
  <c r="J86" i="10"/>
  <c r="I119" i="36"/>
  <c r="I119" i="37"/>
  <c r="I119" i="33"/>
  <c r="I119" i="42"/>
  <c r="I118" i="21"/>
  <c r="G95" i="42"/>
  <c r="K95" i="42" s="1"/>
  <c r="G95" i="43"/>
  <c r="K95" i="43" s="1"/>
  <c r="G95" i="21"/>
  <c r="K95" i="21" s="1"/>
  <c r="G95" i="36"/>
  <c r="K95" i="36" s="1"/>
  <c r="G95" i="37"/>
  <c r="K95" i="37" s="1"/>
  <c r="G95" i="33"/>
  <c r="K95" i="33" s="1"/>
  <c r="H16" i="42"/>
  <c r="H16" i="43"/>
  <c r="H16" i="36"/>
  <c r="H16" i="37"/>
  <c r="H16" i="21"/>
  <c r="H16" i="33"/>
  <c r="I70" i="42"/>
  <c r="I70" i="43"/>
  <c r="I70" i="36"/>
  <c r="I70" i="37"/>
  <c r="I70" i="33"/>
  <c r="J219" i="10"/>
  <c r="I70" i="21"/>
  <c r="G94" i="43"/>
  <c r="K94" i="43" s="1"/>
  <c r="G94" i="42"/>
  <c r="K94" i="42" s="1"/>
  <c r="G94" i="21"/>
  <c r="K94" i="21" s="1"/>
  <c r="G94" i="33"/>
  <c r="K94" i="33" s="1"/>
  <c r="G94" i="37"/>
  <c r="K94" i="37" s="1"/>
  <c r="G94" i="36"/>
  <c r="K94" i="36" s="1"/>
  <c r="I17" i="43"/>
  <c r="I17" i="42"/>
  <c r="I17" i="37"/>
  <c r="I17" i="36"/>
  <c r="I17" i="33"/>
  <c r="I17" i="21"/>
  <c r="J55" i="10"/>
  <c r="I115" i="42"/>
  <c r="I115" i="37"/>
  <c r="I115" i="36"/>
  <c r="I115" i="33"/>
  <c r="I115" i="21"/>
  <c r="J83" i="10"/>
  <c r="H135" i="36"/>
  <c r="H134" i="21"/>
  <c r="H135" i="37"/>
  <c r="H119" i="43"/>
  <c r="H135" i="33"/>
  <c r="H135" i="42"/>
  <c r="G24" i="42"/>
  <c r="K24" i="42" s="1"/>
  <c r="G24" i="43"/>
  <c r="K24" i="43" s="1"/>
  <c r="G24" i="37"/>
  <c r="K24" i="37" s="1"/>
  <c r="G24" i="33"/>
  <c r="K24" i="33" s="1"/>
  <c r="G24" i="21"/>
  <c r="K24" i="21" s="1"/>
  <c r="G24" i="36"/>
  <c r="K24" i="36" s="1"/>
  <c r="G48" i="43"/>
  <c r="K48" i="43" s="1"/>
  <c r="G48" i="42"/>
  <c r="K48" i="42" s="1"/>
  <c r="G48" i="36"/>
  <c r="K48" i="36" s="1"/>
  <c r="G48" i="37"/>
  <c r="K48" i="37" s="1"/>
  <c r="G48" i="33"/>
  <c r="K48" i="33" s="1"/>
  <c r="G48" i="21"/>
  <c r="K48" i="21" s="1"/>
  <c r="F132" i="21"/>
  <c r="F133" i="33"/>
  <c r="F133" i="37"/>
  <c r="F133" i="36"/>
  <c r="F117" i="43"/>
  <c r="F133" i="42"/>
  <c r="F20" i="42"/>
  <c r="I117" i="37"/>
  <c r="I117" i="36"/>
  <c r="I117" i="42"/>
  <c r="I117" i="33"/>
  <c r="J197" i="10"/>
  <c r="I87" i="37"/>
  <c r="I87" i="42"/>
  <c r="I87" i="36"/>
  <c r="I87" i="21"/>
  <c r="I87" i="43"/>
  <c r="I87" i="33"/>
  <c r="G41" i="42"/>
  <c r="K41" i="42" s="1"/>
  <c r="G41" i="21"/>
  <c r="K41" i="21" s="1"/>
  <c r="G41" i="43"/>
  <c r="K41" i="43" s="1"/>
  <c r="G41" i="33"/>
  <c r="K41" i="33" s="1"/>
  <c r="G41" i="36"/>
  <c r="K41" i="36" s="1"/>
  <c r="G41" i="37"/>
  <c r="K41" i="37" s="1"/>
  <c r="I146" i="42"/>
  <c r="I130" i="43"/>
  <c r="J283" i="10"/>
  <c r="I146" i="36"/>
  <c r="I146" i="33"/>
  <c r="I146" i="37"/>
  <c r="I145" i="21"/>
  <c r="H33" i="42"/>
  <c r="H33" i="43"/>
  <c r="H33" i="37"/>
  <c r="H33" i="36"/>
  <c r="H33" i="21"/>
  <c r="H33" i="33"/>
  <c r="G128" i="43"/>
  <c r="K128" i="43" s="1"/>
  <c r="G144" i="42"/>
  <c r="K144" i="42" s="1"/>
  <c r="G144" i="33"/>
  <c r="K144" i="33" s="1"/>
  <c r="G144" i="36"/>
  <c r="K144" i="36" s="1"/>
  <c r="G144" i="37"/>
  <c r="K144" i="37" s="1"/>
  <c r="G143" i="21"/>
  <c r="K143" i="21" s="1"/>
  <c r="G57" i="43"/>
  <c r="K57" i="43" s="1"/>
  <c r="G57" i="42"/>
  <c r="K57" i="42" s="1"/>
  <c r="G57" i="21"/>
  <c r="K57" i="21" s="1"/>
  <c r="G57" i="37"/>
  <c r="K57" i="37" s="1"/>
  <c r="G57" i="36"/>
  <c r="K57" i="36" s="1"/>
  <c r="G57" i="33"/>
  <c r="K57" i="33" s="1"/>
  <c r="J259" i="10"/>
  <c r="H132" i="43"/>
  <c r="H148" i="42"/>
  <c r="H148" i="36"/>
  <c r="H148" i="37"/>
  <c r="H147" i="21"/>
  <c r="H148" i="33"/>
  <c r="H38" i="42"/>
  <c r="H38" i="43"/>
  <c r="H38" i="37"/>
  <c r="H38" i="36"/>
  <c r="H38" i="21"/>
  <c r="H38" i="33"/>
  <c r="G122" i="43"/>
  <c r="K122" i="43" s="1"/>
  <c r="G138" i="42"/>
  <c r="K138" i="42" s="1"/>
  <c r="G137" i="21"/>
  <c r="K137" i="21" s="1"/>
  <c r="G138" i="37"/>
  <c r="K138" i="37" s="1"/>
  <c r="G138" i="36"/>
  <c r="K138" i="36" s="1"/>
  <c r="G138" i="33"/>
  <c r="K138" i="33" s="1"/>
  <c r="H53" i="43"/>
  <c r="H53" i="33"/>
  <c r="H53" i="42"/>
  <c r="H53" i="37"/>
  <c r="H53" i="21"/>
  <c r="H53" i="36"/>
  <c r="H37" i="43"/>
  <c r="H37" i="37"/>
  <c r="H37" i="42"/>
  <c r="H37" i="36"/>
  <c r="H37" i="33"/>
  <c r="H37" i="21"/>
  <c r="H113" i="43"/>
  <c r="H129" i="42"/>
  <c r="H129" i="36"/>
  <c r="H129" i="37"/>
  <c r="H129" i="33"/>
  <c r="H128" i="21"/>
  <c r="G106" i="42"/>
  <c r="G106" i="21"/>
  <c r="K106" i="21" s="1"/>
  <c r="G106" i="33"/>
  <c r="K106" i="33" s="1"/>
  <c r="G106" i="36"/>
  <c r="G106" i="37"/>
  <c r="K106" i="37" s="1"/>
  <c r="G111" i="43"/>
  <c r="K111" i="43" s="1"/>
  <c r="G127" i="42"/>
  <c r="K127" i="42" s="1"/>
  <c r="G126" i="21"/>
  <c r="K126" i="21" s="1"/>
  <c r="G127" i="36"/>
  <c r="K127" i="36" s="1"/>
  <c r="G127" i="37"/>
  <c r="K127" i="37" s="1"/>
  <c r="G127" i="33"/>
  <c r="K127" i="33" s="1"/>
  <c r="J281" i="10"/>
  <c r="I151" i="36"/>
  <c r="I135" i="43"/>
  <c r="I151" i="42"/>
  <c r="I151" i="33"/>
  <c r="I150" i="21"/>
  <c r="I151" i="37"/>
  <c r="I86" i="42"/>
  <c r="I86" i="43"/>
  <c r="I86" i="36"/>
  <c r="I86" i="37"/>
  <c r="J191" i="10"/>
  <c r="I86" i="33"/>
  <c r="I86" i="21"/>
  <c r="I114" i="42"/>
  <c r="I114" i="37"/>
  <c r="I114" i="36"/>
  <c r="J82" i="10"/>
  <c r="I114" i="33"/>
  <c r="I114" i="21"/>
  <c r="I99" i="42"/>
  <c r="I99" i="43"/>
  <c r="I99" i="36"/>
  <c r="I99" i="37"/>
  <c r="I99" i="33"/>
  <c r="I99" i="21"/>
  <c r="J142" i="10"/>
  <c r="H103" i="36"/>
  <c r="H103" i="33"/>
  <c r="H103" i="21"/>
  <c r="H103" i="43"/>
  <c r="H103" i="37"/>
  <c r="H103" i="42"/>
  <c r="H50" i="42"/>
  <c r="H50" i="43"/>
  <c r="H50" i="36"/>
  <c r="H50" i="37"/>
  <c r="H50" i="33"/>
  <c r="H50" i="21"/>
  <c r="G142" i="42"/>
  <c r="K142" i="42" s="1"/>
  <c r="G126" i="43"/>
  <c r="K126" i="43" s="1"/>
  <c r="G142" i="33"/>
  <c r="K142" i="33" s="1"/>
  <c r="G142" i="37"/>
  <c r="K142" i="37" s="1"/>
  <c r="G141" i="21"/>
  <c r="K141" i="21" s="1"/>
  <c r="G142" i="36"/>
  <c r="K142" i="36" s="1"/>
  <c r="H32" i="42"/>
  <c r="H32" i="43"/>
  <c r="H32" i="37"/>
  <c r="H32" i="36"/>
  <c r="H32" i="21"/>
  <c r="H32" i="33"/>
  <c r="G15" i="42"/>
  <c r="K15" i="42" s="1"/>
  <c r="G15" i="43"/>
  <c r="K15" i="43" s="1"/>
  <c r="G15" i="21"/>
  <c r="K15" i="21" s="1"/>
  <c r="G15" i="36"/>
  <c r="K15" i="36" s="1"/>
  <c r="G15" i="37"/>
  <c r="K15" i="37" s="1"/>
  <c r="G15" i="33"/>
  <c r="K15" i="33" s="1"/>
  <c r="F85" i="33"/>
  <c r="F85" i="37"/>
  <c r="F85" i="42"/>
  <c r="F85" i="21"/>
  <c r="F85" i="36"/>
  <c r="F85" i="43"/>
  <c r="I38" i="36"/>
  <c r="I38" i="43"/>
  <c r="I38" i="37"/>
  <c r="I38" i="21"/>
  <c r="J254" i="10"/>
  <c r="I38" i="33"/>
  <c r="I38" i="42"/>
  <c r="I118" i="42"/>
  <c r="I118" i="37"/>
  <c r="I118" i="36"/>
  <c r="I118" i="33"/>
  <c r="J80" i="10"/>
  <c r="I117" i="21"/>
  <c r="G63" i="43"/>
  <c r="K63" i="43" s="1"/>
  <c r="G63" i="42"/>
  <c r="K63" i="42" s="1"/>
  <c r="G63" i="21"/>
  <c r="K63" i="21" s="1"/>
  <c r="G63" i="33"/>
  <c r="K63" i="33" s="1"/>
  <c r="G63" i="37"/>
  <c r="K63" i="37" s="1"/>
  <c r="G63" i="36"/>
  <c r="K63" i="36" s="1"/>
  <c r="I50" i="43"/>
  <c r="I50" i="42"/>
  <c r="I50" i="37"/>
  <c r="I50" i="36"/>
  <c r="J114" i="10"/>
  <c r="I50" i="21"/>
  <c r="I50" i="33"/>
  <c r="I114" i="43"/>
  <c r="I130" i="42"/>
  <c r="I130" i="36"/>
  <c r="I130" i="37"/>
  <c r="J167" i="10"/>
  <c r="I129" i="21"/>
  <c r="I130" i="33"/>
  <c r="I67" i="42"/>
  <c r="I67" i="43"/>
  <c r="I67" i="37"/>
  <c r="I67" i="36"/>
  <c r="J222" i="10"/>
  <c r="I67" i="33"/>
  <c r="I67" i="21"/>
  <c r="I131" i="42"/>
  <c r="I115" i="43"/>
  <c r="I131" i="37"/>
  <c r="I131" i="36"/>
  <c r="I131" i="33"/>
  <c r="I130" i="21"/>
  <c r="J168" i="10"/>
  <c r="G28" i="42"/>
  <c r="K28" i="42" s="1"/>
  <c r="G28" i="21"/>
  <c r="K28" i="21" s="1"/>
  <c r="G28" i="43"/>
  <c r="K28" i="43" s="1"/>
  <c r="G28" i="37"/>
  <c r="K28" i="37" s="1"/>
  <c r="G28" i="36"/>
  <c r="K28" i="36" s="1"/>
  <c r="G28" i="33"/>
  <c r="K28" i="33" s="1"/>
  <c r="G47" i="43"/>
  <c r="K47" i="43" s="1"/>
  <c r="G47" i="42"/>
  <c r="K47" i="42" s="1"/>
  <c r="G47" i="21"/>
  <c r="K47" i="21" s="1"/>
  <c r="G47" i="36"/>
  <c r="K47" i="36" s="1"/>
  <c r="G47" i="33"/>
  <c r="K47" i="33" s="1"/>
  <c r="G47" i="37"/>
  <c r="K47" i="37" s="1"/>
  <c r="H39" i="43"/>
  <c r="H39" i="37"/>
  <c r="H39" i="42"/>
  <c r="H39" i="36"/>
  <c r="H39" i="33"/>
  <c r="H39" i="21"/>
  <c r="G29" i="43"/>
  <c r="K29" i="43" s="1"/>
  <c r="G29" i="42"/>
  <c r="K29" i="42" s="1"/>
  <c r="G29" i="21"/>
  <c r="K29" i="21" s="1"/>
  <c r="G29" i="36"/>
  <c r="K29" i="36" s="1"/>
  <c r="G29" i="37"/>
  <c r="K29" i="37" s="1"/>
  <c r="G29" i="33"/>
  <c r="K29" i="33" s="1"/>
  <c r="J225" i="10"/>
  <c r="I71" i="36"/>
  <c r="I71" i="42"/>
  <c r="I71" i="37"/>
  <c r="I71" i="33"/>
  <c r="I71" i="43"/>
  <c r="I71" i="21"/>
  <c r="H85" i="43"/>
  <c r="H85" i="33"/>
  <c r="H85" i="42"/>
  <c r="H85" i="37"/>
  <c r="H85" i="21"/>
  <c r="H85" i="36"/>
  <c r="H65" i="43"/>
  <c r="H65" i="42"/>
  <c r="H65" i="37"/>
  <c r="H65" i="36"/>
  <c r="H65" i="33"/>
  <c r="H65" i="21"/>
  <c r="G93" i="42"/>
  <c r="K93" i="42" s="1"/>
  <c r="G93" i="43"/>
  <c r="K93" i="43" s="1"/>
  <c r="G93" i="33"/>
  <c r="K93" i="33" s="1"/>
  <c r="G93" i="37"/>
  <c r="K93" i="37" s="1"/>
  <c r="G93" i="36"/>
  <c r="K93" i="36" s="1"/>
  <c r="G93" i="21"/>
  <c r="K93" i="21" s="1"/>
  <c r="I66" i="43"/>
  <c r="I66" i="42"/>
  <c r="I66" i="36"/>
  <c r="I66" i="37"/>
  <c r="J221" i="10"/>
  <c r="I66" i="33"/>
  <c r="I66" i="21"/>
  <c r="H84" i="37"/>
  <c r="H84" i="43"/>
  <c r="H84" i="42"/>
  <c r="H84" i="36"/>
  <c r="H84" i="33"/>
  <c r="H84" i="21"/>
  <c r="I152" i="42"/>
  <c r="I152" i="36"/>
  <c r="I136" i="43"/>
  <c r="I152" i="33"/>
  <c r="I152" i="37"/>
  <c r="I151" i="21"/>
  <c r="J288" i="10"/>
  <c r="G60" i="42"/>
  <c r="K60" i="42" s="1"/>
  <c r="G60" i="21"/>
  <c r="K60" i="21" s="1"/>
  <c r="G60" i="43"/>
  <c r="K60" i="43" s="1"/>
  <c r="G60" i="33"/>
  <c r="K60" i="33" s="1"/>
  <c r="G60" i="36"/>
  <c r="K60" i="36" s="1"/>
  <c r="G60" i="37"/>
  <c r="K60" i="37" s="1"/>
  <c r="I113" i="42"/>
  <c r="I113" i="37"/>
  <c r="I113" i="36"/>
  <c r="I113" i="33"/>
  <c r="I113" i="21"/>
  <c r="J81" i="10"/>
  <c r="H66" i="42"/>
  <c r="H66" i="37"/>
  <c r="H66" i="36"/>
  <c r="H66" i="43"/>
  <c r="H66" i="33"/>
  <c r="H66" i="21"/>
  <c r="G58" i="43"/>
  <c r="K58" i="43" s="1"/>
  <c r="G58" i="42"/>
  <c r="K58" i="42" s="1"/>
  <c r="G58" i="36"/>
  <c r="K58" i="36" s="1"/>
  <c r="G58" i="33"/>
  <c r="K58" i="33" s="1"/>
  <c r="G58" i="21"/>
  <c r="K58" i="21" s="1"/>
  <c r="G58" i="37"/>
  <c r="K58" i="37" s="1"/>
  <c r="I53" i="42"/>
  <c r="I53" i="21"/>
  <c r="I53" i="33"/>
  <c r="I53" i="36"/>
  <c r="I53" i="43"/>
  <c r="I53" i="37"/>
  <c r="J255" i="10"/>
  <c r="I32" i="21"/>
  <c r="I32" i="37"/>
  <c r="I32" i="36"/>
  <c r="I32" i="43"/>
  <c r="I32" i="33"/>
  <c r="I32" i="42"/>
  <c r="I129" i="42"/>
  <c r="I113" i="43"/>
  <c r="I129" i="37"/>
  <c r="I129" i="36"/>
  <c r="J166" i="10"/>
  <c r="I129" i="33"/>
  <c r="I128" i="21"/>
  <c r="E133" i="42"/>
  <c r="E133" i="33"/>
  <c r="E133" i="36"/>
  <c r="E117" i="43"/>
  <c r="E133" i="37"/>
  <c r="E132" i="21"/>
  <c r="G43" i="42"/>
  <c r="K43" i="42" s="1"/>
  <c r="G43" i="43"/>
  <c r="K43" i="43" s="1"/>
  <c r="G43" i="33"/>
  <c r="K43" i="33" s="1"/>
  <c r="G43" i="37"/>
  <c r="K43" i="37" s="1"/>
  <c r="G43" i="36"/>
  <c r="K43" i="36" s="1"/>
  <c r="G43" i="21"/>
  <c r="K43" i="21" s="1"/>
  <c r="H150" i="36"/>
  <c r="H150" i="37"/>
  <c r="H150" i="42"/>
  <c r="H150" i="33"/>
  <c r="H149" i="21"/>
  <c r="H134" i="43"/>
  <c r="H117" i="43"/>
  <c r="H133" i="33"/>
  <c r="H132" i="21"/>
  <c r="H133" i="42"/>
  <c r="H133" i="37"/>
  <c r="H133" i="36"/>
  <c r="G123" i="42"/>
  <c r="K123" i="42" s="1"/>
  <c r="G107" i="43"/>
  <c r="K107" i="43" s="1"/>
  <c r="G122" i="21"/>
  <c r="K122" i="21" s="1"/>
  <c r="G123" i="36"/>
  <c r="K123" i="36" s="1"/>
  <c r="G123" i="37"/>
  <c r="K123" i="37" s="1"/>
  <c r="G123" i="33"/>
  <c r="K123" i="33" s="1"/>
  <c r="H49" i="42"/>
  <c r="H49" i="43"/>
  <c r="H49" i="37"/>
  <c r="H49" i="36"/>
  <c r="H49" i="33"/>
  <c r="H49" i="21"/>
  <c r="G110" i="42"/>
  <c r="G110" i="37"/>
  <c r="K110" i="37" s="1"/>
  <c r="G110" i="33"/>
  <c r="K110" i="33" s="1"/>
  <c r="G110" i="36"/>
  <c r="G110" i="21"/>
  <c r="K110" i="21" s="1"/>
  <c r="G59" i="42"/>
  <c r="K59" i="42" s="1"/>
  <c r="G59" i="36"/>
  <c r="K59" i="36" s="1"/>
  <c r="G59" i="33"/>
  <c r="K59" i="33" s="1"/>
  <c r="G59" i="43"/>
  <c r="K59" i="43" s="1"/>
  <c r="G59" i="37"/>
  <c r="K59" i="37" s="1"/>
  <c r="G59" i="21"/>
  <c r="K59" i="21" s="1"/>
  <c r="G109" i="43"/>
  <c r="K109" i="43" s="1"/>
  <c r="G125" i="42"/>
  <c r="K125" i="42" s="1"/>
  <c r="G125" i="37"/>
  <c r="K125" i="37" s="1"/>
  <c r="G124" i="21"/>
  <c r="K124" i="21" s="1"/>
  <c r="G125" i="36"/>
  <c r="K125" i="36" s="1"/>
  <c r="G125" i="33"/>
  <c r="K125" i="33" s="1"/>
  <c r="G12" i="43"/>
  <c r="K12" i="43" s="1"/>
  <c r="G12" i="42"/>
  <c r="K12" i="42" s="1"/>
  <c r="G12" i="33"/>
  <c r="K12" i="33" s="1"/>
  <c r="G12" i="36"/>
  <c r="K12" i="36" s="1"/>
  <c r="G12" i="37"/>
  <c r="K12" i="37" s="1"/>
  <c r="G12" i="21"/>
  <c r="K12" i="21" s="1"/>
  <c r="G121" i="43"/>
  <c r="K121" i="43" s="1"/>
  <c r="G137" i="42"/>
  <c r="K137" i="42" s="1"/>
  <c r="G137" i="33"/>
  <c r="K137" i="33" s="1"/>
  <c r="G137" i="37"/>
  <c r="K137" i="37" s="1"/>
  <c r="G137" i="36"/>
  <c r="K137" i="36" s="1"/>
  <c r="G136" i="21"/>
  <c r="K136" i="21" s="1"/>
  <c r="H68" i="42"/>
  <c r="H68" i="43"/>
  <c r="H68" i="36"/>
  <c r="H68" i="37"/>
  <c r="H68" i="33"/>
  <c r="H68" i="21"/>
  <c r="G61" i="42"/>
  <c r="K61" i="42" s="1"/>
  <c r="G61" i="43"/>
  <c r="K61" i="43" s="1"/>
  <c r="G61" i="36"/>
  <c r="K61" i="36" s="1"/>
  <c r="G61" i="37"/>
  <c r="K61" i="37" s="1"/>
  <c r="G61" i="21"/>
  <c r="K61" i="21" s="1"/>
  <c r="G61" i="33"/>
  <c r="K61" i="33" s="1"/>
  <c r="I101" i="21"/>
  <c r="I101" i="37"/>
  <c r="I101" i="33"/>
  <c r="I101" i="36"/>
  <c r="I101" i="42"/>
  <c r="I101" i="43"/>
  <c r="I39" i="36"/>
  <c r="I39" i="37"/>
  <c r="I39" i="33"/>
  <c r="I39" i="43"/>
  <c r="I39" i="21"/>
  <c r="I39" i="42"/>
  <c r="J261" i="10"/>
  <c r="G108" i="42"/>
  <c r="G108" i="33"/>
  <c r="K108" i="33" s="1"/>
  <c r="G108" i="37"/>
  <c r="K108" i="37" s="1"/>
  <c r="G108" i="36"/>
  <c r="G108" i="21"/>
  <c r="K108" i="21" s="1"/>
  <c r="I65" i="42"/>
  <c r="I65" i="36"/>
  <c r="I65" i="43"/>
  <c r="I65" i="37"/>
  <c r="I65" i="21"/>
  <c r="I65" i="33"/>
  <c r="J220" i="10"/>
  <c r="I16" i="43"/>
  <c r="I16" i="42"/>
  <c r="I16" i="36"/>
  <c r="I16" i="37"/>
  <c r="I16" i="33"/>
  <c r="I16" i="21"/>
  <c r="J54" i="10"/>
  <c r="G91" i="42"/>
  <c r="K91" i="42" s="1"/>
  <c r="G91" i="43"/>
  <c r="K91" i="43" s="1"/>
  <c r="G91" i="21"/>
  <c r="K91" i="21" s="1"/>
  <c r="G91" i="37"/>
  <c r="K91" i="37" s="1"/>
  <c r="G91" i="33"/>
  <c r="K91" i="33" s="1"/>
  <c r="G91" i="36"/>
  <c r="K91" i="36" s="1"/>
  <c r="H147" i="42"/>
  <c r="H131" i="43"/>
  <c r="H147" i="37"/>
  <c r="H147" i="36"/>
  <c r="H147" i="33"/>
  <c r="H146" i="21"/>
  <c r="G112" i="43"/>
  <c r="K112" i="43" s="1"/>
  <c r="G128" i="37"/>
  <c r="K128" i="37" s="1"/>
  <c r="G128" i="42"/>
  <c r="K128" i="42" s="1"/>
  <c r="G128" i="36"/>
  <c r="K128" i="36" s="1"/>
  <c r="G127" i="21"/>
  <c r="K127" i="21" s="1"/>
  <c r="G128" i="33"/>
  <c r="K128" i="33" s="1"/>
  <c r="G139" i="42"/>
  <c r="K139" i="42" s="1"/>
  <c r="G123" i="43"/>
  <c r="K123" i="43" s="1"/>
  <c r="G138" i="21"/>
  <c r="K138" i="21" s="1"/>
  <c r="G139" i="37"/>
  <c r="K139" i="37" s="1"/>
  <c r="G139" i="36"/>
  <c r="K139" i="36" s="1"/>
  <c r="G139" i="33"/>
  <c r="K139" i="33" s="1"/>
  <c r="I84" i="43"/>
  <c r="I84" i="42"/>
  <c r="I84" i="37"/>
  <c r="I84" i="36"/>
  <c r="J195" i="10"/>
  <c r="I84" i="21"/>
  <c r="I84" i="33"/>
  <c r="H99" i="43"/>
  <c r="H99" i="36"/>
  <c r="H99" i="42"/>
  <c r="H99" i="37"/>
  <c r="H99" i="33"/>
  <c r="H99" i="21"/>
  <c r="H21" i="42"/>
  <c r="H21" i="43"/>
  <c r="H21" i="36"/>
  <c r="H21" i="37"/>
  <c r="H21" i="33"/>
  <c r="H21" i="21"/>
  <c r="H118" i="42"/>
  <c r="H118" i="36"/>
  <c r="H118" i="37"/>
  <c r="H118" i="33"/>
  <c r="H117" i="21"/>
  <c r="G80" i="42"/>
  <c r="K80" i="42" s="1"/>
  <c r="G80" i="43"/>
  <c r="K80" i="43" s="1"/>
  <c r="G80" i="36"/>
  <c r="K80" i="36" s="1"/>
  <c r="G80" i="37"/>
  <c r="K80" i="37" s="1"/>
  <c r="G80" i="33"/>
  <c r="K80" i="33" s="1"/>
  <c r="G80" i="21"/>
  <c r="K80" i="21" s="1"/>
  <c r="F117" i="36"/>
  <c r="F117" i="42"/>
  <c r="F117" i="37"/>
  <c r="F117" i="33"/>
  <c r="H101" i="43"/>
  <c r="H101" i="33"/>
  <c r="H101" i="42"/>
  <c r="H101" i="36"/>
  <c r="H101" i="37"/>
  <c r="H101" i="21"/>
  <c r="G14" i="43"/>
  <c r="K14" i="43" s="1"/>
  <c r="G14" i="42"/>
  <c r="K14" i="42" s="1"/>
  <c r="G14" i="37"/>
  <c r="K14" i="37" s="1"/>
  <c r="G14" i="36"/>
  <c r="K14" i="36" s="1"/>
  <c r="G14" i="33"/>
  <c r="K14" i="33" s="1"/>
  <c r="G14" i="21"/>
  <c r="K14" i="21" s="1"/>
  <c r="G8" i="43"/>
  <c r="G8" i="21"/>
  <c r="K8" i="21" s="1"/>
  <c r="G8" i="37"/>
  <c r="K8" i="37" s="1"/>
  <c r="G8" i="42"/>
  <c r="K8" i="42" s="1"/>
  <c r="G8" i="36"/>
  <c r="K8" i="36" s="1"/>
  <c r="H81" i="36"/>
  <c r="H81" i="42"/>
  <c r="H81" i="43"/>
  <c r="H81" i="37"/>
  <c r="H81" i="21"/>
  <c r="H81" i="33"/>
  <c r="G105" i="43"/>
  <c r="K105" i="43" s="1"/>
  <c r="G121" i="42"/>
  <c r="K121" i="42" s="1"/>
  <c r="G121" i="36"/>
  <c r="K121" i="36" s="1"/>
  <c r="G121" i="37"/>
  <c r="K121" i="37" s="1"/>
  <c r="G120" i="21"/>
  <c r="K120" i="21" s="1"/>
  <c r="G121" i="33"/>
  <c r="K121" i="33" s="1"/>
  <c r="G75" i="42"/>
  <c r="K75" i="42" s="1"/>
  <c r="G75" i="43"/>
  <c r="K75" i="43" s="1"/>
  <c r="G75" i="21"/>
  <c r="K75" i="21" s="1"/>
  <c r="G75" i="36"/>
  <c r="K75" i="36" s="1"/>
  <c r="G75" i="33"/>
  <c r="K75" i="33" s="1"/>
  <c r="G75" i="37"/>
  <c r="K75" i="37" s="1"/>
  <c r="E85" i="37"/>
  <c r="E85" i="42"/>
  <c r="E85" i="21"/>
  <c r="E85" i="36"/>
  <c r="E85" i="33"/>
  <c r="E85" i="43"/>
  <c r="I118" i="43"/>
  <c r="I134" i="42"/>
  <c r="I134" i="36"/>
  <c r="I134" i="37"/>
  <c r="I134" i="33"/>
  <c r="I133" i="21"/>
  <c r="J165" i="10"/>
  <c r="G26" i="42"/>
  <c r="K26" i="42" s="1"/>
  <c r="G26" i="43"/>
  <c r="K26" i="43" s="1"/>
  <c r="G26" i="37"/>
  <c r="K26" i="37" s="1"/>
  <c r="G26" i="33"/>
  <c r="K26" i="33" s="1"/>
  <c r="G26" i="21"/>
  <c r="K26" i="21" s="1"/>
  <c r="G26" i="36"/>
  <c r="K26" i="36" s="1"/>
  <c r="E101" i="42"/>
  <c r="E101" i="21"/>
  <c r="E101" i="36"/>
  <c r="E101" i="37"/>
  <c r="E101" i="43"/>
  <c r="E101" i="33"/>
  <c r="I98" i="42"/>
  <c r="I98" i="43"/>
  <c r="I98" i="37"/>
  <c r="I98" i="36"/>
  <c r="J141" i="10"/>
  <c r="I98" i="21"/>
  <c r="I98" i="33"/>
  <c r="I82" i="42"/>
  <c r="I82" i="43"/>
  <c r="I82" i="37"/>
  <c r="I82" i="36"/>
  <c r="I82" i="21"/>
  <c r="J193" i="10"/>
  <c r="I82" i="33"/>
  <c r="G73" i="43"/>
  <c r="K73" i="43" s="1"/>
  <c r="G73" i="42"/>
  <c r="K73" i="42" s="1"/>
  <c r="G73" i="21"/>
  <c r="K73" i="21" s="1"/>
  <c r="G73" i="37"/>
  <c r="K73" i="37" s="1"/>
  <c r="G73" i="33"/>
  <c r="K73" i="33" s="1"/>
  <c r="G73" i="36"/>
  <c r="K73" i="36" s="1"/>
  <c r="J285" i="10"/>
  <c r="I148" i="37"/>
  <c r="I148" i="42"/>
  <c r="I148" i="36"/>
  <c r="I132" i="43"/>
  <c r="I148" i="33"/>
  <c r="I147" i="21"/>
  <c r="I83" i="42"/>
  <c r="I83" i="43"/>
  <c r="I83" i="36"/>
  <c r="I83" i="37"/>
  <c r="I83" i="33"/>
  <c r="I83" i="21"/>
  <c r="J194" i="10"/>
  <c r="G64" i="42"/>
  <c r="K64" i="42" s="1"/>
  <c r="G64" i="43"/>
  <c r="K64" i="43" s="1"/>
  <c r="G64" i="33"/>
  <c r="K64" i="33" s="1"/>
  <c r="G64" i="36"/>
  <c r="K64" i="36" s="1"/>
  <c r="G64" i="37"/>
  <c r="K64" i="37" s="1"/>
  <c r="G64" i="21"/>
  <c r="K64" i="21" s="1"/>
  <c r="H71" i="37"/>
  <c r="H71" i="43"/>
  <c r="H71" i="36"/>
  <c r="H71" i="42"/>
  <c r="H71" i="33"/>
  <c r="H71" i="21"/>
  <c r="H116" i="42"/>
  <c r="H116" i="37"/>
  <c r="H116" i="36"/>
  <c r="H116" i="33"/>
  <c r="H116" i="21"/>
  <c r="H149" i="42"/>
  <c r="H133" i="43"/>
  <c r="H149" i="37"/>
  <c r="H149" i="36"/>
  <c r="H148" i="21"/>
  <c r="H149" i="33"/>
  <c r="G11" i="43"/>
  <c r="K11" i="43" s="1"/>
  <c r="G11" i="42"/>
  <c r="K11" i="42" s="1"/>
  <c r="G11" i="21"/>
  <c r="K11" i="21" s="1"/>
  <c r="G11" i="37"/>
  <c r="K11" i="37" s="1"/>
  <c r="G11" i="33"/>
  <c r="K11" i="33" s="1"/>
  <c r="G11" i="36"/>
  <c r="K11" i="36" s="1"/>
  <c r="I54" i="42"/>
  <c r="I54" i="43"/>
  <c r="I54" i="37"/>
  <c r="I54" i="36"/>
  <c r="J112" i="10"/>
  <c r="I54" i="33"/>
  <c r="I54" i="21"/>
  <c r="G44" i="42"/>
  <c r="K44" i="42" s="1"/>
  <c r="G44" i="43"/>
  <c r="K44" i="43" s="1"/>
  <c r="G44" i="21"/>
  <c r="K44" i="21" s="1"/>
  <c r="G44" i="33"/>
  <c r="K44" i="33" s="1"/>
  <c r="G44" i="36"/>
  <c r="K44" i="36" s="1"/>
  <c r="G44" i="37"/>
  <c r="K44" i="37" s="1"/>
  <c r="G76" i="33"/>
  <c r="K76" i="33" s="1"/>
  <c r="G76" i="21"/>
  <c r="K76" i="21" s="1"/>
  <c r="G76" i="43"/>
  <c r="K76" i="43" s="1"/>
  <c r="G76" i="36"/>
  <c r="K76" i="36" s="1"/>
  <c r="G76" i="42"/>
  <c r="K76" i="42" s="1"/>
  <c r="G76" i="37"/>
  <c r="K76" i="37" s="1"/>
  <c r="G145" i="37"/>
  <c r="K145" i="37" s="1"/>
  <c r="G145" i="42"/>
  <c r="K145" i="42" s="1"/>
  <c r="G145" i="36"/>
  <c r="K145" i="36" s="1"/>
  <c r="G145" i="33"/>
  <c r="K145" i="33" s="1"/>
  <c r="G144" i="21"/>
  <c r="K144" i="21" s="1"/>
  <c r="G129" i="43"/>
  <c r="K129" i="43" s="1"/>
  <c r="H83" i="36"/>
  <c r="H83" i="42"/>
  <c r="H83" i="33"/>
  <c r="H83" i="21"/>
  <c r="H83" i="37"/>
  <c r="H83" i="43"/>
  <c r="H70" i="42"/>
  <c r="H70" i="43"/>
  <c r="H70" i="36"/>
  <c r="H70" i="37"/>
  <c r="H70" i="33"/>
  <c r="H70" i="21"/>
  <c r="G96" i="43"/>
  <c r="K96" i="43" s="1"/>
  <c r="G96" i="42"/>
  <c r="K96" i="42" s="1"/>
  <c r="G96" i="21"/>
  <c r="K96" i="21" s="1"/>
  <c r="G96" i="37"/>
  <c r="K96" i="37" s="1"/>
  <c r="G96" i="36"/>
  <c r="K96" i="36" s="1"/>
  <c r="G96" i="33"/>
  <c r="K96" i="33" s="1"/>
  <c r="G30" i="43"/>
  <c r="K30" i="43" s="1"/>
  <c r="G30" i="42"/>
  <c r="K30" i="42" s="1"/>
  <c r="G30" i="21"/>
  <c r="K30" i="21" s="1"/>
  <c r="G30" i="33"/>
  <c r="K30" i="33" s="1"/>
  <c r="G30" i="36"/>
  <c r="K30" i="36" s="1"/>
  <c r="G30" i="37"/>
  <c r="K30" i="37" s="1"/>
  <c r="G78" i="42"/>
  <c r="K78" i="42" s="1"/>
  <c r="G78" i="33"/>
  <c r="K78" i="33" s="1"/>
  <c r="G78" i="21"/>
  <c r="K78" i="21" s="1"/>
  <c r="G78" i="43"/>
  <c r="K78" i="43" s="1"/>
  <c r="G78" i="37"/>
  <c r="K78" i="37" s="1"/>
  <c r="G78" i="36"/>
  <c r="K78" i="36" s="1"/>
  <c r="I19" i="43"/>
  <c r="I19" i="42"/>
  <c r="I19" i="37"/>
  <c r="I19" i="36"/>
  <c r="J58" i="10"/>
  <c r="I19" i="33"/>
  <c r="I19" i="21"/>
  <c r="I116" i="42"/>
  <c r="I116" i="37"/>
  <c r="I116" i="36"/>
  <c r="I116" i="33"/>
  <c r="I116" i="21"/>
  <c r="J84" i="10"/>
  <c r="H54" i="43"/>
  <c r="H54" i="42"/>
  <c r="H54" i="36"/>
  <c r="H54" i="37"/>
  <c r="H54" i="21"/>
  <c r="H54" i="33"/>
  <c r="Y141" i="33"/>
  <c r="S141" i="33"/>
  <c r="H20" i="36"/>
  <c r="H20" i="33"/>
  <c r="H20" i="37"/>
  <c r="H20" i="42"/>
  <c r="H20" i="43"/>
  <c r="H20" i="21"/>
  <c r="G122" i="42"/>
  <c r="K122" i="42" s="1"/>
  <c r="G106" i="43"/>
  <c r="K106" i="43" s="1"/>
  <c r="G122" i="33"/>
  <c r="K122" i="33" s="1"/>
  <c r="G121" i="21"/>
  <c r="K121" i="21" s="1"/>
  <c r="G122" i="37"/>
  <c r="K122" i="37" s="1"/>
  <c r="G122" i="36"/>
  <c r="K122" i="36" s="1"/>
  <c r="H97" i="43"/>
  <c r="H97" i="37"/>
  <c r="H97" i="42"/>
  <c r="H97" i="36"/>
  <c r="H97" i="33"/>
  <c r="H97" i="21"/>
  <c r="F101" i="36"/>
  <c r="F101" i="37"/>
  <c r="F101" i="42"/>
  <c r="F101" i="33"/>
  <c r="F101" i="43"/>
  <c r="F101" i="21"/>
  <c r="G74" i="43"/>
  <c r="K74" i="43" s="1"/>
  <c r="G74" i="42"/>
  <c r="K74" i="42" s="1"/>
  <c r="G74" i="33"/>
  <c r="K74" i="33" s="1"/>
  <c r="G74" i="37"/>
  <c r="K74" i="37" s="1"/>
  <c r="G74" i="36"/>
  <c r="K74" i="36" s="1"/>
  <c r="G74" i="21"/>
  <c r="K74" i="21" s="1"/>
  <c r="G77" i="42"/>
  <c r="K77" i="42" s="1"/>
  <c r="G77" i="43"/>
  <c r="K77" i="43" s="1"/>
  <c r="G77" i="37"/>
  <c r="K77" i="37" s="1"/>
  <c r="G77" i="21"/>
  <c r="K77" i="21" s="1"/>
  <c r="G77" i="36"/>
  <c r="K77" i="36" s="1"/>
  <c r="G77" i="33"/>
  <c r="K77" i="33" s="1"/>
  <c r="I21" i="42"/>
  <c r="I21" i="43"/>
  <c r="I21" i="37"/>
  <c r="I21" i="36"/>
  <c r="J53" i="10"/>
  <c r="I21" i="33"/>
  <c r="I21" i="21"/>
  <c r="I33" i="36"/>
  <c r="I33" i="33"/>
  <c r="I33" i="43"/>
  <c r="I33" i="42"/>
  <c r="I33" i="21"/>
  <c r="J256" i="10"/>
  <c r="I33" i="37"/>
  <c r="I18" i="43"/>
  <c r="I18" i="42"/>
  <c r="I18" i="37"/>
  <c r="I18" i="36"/>
  <c r="I18" i="33"/>
  <c r="I18" i="21"/>
  <c r="J56" i="10"/>
  <c r="E54" i="37"/>
  <c r="E54" i="43"/>
  <c r="E54" i="42"/>
  <c r="E54" i="36"/>
  <c r="E54" i="21"/>
  <c r="E54" i="33"/>
  <c r="H22" i="42"/>
  <c r="H22" i="43"/>
  <c r="H22" i="33"/>
  <c r="H22" i="36"/>
  <c r="H22" i="37"/>
  <c r="H22" i="21"/>
  <c r="J145" i="10"/>
  <c r="I103" i="21"/>
  <c r="I103" i="36"/>
  <c r="I103" i="33"/>
  <c r="I103" i="42"/>
  <c r="I103" i="37"/>
  <c r="I103" i="43"/>
  <c r="G141" i="42"/>
  <c r="K141" i="42" s="1"/>
  <c r="G125" i="43"/>
  <c r="K125" i="43" s="1"/>
  <c r="G141" i="33"/>
  <c r="K141" i="33" s="1"/>
  <c r="G140" i="21"/>
  <c r="K140" i="21" s="1"/>
  <c r="G141" i="37"/>
  <c r="K141" i="37" s="1"/>
  <c r="G141" i="36"/>
  <c r="K141" i="36" s="1"/>
  <c r="F67" i="37"/>
  <c r="F67" i="21"/>
  <c r="H55" i="37"/>
  <c r="H55" i="43"/>
  <c r="H55" i="21"/>
  <c r="H55" i="33"/>
  <c r="H55" i="36"/>
  <c r="H55" i="42"/>
  <c r="H18" i="43"/>
  <c r="H18" i="42"/>
  <c r="H18" i="37"/>
  <c r="H18" i="36"/>
  <c r="H18" i="33"/>
  <c r="H18" i="21"/>
  <c r="H130" i="42"/>
  <c r="H114" i="43"/>
  <c r="H130" i="37"/>
  <c r="H130" i="36"/>
  <c r="H130" i="33"/>
  <c r="H129" i="21"/>
  <c r="G111" i="42"/>
  <c r="G111" i="21"/>
  <c r="K111" i="21" s="1"/>
  <c r="G111" i="36"/>
  <c r="G111" i="33"/>
  <c r="K111" i="33" s="1"/>
  <c r="G111" i="37"/>
  <c r="K111" i="37" s="1"/>
  <c r="I52" i="42"/>
  <c r="I52" i="43"/>
  <c r="I52" i="36"/>
  <c r="I52" i="37"/>
  <c r="I52" i="33"/>
  <c r="J116" i="10"/>
  <c r="I52" i="21"/>
  <c r="H51" i="43"/>
  <c r="H51" i="37"/>
  <c r="H51" i="42"/>
  <c r="H51" i="36"/>
  <c r="H51" i="21"/>
  <c r="H51" i="33"/>
  <c r="G140" i="42"/>
  <c r="K140" i="42" s="1"/>
  <c r="G124" i="43"/>
  <c r="K124" i="43" s="1"/>
  <c r="G140" i="36"/>
  <c r="K140" i="36" s="1"/>
  <c r="G139" i="21"/>
  <c r="K139" i="21" s="1"/>
  <c r="G140" i="37"/>
  <c r="K140" i="37" s="1"/>
  <c r="G140" i="33"/>
  <c r="K140" i="33" s="1"/>
  <c r="G10" i="43"/>
  <c r="K10" i="43" s="1"/>
  <c r="G10" i="42"/>
  <c r="K10" i="42" s="1"/>
  <c r="G10" i="33"/>
  <c r="K10" i="33" s="1"/>
  <c r="G10" i="21"/>
  <c r="K10" i="21" s="1"/>
  <c r="G10" i="37"/>
  <c r="K10" i="37" s="1"/>
  <c r="G10" i="36"/>
  <c r="K10" i="36" s="1"/>
  <c r="J260" i="10"/>
  <c r="I37" i="37"/>
  <c r="I37" i="43"/>
  <c r="I37" i="33"/>
  <c r="I37" i="42"/>
  <c r="I37" i="36"/>
  <c r="I37" i="21"/>
  <c r="J171" i="10"/>
  <c r="I135" i="36"/>
  <c r="I119" i="43"/>
  <c r="I134" i="21"/>
  <c r="I135" i="33"/>
  <c r="I135" i="37"/>
  <c r="I135" i="42"/>
  <c r="F54" i="43"/>
  <c r="F54" i="21"/>
  <c r="J22" i="10"/>
  <c r="H114" i="42"/>
  <c r="H114" i="36"/>
  <c r="H114" i="37"/>
  <c r="H114" i="33"/>
  <c r="H114" i="21"/>
  <c r="H82" i="36"/>
  <c r="H82" i="43"/>
  <c r="H82" i="42"/>
  <c r="H82" i="37"/>
  <c r="H82" i="33"/>
  <c r="H82" i="21"/>
  <c r="E117" i="36"/>
  <c r="E117" i="33"/>
  <c r="E117" i="37"/>
  <c r="E117" i="42"/>
  <c r="G46" i="43"/>
  <c r="K46" i="43" s="1"/>
  <c r="G46" i="42"/>
  <c r="K46" i="42" s="1"/>
  <c r="G46" i="36"/>
  <c r="K46" i="36" s="1"/>
  <c r="G46" i="33"/>
  <c r="K46" i="33" s="1"/>
  <c r="G46" i="37"/>
  <c r="K46" i="37" s="1"/>
  <c r="G46" i="21"/>
  <c r="K46" i="21" s="1"/>
  <c r="H52" i="42"/>
  <c r="H52" i="36"/>
  <c r="H52" i="43"/>
  <c r="H52" i="37"/>
  <c r="H52" i="21"/>
  <c r="H52" i="33"/>
  <c r="J196" i="10"/>
  <c r="I85" i="43"/>
  <c r="I85" i="33"/>
  <c r="I85" i="42"/>
  <c r="I85" i="37"/>
  <c r="I85" i="21"/>
  <c r="I85" i="36"/>
  <c r="I132" i="21"/>
  <c r="I133" i="36"/>
  <c r="I133" i="33"/>
  <c r="I117" i="43"/>
  <c r="I133" i="42"/>
  <c r="I133" i="37"/>
  <c r="G90" i="43"/>
  <c r="K90" i="43" s="1"/>
  <c r="G90" i="42"/>
  <c r="K90" i="42" s="1"/>
  <c r="G90" i="21"/>
  <c r="K90" i="21" s="1"/>
  <c r="G90" i="36"/>
  <c r="K90" i="36" s="1"/>
  <c r="G90" i="33"/>
  <c r="K90" i="33" s="1"/>
  <c r="G90" i="37"/>
  <c r="K90" i="37" s="1"/>
  <c r="G127" i="43"/>
  <c r="K127" i="43" s="1"/>
  <c r="G143" i="33"/>
  <c r="K143" i="33" s="1"/>
  <c r="G143" i="42"/>
  <c r="K143" i="42" s="1"/>
  <c r="G143" i="37"/>
  <c r="K143" i="37" s="1"/>
  <c r="G142" i="21"/>
  <c r="K142" i="21" s="1"/>
  <c r="G143" i="36"/>
  <c r="K143" i="36" s="1"/>
  <c r="E66" i="36"/>
  <c r="E66" i="21"/>
  <c r="G62" i="42"/>
  <c r="K62" i="42" s="1"/>
  <c r="G62" i="21"/>
  <c r="K62" i="21" s="1"/>
  <c r="G62" i="43"/>
  <c r="K62" i="43" s="1"/>
  <c r="G62" i="36"/>
  <c r="K62" i="36" s="1"/>
  <c r="G62" i="33"/>
  <c r="K62" i="33" s="1"/>
  <c r="G62" i="37"/>
  <c r="K62" i="37" s="1"/>
  <c r="I81" i="43"/>
  <c r="I81" i="42"/>
  <c r="I81" i="37"/>
  <c r="I81" i="36"/>
  <c r="J192" i="10"/>
  <c r="I81" i="33"/>
  <c r="I81" i="21"/>
  <c r="H98" i="43"/>
  <c r="H98" i="42"/>
  <c r="H98" i="36"/>
  <c r="H98" i="37"/>
  <c r="H98" i="33"/>
  <c r="H98" i="21"/>
  <c r="H17" i="42"/>
  <c r="H17" i="43"/>
  <c r="H17" i="36"/>
  <c r="H17" i="37"/>
  <c r="H17" i="33"/>
  <c r="H17" i="21"/>
  <c r="I149" i="36"/>
  <c r="I149" i="33"/>
  <c r="I148" i="21"/>
  <c r="I149" i="42"/>
  <c r="I133" i="43"/>
  <c r="J286" i="10"/>
  <c r="I149" i="37"/>
  <c r="I132" i="42"/>
  <c r="I132" i="36"/>
  <c r="I116" i="43"/>
  <c r="I132" i="37"/>
  <c r="I131" i="21"/>
  <c r="J169" i="10"/>
  <c r="I132" i="33"/>
  <c r="H67" i="43"/>
  <c r="H67" i="37"/>
  <c r="H67" i="42"/>
  <c r="H67" i="36"/>
  <c r="H67" i="33"/>
  <c r="H67" i="21"/>
  <c r="G112" i="42"/>
  <c r="G112" i="36"/>
  <c r="G112" i="37"/>
  <c r="K112" i="37" s="1"/>
  <c r="G112" i="21"/>
  <c r="K112" i="21" s="1"/>
  <c r="G112" i="33"/>
  <c r="K112" i="33" s="1"/>
  <c r="F150" i="37"/>
  <c r="F150" i="33"/>
  <c r="F134" i="43"/>
  <c r="F150" i="42"/>
  <c r="F149" i="21"/>
  <c r="F150" i="36"/>
  <c r="E149" i="21"/>
  <c r="E150" i="37"/>
  <c r="E150" i="42"/>
  <c r="E150" i="33"/>
  <c r="E134" i="43"/>
  <c r="E150" i="36"/>
  <c r="G79" i="42"/>
  <c r="K79" i="42" s="1"/>
  <c r="G79" i="43"/>
  <c r="K79" i="43" s="1"/>
  <c r="G79" i="37"/>
  <c r="K79" i="37" s="1"/>
  <c r="G79" i="33"/>
  <c r="K79" i="33" s="1"/>
  <c r="G79" i="36"/>
  <c r="K79" i="36" s="1"/>
  <c r="G79" i="21"/>
  <c r="K79" i="21" s="1"/>
  <c r="G107" i="42"/>
  <c r="G107" i="21"/>
  <c r="K107" i="21" s="1"/>
  <c r="G107" i="37"/>
  <c r="K107" i="37" s="1"/>
  <c r="G107" i="36"/>
  <c r="G107" i="33"/>
  <c r="K107" i="33" s="1"/>
  <c r="G109" i="42"/>
  <c r="G109" i="33"/>
  <c r="K109" i="33" s="1"/>
  <c r="G109" i="21"/>
  <c r="K109" i="21" s="1"/>
  <c r="G109" i="37"/>
  <c r="K109" i="37" s="1"/>
  <c r="G109" i="36"/>
  <c r="H69" i="42"/>
  <c r="H69" i="36"/>
  <c r="H69" i="21"/>
  <c r="H69" i="37"/>
  <c r="H69" i="33"/>
  <c r="H69" i="43"/>
  <c r="G124" i="42"/>
  <c r="K124" i="42" s="1"/>
  <c r="G123" i="21"/>
  <c r="K123" i="21" s="1"/>
  <c r="G108" i="43"/>
  <c r="K108" i="43" s="1"/>
  <c r="G124" i="33"/>
  <c r="K124" i="33" s="1"/>
  <c r="G124" i="37"/>
  <c r="K124" i="37" s="1"/>
  <c r="G124" i="36"/>
  <c r="K124" i="36" s="1"/>
  <c r="F21" i="37"/>
  <c r="F21" i="43"/>
  <c r="F21" i="36"/>
  <c r="F21" i="33"/>
  <c r="F21" i="21"/>
  <c r="H113" i="42"/>
  <c r="H113" i="36"/>
  <c r="H113" i="37"/>
  <c r="H113" i="33"/>
  <c r="H113" i="21"/>
  <c r="J21" i="10"/>
  <c r="J23" i="10"/>
  <c r="I34" i="37"/>
  <c r="I34" i="43"/>
  <c r="I34" i="42"/>
  <c r="I34" i="36"/>
  <c r="I34" i="33"/>
  <c r="I34" i="21"/>
  <c r="J257" i="10"/>
  <c r="F37" i="33"/>
  <c r="F37" i="43"/>
  <c r="F37" i="42"/>
  <c r="F37" i="21"/>
  <c r="F37" i="36"/>
  <c r="F37" i="37"/>
  <c r="H87" i="33"/>
  <c r="H87" i="37"/>
  <c r="H87" i="42"/>
  <c r="H87" i="21"/>
  <c r="H87" i="36"/>
  <c r="H87" i="43"/>
  <c r="H152" i="33"/>
  <c r="H152" i="36"/>
  <c r="H152" i="42"/>
  <c r="H151" i="21"/>
  <c r="H152" i="37"/>
  <c r="H136" i="43"/>
  <c r="F21" i="42" l="1"/>
  <c r="E99" i="36"/>
  <c r="F116" i="33"/>
  <c r="E50" i="21"/>
  <c r="E50" i="36"/>
  <c r="E50" i="37"/>
  <c r="F132" i="33"/>
  <c r="F132" i="37"/>
  <c r="F49" i="37"/>
  <c r="F20" i="43"/>
  <c r="F20" i="36"/>
  <c r="F20" i="21"/>
  <c r="E49" i="21"/>
  <c r="F20" i="33"/>
  <c r="F49" i="42"/>
  <c r="F49" i="36"/>
  <c r="F118" i="33"/>
  <c r="F118" i="37"/>
  <c r="F117" i="21"/>
  <c r="F49" i="33"/>
  <c r="F49" i="21"/>
  <c r="E115" i="37"/>
  <c r="F69" i="33"/>
  <c r="F98" i="43"/>
  <c r="E116" i="21"/>
  <c r="E115" i="42"/>
  <c r="E113" i="42"/>
  <c r="E115" i="33"/>
  <c r="E115" i="36"/>
  <c r="F115" i="33"/>
  <c r="E115" i="21"/>
  <c r="F130" i="33"/>
  <c r="E33" i="43"/>
  <c r="G36" i="36"/>
  <c r="G36" i="33"/>
  <c r="G36" i="43"/>
  <c r="G36" i="21"/>
  <c r="G36" i="37"/>
  <c r="G36" i="42"/>
  <c r="F69" i="43"/>
  <c r="F69" i="42"/>
  <c r="F69" i="21"/>
  <c r="F69" i="37"/>
  <c r="E36" i="33"/>
  <c r="E36" i="43"/>
  <c r="E36" i="36"/>
  <c r="E36" i="42"/>
  <c r="E36" i="37"/>
  <c r="E36" i="21"/>
  <c r="AC8" i="43"/>
  <c r="K8" i="43"/>
  <c r="E129" i="37"/>
  <c r="F69" i="36"/>
  <c r="E34" i="43"/>
  <c r="F50" i="43"/>
  <c r="E70" i="43"/>
  <c r="E129" i="21"/>
  <c r="F86" i="37"/>
  <c r="E51" i="36"/>
  <c r="F130" i="37"/>
  <c r="E52" i="37"/>
  <c r="F67" i="42"/>
  <c r="E151" i="42"/>
  <c r="F115" i="42"/>
  <c r="E113" i="37"/>
  <c r="F50" i="37"/>
  <c r="E38" i="33"/>
  <c r="F66" i="42"/>
  <c r="E147" i="37"/>
  <c r="E65" i="21"/>
  <c r="E98" i="43"/>
  <c r="F82" i="42"/>
  <c r="F16" i="43"/>
  <c r="E118" i="43"/>
  <c r="E131" i="42"/>
  <c r="F134" i="42"/>
  <c r="E33" i="42"/>
  <c r="E99" i="43"/>
  <c r="E149" i="36"/>
  <c r="E148" i="36"/>
  <c r="E53" i="36"/>
  <c r="F19" i="43"/>
  <c r="E102" i="33"/>
  <c r="F68" i="42"/>
  <c r="F17" i="33"/>
  <c r="E114" i="21"/>
  <c r="E69" i="36"/>
  <c r="F113" i="42"/>
  <c r="F100" i="37"/>
  <c r="E116" i="43"/>
  <c r="E113" i="36"/>
  <c r="E130" i="43"/>
  <c r="F51" i="37"/>
  <c r="F18" i="36"/>
  <c r="F54" i="42"/>
  <c r="E99" i="37"/>
  <c r="E130" i="21"/>
  <c r="E33" i="33"/>
  <c r="AE33" i="33" s="1"/>
  <c r="F54" i="36"/>
  <c r="E148" i="42"/>
  <c r="E33" i="21"/>
  <c r="F134" i="36"/>
  <c r="F54" i="33"/>
  <c r="E148" i="37"/>
  <c r="E99" i="42"/>
  <c r="E148" i="21"/>
  <c r="E149" i="42"/>
  <c r="E33" i="37"/>
  <c r="F54" i="37"/>
  <c r="E147" i="21"/>
  <c r="E132" i="43"/>
  <c r="E131" i="33"/>
  <c r="E131" i="36"/>
  <c r="E133" i="43"/>
  <c r="E33" i="36"/>
  <c r="E99" i="21"/>
  <c r="E131" i="37"/>
  <c r="F97" i="21"/>
  <c r="E148" i="33"/>
  <c r="E149" i="33"/>
  <c r="F68" i="21"/>
  <c r="F129" i="33"/>
  <c r="F129" i="37"/>
  <c r="F51" i="21"/>
  <c r="AK58" i="36"/>
  <c r="E146" i="37"/>
  <c r="F52" i="36"/>
  <c r="F128" i="21"/>
  <c r="F68" i="43"/>
  <c r="F129" i="36"/>
  <c r="F51" i="36"/>
  <c r="U58" i="36"/>
  <c r="V58" i="36" s="1"/>
  <c r="E146" i="36"/>
  <c r="F68" i="33"/>
  <c r="F68" i="36"/>
  <c r="E100" i="33"/>
  <c r="F51" i="43"/>
  <c r="F129" i="42"/>
  <c r="E102" i="36"/>
  <c r="E100" i="43"/>
  <c r="F51" i="42"/>
  <c r="E145" i="21"/>
  <c r="E146" i="42"/>
  <c r="S146" i="42" s="1"/>
  <c r="E102" i="21"/>
  <c r="E100" i="42"/>
  <c r="Y58" i="36"/>
  <c r="F52" i="33"/>
  <c r="F68" i="37"/>
  <c r="F51" i="33"/>
  <c r="E146" i="33"/>
  <c r="AE146" i="33" s="1"/>
  <c r="F52" i="43"/>
  <c r="E69" i="33"/>
  <c r="F130" i="21"/>
  <c r="Y130" i="21" s="1"/>
  <c r="E69" i="43"/>
  <c r="E38" i="43"/>
  <c r="E67" i="37"/>
  <c r="E69" i="21"/>
  <c r="F113" i="33"/>
  <c r="E67" i="43"/>
  <c r="F113" i="36"/>
  <c r="F131" i="33"/>
  <c r="F115" i="43"/>
  <c r="F131" i="36"/>
  <c r="F131" i="37"/>
  <c r="E67" i="42"/>
  <c r="E69" i="42"/>
  <c r="E67" i="33"/>
  <c r="F131" i="42"/>
  <c r="AE131" i="42" s="1"/>
  <c r="E67" i="21"/>
  <c r="E67" i="36"/>
  <c r="E69" i="37"/>
  <c r="F113" i="37"/>
  <c r="F113" i="21"/>
  <c r="AK9" i="42"/>
  <c r="E147" i="33"/>
  <c r="AE106" i="43"/>
  <c r="F16" i="36"/>
  <c r="F52" i="37"/>
  <c r="E102" i="42"/>
  <c r="F16" i="42"/>
  <c r="F52" i="42"/>
  <c r="E102" i="43"/>
  <c r="F19" i="42"/>
  <c r="E102" i="37"/>
  <c r="F52" i="21"/>
  <c r="E147" i="36"/>
  <c r="F114" i="21"/>
  <c r="E134" i="33"/>
  <c r="E134" i="37"/>
  <c r="F82" i="37"/>
  <c r="F16" i="21"/>
  <c r="E65" i="42"/>
  <c r="E38" i="42"/>
  <c r="Y38" i="42" s="1"/>
  <c r="F114" i="33"/>
  <c r="F114" i="37"/>
  <c r="E134" i="36"/>
  <c r="F82" i="33"/>
  <c r="F114" i="36"/>
  <c r="F82" i="36"/>
  <c r="E38" i="36"/>
  <c r="AE38" i="36" s="1"/>
  <c r="F114" i="42"/>
  <c r="E98" i="33"/>
  <c r="E32" i="33"/>
  <c r="E134" i="42"/>
  <c r="E38" i="21"/>
  <c r="E133" i="21"/>
  <c r="F82" i="43"/>
  <c r="F16" i="33"/>
  <c r="F16" i="37"/>
  <c r="E38" i="37"/>
  <c r="F82" i="21"/>
  <c r="F65" i="42"/>
  <c r="E51" i="42"/>
  <c r="Y41" i="37"/>
  <c r="F67" i="36"/>
  <c r="F132" i="36"/>
  <c r="E50" i="43"/>
  <c r="E150" i="21"/>
  <c r="E135" i="43"/>
  <c r="AK135" i="43" s="1"/>
  <c r="F99" i="33"/>
  <c r="E49" i="33"/>
  <c r="AK49" i="33" s="1"/>
  <c r="F130" i="36"/>
  <c r="F115" i="37"/>
  <c r="AK115" i="37" s="1"/>
  <c r="E116" i="42"/>
  <c r="E52" i="43"/>
  <c r="AK41" i="37"/>
  <c r="F67" i="33"/>
  <c r="E151" i="33"/>
  <c r="E151" i="37"/>
  <c r="F65" i="21"/>
  <c r="F65" i="43"/>
  <c r="F99" i="36"/>
  <c r="F86" i="21"/>
  <c r="AK86" i="21" s="1"/>
  <c r="F86" i="42"/>
  <c r="E49" i="36"/>
  <c r="E51" i="33"/>
  <c r="E52" i="33"/>
  <c r="F99" i="21"/>
  <c r="F129" i="21"/>
  <c r="E51" i="37"/>
  <c r="F53" i="43"/>
  <c r="AE41" i="37"/>
  <c r="F132" i="42"/>
  <c r="F118" i="42"/>
  <c r="F99" i="37"/>
  <c r="S99" i="37" s="1"/>
  <c r="F86" i="33"/>
  <c r="Y86" i="33" s="1"/>
  <c r="F86" i="43"/>
  <c r="F130" i="42"/>
  <c r="E116" i="33"/>
  <c r="E116" i="37"/>
  <c r="E52" i="21"/>
  <c r="F99" i="43"/>
  <c r="E51" i="21"/>
  <c r="E52" i="42"/>
  <c r="E49" i="37"/>
  <c r="E50" i="42"/>
  <c r="E151" i="36"/>
  <c r="F65" i="33"/>
  <c r="F65" i="36"/>
  <c r="F99" i="42"/>
  <c r="E49" i="43"/>
  <c r="E116" i="36"/>
  <c r="E34" i="21"/>
  <c r="E113" i="21"/>
  <c r="E51" i="43"/>
  <c r="E52" i="36"/>
  <c r="F131" i="21"/>
  <c r="E50" i="33"/>
  <c r="F115" i="21"/>
  <c r="AK115" i="21" s="1"/>
  <c r="F53" i="36"/>
  <c r="F102" i="33"/>
  <c r="E132" i="33"/>
  <c r="AK132" i="33" s="1"/>
  <c r="F100" i="21"/>
  <c r="F102" i="36"/>
  <c r="F50" i="42"/>
  <c r="E132" i="36"/>
  <c r="F53" i="33"/>
  <c r="F53" i="21"/>
  <c r="F102" i="21"/>
  <c r="F102" i="37"/>
  <c r="F50" i="21"/>
  <c r="F83" i="42"/>
  <c r="F53" i="42"/>
  <c r="F53" i="37"/>
  <c r="F102" i="42"/>
  <c r="F50" i="33"/>
  <c r="E132" i="42"/>
  <c r="F102" i="43"/>
  <c r="F50" i="36"/>
  <c r="S50" i="36" s="1"/>
  <c r="E131" i="21"/>
  <c r="F81" i="21"/>
  <c r="Y81" i="21" s="1"/>
  <c r="E34" i="33"/>
  <c r="AK34" i="33" s="1"/>
  <c r="E34" i="37"/>
  <c r="F83" i="33"/>
  <c r="AK83" i="33" s="1"/>
  <c r="F81" i="33"/>
  <c r="F81" i="37"/>
  <c r="E34" i="36"/>
  <c r="AE34" i="36" s="1"/>
  <c r="F100" i="36"/>
  <c r="F83" i="37"/>
  <c r="AK83" i="37" s="1"/>
  <c r="E34" i="42"/>
  <c r="F100" i="42"/>
  <c r="S137" i="33"/>
  <c r="F83" i="36"/>
  <c r="S83" i="36" s="1"/>
  <c r="F81" i="42"/>
  <c r="F81" i="43"/>
  <c r="F100" i="43"/>
  <c r="F83" i="43"/>
  <c r="F100" i="33"/>
  <c r="F83" i="21"/>
  <c r="F81" i="36"/>
  <c r="S81" i="36" s="1"/>
  <c r="F116" i="42"/>
  <c r="E53" i="37"/>
  <c r="F19" i="37"/>
  <c r="E65" i="43"/>
  <c r="F66" i="36"/>
  <c r="E100" i="36"/>
  <c r="F18" i="21"/>
  <c r="F18" i="43"/>
  <c r="E98" i="42"/>
  <c r="E53" i="43"/>
  <c r="E128" i="21"/>
  <c r="E100" i="37"/>
  <c r="E131" i="43"/>
  <c r="AK131" i="43" s="1"/>
  <c r="F116" i="36"/>
  <c r="E98" i="21"/>
  <c r="E53" i="33"/>
  <c r="F19" i="21"/>
  <c r="F66" i="21"/>
  <c r="F66" i="43"/>
  <c r="E100" i="21"/>
  <c r="F18" i="37"/>
  <c r="E98" i="36"/>
  <c r="E65" i="33"/>
  <c r="E65" i="36"/>
  <c r="E129" i="36"/>
  <c r="F18" i="33"/>
  <c r="E147" i="42"/>
  <c r="F116" i="37"/>
  <c r="E98" i="37"/>
  <c r="E53" i="21"/>
  <c r="F19" i="33"/>
  <c r="E65" i="37"/>
  <c r="E129" i="33"/>
  <c r="F66" i="33"/>
  <c r="F18" i="42"/>
  <c r="E146" i="21"/>
  <c r="F116" i="21"/>
  <c r="E53" i="42"/>
  <c r="F19" i="36"/>
  <c r="E129" i="42"/>
  <c r="F66" i="37"/>
  <c r="F70" i="36"/>
  <c r="F17" i="21"/>
  <c r="S17" i="21" s="1"/>
  <c r="F17" i="36"/>
  <c r="Y17" i="36" s="1"/>
  <c r="E68" i="43"/>
  <c r="F84" i="33"/>
  <c r="F84" i="36"/>
  <c r="E97" i="36"/>
  <c r="E70" i="33"/>
  <c r="E118" i="33"/>
  <c r="E118" i="37"/>
  <c r="F97" i="33"/>
  <c r="F98" i="21"/>
  <c r="E68" i="33"/>
  <c r="F84" i="37"/>
  <c r="E114" i="33"/>
  <c r="E97" i="33"/>
  <c r="F134" i="33"/>
  <c r="E70" i="36"/>
  <c r="E118" i="36"/>
  <c r="F97" i="37"/>
  <c r="F17" i="42"/>
  <c r="F98" i="37"/>
  <c r="E68" i="21"/>
  <c r="E114" i="36"/>
  <c r="F118" i="43"/>
  <c r="F133" i="21"/>
  <c r="E70" i="21"/>
  <c r="E70" i="42"/>
  <c r="F97" i="36"/>
  <c r="F17" i="43"/>
  <c r="F98" i="36"/>
  <c r="E68" i="37"/>
  <c r="E114" i="37"/>
  <c r="E97" i="21"/>
  <c r="F134" i="37"/>
  <c r="AK134" i="37" s="1"/>
  <c r="E118" i="42"/>
  <c r="F70" i="33"/>
  <c r="F70" i="43"/>
  <c r="F97" i="43"/>
  <c r="E68" i="36"/>
  <c r="F84" i="42"/>
  <c r="E97" i="37"/>
  <c r="E70" i="37"/>
  <c r="F70" i="42"/>
  <c r="F98" i="42"/>
  <c r="E68" i="42"/>
  <c r="F84" i="21"/>
  <c r="E97" i="43"/>
  <c r="E117" i="21"/>
  <c r="AK117" i="21" s="1"/>
  <c r="F70" i="21"/>
  <c r="F97" i="42"/>
  <c r="F17" i="37"/>
  <c r="F84" i="43"/>
  <c r="E114" i="42"/>
  <c r="E97" i="42"/>
  <c r="E32" i="36"/>
  <c r="AK32" i="36" s="1"/>
  <c r="E114" i="43"/>
  <c r="E37" i="21"/>
  <c r="E37" i="43"/>
  <c r="E130" i="33"/>
  <c r="E66" i="43"/>
  <c r="E130" i="36"/>
  <c r="E37" i="36"/>
  <c r="AK37" i="36" s="1"/>
  <c r="E66" i="42"/>
  <c r="E32" i="43"/>
  <c r="E130" i="37"/>
  <c r="E66" i="33"/>
  <c r="E32" i="21"/>
  <c r="E32" i="42"/>
  <c r="E37" i="42"/>
  <c r="AK37" i="42" s="1"/>
  <c r="E66" i="37"/>
  <c r="E130" i="42"/>
  <c r="E37" i="37"/>
  <c r="E32" i="37"/>
  <c r="E37" i="33"/>
  <c r="Y37" i="33" s="1"/>
  <c r="AA93" i="42"/>
  <c r="AB93" i="42" s="1"/>
  <c r="Y9" i="42"/>
  <c r="U9" i="42"/>
  <c r="V9" i="42" s="1"/>
  <c r="S93" i="33"/>
  <c r="S93" i="42"/>
  <c r="U106" i="43"/>
  <c r="V106" i="43" s="1"/>
  <c r="Y106" i="43"/>
  <c r="Y143" i="21"/>
  <c r="Z8" i="42"/>
  <c r="S8" i="42"/>
  <c r="AE8" i="42"/>
  <c r="U142" i="21"/>
  <c r="V142" i="21" s="1"/>
  <c r="Y77" i="42"/>
  <c r="AK14" i="43"/>
  <c r="AK142" i="21"/>
  <c r="S77" i="42"/>
  <c r="Z14" i="43"/>
  <c r="Y142" i="21"/>
  <c r="AE77" i="42"/>
  <c r="S14" i="43"/>
  <c r="U143" i="21"/>
  <c r="V143" i="21" s="1"/>
  <c r="S13" i="33"/>
  <c r="AK143" i="21"/>
  <c r="AE107" i="36"/>
  <c r="Y125" i="36"/>
  <c r="AK105" i="37"/>
  <c r="AG93" i="42"/>
  <c r="AH93" i="42" s="1"/>
  <c r="U105" i="37"/>
  <c r="V105" i="37" s="1"/>
  <c r="Y105" i="37"/>
  <c r="S46" i="33"/>
  <c r="S96" i="37"/>
  <c r="S64" i="42"/>
  <c r="Y96" i="37"/>
  <c r="S74" i="37"/>
  <c r="Y74" i="37"/>
  <c r="AK96" i="37"/>
  <c r="Y77" i="36"/>
  <c r="AE74" i="37"/>
  <c r="Z13" i="36"/>
  <c r="AK107" i="36"/>
  <c r="Y13" i="33"/>
  <c r="AM125" i="33"/>
  <c r="AN125" i="33" s="1"/>
  <c r="AE13" i="33"/>
  <c r="Y107" i="36"/>
  <c r="AK78" i="37"/>
  <c r="AE8" i="37"/>
  <c r="AL27" i="21"/>
  <c r="AG62" i="36"/>
  <c r="AH62" i="36" s="1"/>
  <c r="Y105" i="42"/>
  <c r="Z78" i="37"/>
  <c r="AE13" i="36"/>
  <c r="S26" i="43"/>
  <c r="AK13" i="36"/>
  <c r="AM10" i="42"/>
  <c r="AN10" i="42" s="1"/>
  <c r="AK128" i="42"/>
  <c r="AK12" i="37"/>
  <c r="Y12" i="37"/>
  <c r="S12" i="37"/>
  <c r="AE12" i="37"/>
  <c r="Y93" i="33"/>
  <c r="AL137" i="33"/>
  <c r="AG93" i="33"/>
  <c r="AH93" i="33" s="1"/>
  <c r="S107" i="42"/>
  <c r="Y137" i="33"/>
  <c r="AE12" i="21"/>
  <c r="AK12" i="21"/>
  <c r="S12" i="21"/>
  <c r="Y12" i="21"/>
  <c r="S91" i="21"/>
  <c r="AM125" i="36"/>
  <c r="AN125" i="36" s="1"/>
  <c r="Z8" i="37"/>
  <c r="S125" i="36"/>
  <c r="AK26" i="33"/>
  <c r="S80" i="36"/>
  <c r="AK29" i="43"/>
  <c r="AA80" i="36"/>
  <c r="AB80" i="36" s="1"/>
  <c r="U10" i="43"/>
  <c r="V10" i="43" s="1"/>
  <c r="AE80" i="36"/>
  <c r="AK8" i="37"/>
  <c r="AL96" i="42"/>
  <c r="AK10" i="43"/>
  <c r="Y128" i="42"/>
  <c r="AF27" i="33"/>
  <c r="AK58" i="43"/>
  <c r="S58" i="43"/>
  <c r="Y58" i="43"/>
  <c r="Y10" i="43"/>
  <c r="S128" i="42"/>
  <c r="Z64" i="42"/>
  <c r="AK91" i="21"/>
  <c r="AE64" i="42"/>
  <c r="AG91" i="21"/>
  <c r="AH91" i="21" s="1"/>
  <c r="Y137" i="42"/>
  <c r="S107" i="21"/>
  <c r="AA93" i="43"/>
  <c r="AB93" i="43" s="1"/>
  <c r="S137" i="42"/>
  <c r="Y107" i="21"/>
  <c r="S93" i="43"/>
  <c r="AG137" i="42"/>
  <c r="AH137" i="42" s="1"/>
  <c r="AE107" i="21"/>
  <c r="AE93" i="43"/>
  <c r="Y93" i="36"/>
  <c r="S144" i="33"/>
  <c r="AE62" i="42"/>
  <c r="AK144" i="33"/>
  <c r="AK62" i="42"/>
  <c r="AL27" i="43"/>
  <c r="AK26" i="42"/>
  <c r="S26" i="42"/>
  <c r="Y27" i="43"/>
  <c r="U93" i="36"/>
  <c r="V93" i="36" s="1"/>
  <c r="Y26" i="42"/>
  <c r="S27" i="43"/>
  <c r="AE93" i="36"/>
  <c r="AE126" i="36"/>
  <c r="S48" i="37"/>
  <c r="AK91" i="36"/>
  <c r="Y48" i="37"/>
  <c r="Y144" i="33"/>
  <c r="U62" i="42"/>
  <c r="V62" i="42" s="1"/>
  <c r="AE48" i="37"/>
  <c r="Y75" i="33"/>
  <c r="AF42" i="36"/>
  <c r="AK96" i="43"/>
  <c r="Z122" i="36"/>
  <c r="AK42" i="36"/>
  <c r="S96" i="43"/>
  <c r="S122" i="36"/>
  <c r="S42" i="36"/>
  <c r="Z96" i="43"/>
  <c r="AE122" i="36"/>
  <c r="AE138" i="36"/>
  <c r="AK77" i="37"/>
  <c r="S125" i="33"/>
  <c r="AM26" i="43"/>
  <c r="AN26" i="43" s="1"/>
  <c r="AL62" i="36"/>
  <c r="Y62" i="36"/>
  <c r="T80" i="21"/>
  <c r="S108" i="33"/>
  <c r="U27" i="21"/>
  <c r="V27" i="21" s="1"/>
  <c r="Y125" i="33"/>
  <c r="Y27" i="21"/>
  <c r="Y141" i="37"/>
  <c r="AE10" i="42"/>
  <c r="Y10" i="42"/>
  <c r="AK46" i="36"/>
  <c r="Y10" i="37"/>
  <c r="S41" i="33"/>
  <c r="S64" i="21"/>
  <c r="S24" i="36"/>
  <c r="Y126" i="33"/>
  <c r="Y111" i="21"/>
  <c r="S126" i="33"/>
  <c r="AE141" i="37"/>
  <c r="AE24" i="36"/>
  <c r="AL64" i="21"/>
  <c r="AE111" i="21"/>
  <c r="AE10" i="37"/>
  <c r="T29" i="42"/>
  <c r="AE126" i="33"/>
  <c r="T9" i="37"/>
  <c r="S59" i="42"/>
  <c r="AL24" i="36"/>
  <c r="Y64" i="21"/>
  <c r="Y29" i="42"/>
  <c r="Y9" i="37"/>
  <c r="AE59" i="42"/>
  <c r="AF27" i="37"/>
  <c r="AE29" i="42"/>
  <c r="AE9" i="37"/>
  <c r="Z59" i="42"/>
  <c r="Y27" i="37"/>
  <c r="AE41" i="33"/>
  <c r="S26" i="36"/>
  <c r="S27" i="37"/>
  <c r="Y41" i="33"/>
  <c r="AK141" i="37"/>
  <c r="AK111" i="21"/>
  <c r="AK10" i="37"/>
  <c r="Y106" i="21"/>
  <c r="AE61" i="42"/>
  <c r="AK24" i="21"/>
  <c r="AA58" i="42"/>
  <c r="AB58" i="42" s="1"/>
  <c r="AE58" i="42"/>
  <c r="S58" i="42"/>
  <c r="Y47" i="42"/>
  <c r="Y60" i="42"/>
  <c r="Y24" i="42"/>
  <c r="Y41" i="43"/>
  <c r="AF74" i="33"/>
  <c r="Y107" i="42"/>
  <c r="Y9" i="43"/>
  <c r="S142" i="33"/>
  <c r="AE61" i="33"/>
  <c r="AL107" i="42"/>
  <c r="AK137" i="37"/>
  <c r="AK9" i="43"/>
  <c r="T9" i="43"/>
  <c r="AK64" i="43"/>
  <c r="AF122" i="37"/>
  <c r="S62" i="43"/>
  <c r="AE76" i="37"/>
  <c r="AK112" i="43"/>
  <c r="AE111" i="36"/>
  <c r="Y80" i="42"/>
  <c r="AK15" i="43"/>
  <c r="AE139" i="36"/>
  <c r="AK111" i="33"/>
  <c r="S58" i="33"/>
  <c r="S60" i="42"/>
  <c r="S61" i="42"/>
  <c r="Y58" i="33"/>
  <c r="AE60" i="42"/>
  <c r="AK24" i="37"/>
  <c r="Z24" i="21"/>
  <c r="AK31" i="42"/>
  <c r="AK61" i="42"/>
  <c r="Y41" i="21"/>
  <c r="AE58" i="33"/>
  <c r="Z24" i="37"/>
  <c r="U24" i="21"/>
  <c r="V24" i="21" s="1"/>
  <c r="S109" i="43"/>
  <c r="AM9" i="21"/>
  <c r="AN9" i="21" s="1"/>
  <c r="S24" i="37"/>
  <c r="U74" i="42"/>
  <c r="V74" i="42" s="1"/>
  <c r="Y124" i="21"/>
  <c r="Y109" i="43"/>
  <c r="T9" i="21"/>
  <c r="S124" i="21"/>
  <c r="AE109" i="43"/>
  <c r="AE9" i="21"/>
  <c r="AM124" i="21"/>
  <c r="AN124" i="21" s="1"/>
  <c r="AK26" i="37"/>
  <c r="AE78" i="33"/>
  <c r="AK105" i="36"/>
  <c r="AE137" i="37"/>
  <c r="AK61" i="43"/>
  <c r="T137" i="37"/>
  <c r="AK74" i="33"/>
  <c r="AA122" i="37"/>
  <c r="AB122" i="37" s="1"/>
  <c r="AA125" i="21"/>
  <c r="AB125" i="21" s="1"/>
  <c r="Y59" i="36"/>
  <c r="S74" i="33"/>
  <c r="AK122" i="37"/>
  <c r="AE44" i="33"/>
  <c r="S127" i="21"/>
  <c r="S59" i="43"/>
  <c r="AK42" i="43"/>
  <c r="AE91" i="36"/>
  <c r="S139" i="36"/>
  <c r="AF112" i="43"/>
  <c r="T15" i="43"/>
  <c r="Z9" i="36"/>
  <c r="AL91" i="43"/>
  <c r="AK29" i="37"/>
  <c r="Z144" i="42"/>
  <c r="T80" i="42"/>
  <c r="S111" i="36"/>
  <c r="Y62" i="43"/>
  <c r="AE15" i="43"/>
  <c r="Y29" i="37"/>
  <c r="AE144" i="42"/>
  <c r="AE80" i="42"/>
  <c r="AE78" i="43"/>
  <c r="Y111" i="36"/>
  <c r="AE62" i="43"/>
  <c r="U29" i="37"/>
  <c r="V29" i="37" s="1"/>
  <c r="AK144" i="42"/>
  <c r="Y78" i="43"/>
  <c r="Y89" i="21"/>
  <c r="S10" i="33"/>
  <c r="AA59" i="43"/>
  <c r="AB59" i="43" s="1"/>
  <c r="AE42" i="43"/>
  <c r="AM78" i="43"/>
  <c r="AN78" i="43" s="1"/>
  <c r="S89" i="21"/>
  <c r="AK59" i="43"/>
  <c r="Z42" i="43"/>
  <c r="Y91" i="36"/>
  <c r="AK139" i="36"/>
  <c r="S112" i="43"/>
  <c r="AG89" i="21"/>
  <c r="AH89" i="21" s="1"/>
  <c r="AE111" i="42"/>
  <c r="S9" i="36"/>
  <c r="AK111" i="42"/>
  <c r="Y76" i="37"/>
  <c r="AK9" i="36"/>
  <c r="AM64" i="36"/>
  <c r="AN64" i="36" s="1"/>
  <c r="AE11" i="36"/>
  <c r="S111" i="42"/>
  <c r="AK63" i="42"/>
  <c r="AE91" i="43"/>
  <c r="AK10" i="33"/>
  <c r="Y10" i="33"/>
  <c r="AK121" i="43"/>
  <c r="AE64" i="36"/>
  <c r="AK11" i="36"/>
  <c r="Y63" i="42"/>
  <c r="AK76" i="37"/>
  <c r="Y64" i="36"/>
  <c r="S11" i="36"/>
  <c r="S120" i="21"/>
  <c r="U63" i="42"/>
  <c r="V63" i="42" s="1"/>
  <c r="S91" i="43"/>
  <c r="U10" i="21"/>
  <c r="V10" i="21" s="1"/>
  <c r="AG26" i="33"/>
  <c r="AH26" i="33" s="1"/>
  <c r="AE96" i="42"/>
  <c r="U110" i="43"/>
  <c r="V110" i="43" s="1"/>
  <c r="S27" i="33"/>
  <c r="Y126" i="36"/>
  <c r="S143" i="42"/>
  <c r="AE92" i="36"/>
  <c r="U96" i="42"/>
  <c r="V96" i="42" s="1"/>
  <c r="Y47" i="33"/>
  <c r="AE75" i="33"/>
  <c r="Y122" i="33"/>
  <c r="AK126" i="36"/>
  <c r="Y145" i="33"/>
  <c r="Y92" i="36"/>
  <c r="Y128" i="33"/>
  <c r="Y126" i="21"/>
  <c r="AK47" i="33"/>
  <c r="AK75" i="33"/>
  <c r="AK122" i="33"/>
  <c r="AK92" i="36"/>
  <c r="S78" i="36"/>
  <c r="S128" i="33"/>
  <c r="S126" i="21"/>
  <c r="S123" i="42"/>
  <c r="AM58" i="21"/>
  <c r="AN58" i="21" s="1"/>
  <c r="AE47" i="33"/>
  <c r="S122" i="33"/>
  <c r="S29" i="43"/>
  <c r="S140" i="21"/>
  <c r="AK145" i="33"/>
  <c r="AA78" i="36"/>
  <c r="AB78" i="36" s="1"/>
  <c r="Y110" i="43"/>
  <c r="AM128" i="33"/>
  <c r="AN128" i="33" s="1"/>
  <c r="AE126" i="21"/>
  <c r="AA123" i="42"/>
  <c r="AB123" i="42" s="1"/>
  <c r="S58" i="21"/>
  <c r="AL140" i="21"/>
  <c r="AE145" i="33"/>
  <c r="Y29" i="43"/>
  <c r="Y140" i="21"/>
  <c r="Y26" i="33"/>
  <c r="AE78" i="36"/>
  <c r="AK110" i="43"/>
  <c r="Z27" i="33"/>
  <c r="AE123" i="42"/>
  <c r="Y58" i="21"/>
  <c r="Y143" i="42"/>
  <c r="AK106" i="36"/>
  <c r="AM89" i="43"/>
  <c r="AN89" i="43" s="1"/>
  <c r="AE89" i="37"/>
  <c r="Y42" i="21"/>
  <c r="AK48" i="43"/>
  <c r="Y43" i="42"/>
  <c r="S76" i="36"/>
  <c r="Y48" i="43"/>
  <c r="S109" i="37"/>
  <c r="Y94" i="36"/>
  <c r="AE48" i="33"/>
  <c r="S43" i="42"/>
  <c r="AA76" i="36"/>
  <c r="AB76" i="36" s="1"/>
  <c r="T48" i="43"/>
  <c r="Y109" i="37"/>
  <c r="S94" i="36"/>
  <c r="AK46" i="43"/>
  <c r="AE47" i="43"/>
  <c r="AK48" i="33"/>
  <c r="S106" i="36"/>
  <c r="AE43" i="42"/>
  <c r="AG76" i="36"/>
  <c r="AH76" i="36" s="1"/>
  <c r="S89" i="43"/>
  <c r="AE109" i="37"/>
  <c r="AG94" i="36"/>
  <c r="AH94" i="36" s="1"/>
  <c r="Z46" i="43"/>
  <c r="AE42" i="21"/>
  <c r="Y106" i="36"/>
  <c r="Y89" i="43"/>
  <c r="S46" i="43"/>
  <c r="AK42" i="21"/>
  <c r="Y89" i="37"/>
  <c r="AK68" i="42"/>
  <c r="S57" i="43"/>
  <c r="AK30" i="36"/>
  <c r="AE77" i="33"/>
  <c r="Y140" i="42"/>
  <c r="AK77" i="33"/>
  <c r="S105" i="42"/>
  <c r="S125" i="42"/>
  <c r="Y60" i="21"/>
  <c r="AE105" i="42"/>
  <c r="U60" i="21"/>
  <c r="V60" i="21" s="1"/>
  <c r="S125" i="37"/>
  <c r="Y125" i="42"/>
  <c r="AE125" i="42"/>
  <c r="AE60" i="21"/>
  <c r="AK149" i="37"/>
  <c r="AE144" i="37"/>
  <c r="AE46" i="36"/>
  <c r="S111" i="33"/>
  <c r="AE13" i="37"/>
  <c r="AL25" i="36"/>
  <c r="S77" i="33"/>
  <c r="AE95" i="43"/>
  <c r="S46" i="36"/>
  <c r="Y111" i="33"/>
  <c r="AK26" i="21"/>
  <c r="AK143" i="42"/>
  <c r="Y26" i="43"/>
  <c r="Y26" i="21"/>
  <c r="S26" i="21"/>
  <c r="U125" i="21"/>
  <c r="V125" i="21" s="1"/>
  <c r="AA61" i="43"/>
  <c r="AB61" i="43" s="1"/>
  <c r="Y142" i="33"/>
  <c r="Y44" i="33"/>
  <c r="U43" i="33"/>
  <c r="V43" i="33" s="1"/>
  <c r="S30" i="33"/>
  <c r="S61" i="33"/>
  <c r="T59" i="36"/>
  <c r="AG127" i="37"/>
  <c r="AH127" i="37" s="1"/>
  <c r="Y120" i="21"/>
  <c r="AF10" i="21"/>
  <c r="AE121" i="43"/>
  <c r="S64" i="43"/>
  <c r="S41" i="43"/>
  <c r="AE125" i="21"/>
  <c r="AE142" i="33"/>
  <c r="AA127" i="21"/>
  <c r="AB127" i="21" s="1"/>
  <c r="AK44" i="33"/>
  <c r="AK61" i="33"/>
  <c r="AE59" i="36"/>
  <c r="AF120" i="21"/>
  <c r="Y10" i="21"/>
  <c r="S12" i="43"/>
  <c r="Y64" i="43"/>
  <c r="AG41" i="43"/>
  <c r="AH41" i="43" s="1"/>
  <c r="AG127" i="21"/>
  <c r="AH127" i="21" s="1"/>
  <c r="AK28" i="43"/>
  <c r="S91" i="42"/>
  <c r="S107" i="33"/>
  <c r="AA12" i="43"/>
  <c r="AB12" i="43" s="1"/>
  <c r="AK60" i="43"/>
  <c r="S28" i="43"/>
  <c r="AF75" i="36"/>
  <c r="AA91" i="42"/>
  <c r="AB91" i="42" s="1"/>
  <c r="Y107" i="33"/>
  <c r="AE12" i="43"/>
  <c r="S105" i="33"/>
  <c r="Y105" i="33"/>
  <c r="S60" i="43"/>
  <c r="Y28" i="43"/>
  <c r="Y43" i="33"/>
  <c r="Y30" i="33"/>
  <c r="AK75" i="36"/>
  <c r="AE91" i="42"/>
  <c r="AM127" i="37"/>
  <c r="AN127" i="37" s="1"/>
  <c r="AE107" i="33"/>
  <c r="AE105" i="33"/>
  <c r="S61" i="43"/>
  <c r="AA60" i="43"/>
  <c r="AB60" i="43" s="1"/>
  <c r="AE43" i="33"/>
  <c r="AF30" i="33"/>
  <c r="S75" i="36"/>
  <c r="AA127" i="37"/>
  <c r="AB127" i="37" s="1"/>
  <c r="Y121" i="43"/>
  <c r="S77" i="36"/>
  <c r="S77" i="37"/>
  <c r="AK80" i="21"/>
  <c r="Y41" i="36"/>
  <c r="AE108" i="33"/>
  <c r="Y48" i="33"/>
  <c r="Y141" i="42"/>
  <c r="AA46" i="33"/>
  <c r="AB46" i="33" s="1"/>
  <c r="AM138" i="36"/>
  <c r="AN138" i="36" s="1"/>
  <c r="Y77" i="37"/>
  <c r="S90" i="36"/>
  <c r="AE141" i="42"/>
  <c r="AK13" i="43"/>
  <c r="AE46" i="33"/>
  <c r="S138" i="36"/>
  <c r="Y93" i="21"/>
  <c r="AK78" i="21"/>
  <c r="AL89" i="37"/>
  <c r="AK90" i="36"/>
  <c r="U141" i="42"/>
  <c r="V141" i="42" s="1"/>
  <c r="Y13" i="43"/>
  <c r="Y46" i="42"/>
  <c r="AE93" i="21"/>
  <c r="AE90" i="36"/>
  <c r="S13" i="43"/>
  <c r="S46" i="42"/>
  <c r="S24" i="33"/>
  <c r="AE77" i="36"/>
  <c r="AA80" i="21"/>
  <c r="AB80" i="21" s="1"/>
  <c r="AE46" i="42"/>
  <c r="AM41" i="36"/>
  <c r="AN41" i="36" s="1"/>
  <c r="Y108" i="33"/>
  <c r="AE24" i="33"/>
  <c r="AA144" i="37"/>
  <c r="AB144" i="37" s="1"/>
  <c r="AE25" i="36"/>
  <c r="Z95" i="43"/>
  <c r="U93" i="21"/>
  <c r="V93" i="21" s="1"/>
  <c r="Y24" i="33"/>
  <c r="Y125" i="37"/>
  <c r="AK95" i="43"/>
  <c r="AE8" i="21"/>
  <c r="Y96" i="21"/>
  <c r="S121" i="21"/>
  <c r="AE140" i="42"/>
  <c r="S30" i="36"/>
  <c r="AE57" i="43"/>
  <c r="AE125" i="37"/>
  <c r="Y121" i="21"/>
  <c r="Y121" i="33"/>
  <c r="Y8" i="21"/>
  <c r="S139" i="37"/>
  <c r="AE30" i="36"/>
  <c r="AK57" i="43"/>
  <c r="AE121" i="21"/>
  <c r="S42" i="33"/>
  <c r="U121" i="33"/>
  <c r="V121" i="33" s="1"/>
  <c r="Z9" i="33"/>
  <c r="AK13" i="37"/>
  <c r="AA42" i="33"/>
  <c r="AB42" i="33" s="1"/>
  <c r="AE121" i="33"/>
  <c r="AF9" i="33"/>
  <c r="S140" i="42"/>
  <c r="S13" i="37"/>
  <c r="AK144" i="37"/>
  <c r="Y25" i="36"/>
  <c r="AE42" i="33"/>
  <c r="AK15" i="21"/>
  <c r="T31" i="21"/>
  <c r="U15" i="21"/>
  <c r="V15" i="21" s="1"/>
  <c r="AK38" i="33"/>
  <c r="S8" i="21"/>
  <c r="AE123" i="37"/>
  <c r="S96" i="21"/>
  <c r="Y126" i="37"/>
  <c r="Y60" i="36"/>
  <c r="AG96" i="21"/>
  <c r="AH96" i="21" s="1"/>
  <c r="S126" i="37"/>
  <c r="AM60" i="36"/>
  <c r="AN60" i="36" s="1"/>
  <c r="AF126" i="37"/>
  <c r="S123" i="37"/>
  <c r="S60" i="36"/>
  <c r="AK123" i="37"/>
  <c r="S47" i="42"/>
  <c r="Y137" i="36"/>
  <c r="AE105" i="36"/>
  <c r="S41" i="21"/>
  <c r="AE74" i="42"/>
  <c r="AK13" i="21"/>
  <c r="U12" i="36"/>
  <c r="V12" i="36" s="1"/>
  <c r="AK47" i="42"/>
  <c r="AE137" i="36"/>
  <c r="AE41" i="21"/>
  <c r="AK74" i="42"/>
  <c r="Z62" i="33"/>
  <c r="AE76" i="21"/>
  <c r="S13" i="21"/>
  <c r="Y95" i="33"/>
  <c r="Y12" i="36"/>
  <c r="Y11" i="37"/>
  <c r="AK62" i="33"/>
  <c r="Y76" i="21"/>
  <c r="AF13" i="21"/>
  <c r="S95" i="33"/>
  <c r="Y89" i="33"/>
  <c r="AE12" i="36"/>
  <c r="AE11" i="37"/>
  <c r="S62" i="33"/>
  <c r="S27" i="42"/>
  <c r="AK76" i="21"/>
  <c r="AE95" i="33"/>
  <c r="AK78" i="33"/>
  <c r="S89" i="33"/>
  <c r="AK11" i="37"/>
  <c r="S31" i="42"/>
  <c r="AE24" i="42"/>
  <c r="Y26" i="37"/>
  <c r="Z27" i="42"/>
  <c r="U78" i="33"/>
  <c r="V78" i="33" s="1"/>
  <c r="AE89" i="33"/>
  <c r="Y31" i="42"/>
  <c r="S105" i="36"/>
  <c r="AK24" i="42"/>
  <c r="U26" i="37"/>
  <c r="V26" i="37" s="1"/>
  <c r="AG27" i="42"/>
  <c r="AH27" i="42" s="1"/>
  <c r="S79" i="42"/>
  <c r="AE26" i="36"/>
  <c r="AK138" i="21"/>
  <c r="Y48" i="36"/>
  <c r="AE8" i="43"/>
  <c r="AE110" i="21"/>
  <c r="Y78" i="42"/>
  <c r="AG74" i="21"/>
  <c r="AH74" i="21" s="1"/>
  <c r="Y143" i="33"/>
  <c r="AG143" i="36"/>
  <c r="AH143" i="36" s="1"/>
  <c r="AK53" i="36"/>
  <c r="T42" i="42"/>
  <c r="AK121" i="42"/>
  <c r="Y142" i="37"/>
  <c r="AE42" i="42"/>
  <c r="T48" i="36"/>
  <c r="AE8" i="33"/>
  <c r="AE14" i="36"/>
  <c r="AF121" i="42"/>
  <c r="U8" i="43"/>
  <c r="V8" i="43" s="1"/>
  <c r="Y74" i="21"/>
  <c r="S143" i="33"/>
  <c r="S106" i="21"/>
  <c r="Y110" i="21"/>
  <c r="Y79" i="42"/>
  <c r="S142" i="37"/>
  <c r="AE138" i="21"/>
  <c r="AE78" i="42"/>
  <c r="AK42" i="42"/>
  <c r="AK48" i="36"/>
  <c r="AK74" i="21"/>
  <c r="AE143" i="33"/>
  <c r="AK106" i="21"/>
  <c r="AM110" i="21"/>
  <c r="AN110" i="21" s="1"/>
  <c r="AE79" i="42"/>
  <c r="S143" i="36"/>
  <c r="AE142" i="37"/>
  <c r="S138" i="21"/>
  <c r="AM78" i="42"/>
  <c r="AN78" i="42" s="1"/>
  <c r="S112" i="21"/>
  <c r="AK76" i="33"/>
  <c r="AK111" i="43"/>
  <c r="AK143" i="36"/>
  <c r="Z26" i="36"/>
  <c r="Y112" i="21"/>
  <c r="S76" i="33"/>
  <c r="S111" i="43"/>
  <c r="AE112" i="21"/>
  <c r="Y76" i="33"/>
  <c r="AK8" i="33"/>
  <c r="S14" i="36"/>
  <c r="Z111" i="43"/>
  <c r="S33" i="43"/>
  <c r="S8" i="33"/>
  <c r="AK14" i="36"/>
  <c r="S121" i="42"/>
  <c r="AK8" i="43"/>
  <c r="Y47" i="43"/>
  <c r="AE78" i="21"/>
  <c r="U92" i="37"/>
  <c r="V92" i="37" s="1"/>
  <c r="Y54" i="43"/>
  <c r="AE92" i="37"/>
  <c r="Z29" i="33"/>
  <c r="Y62" i="21"/>
  <c r="AE62" i="21"/>
  <c r="AE14" i="33"/>
  <c r="S47" i="43"/>
  <c r="AA92" i="37"/>
  <c r="AB92" i="37" s="1"/>
  <c r="Y78" i="21"/>
  <c r="T9" i="33"/>
  <c r="AK139" i="37"/>
  <c r="T62" i="21"/>
  <c r="AK31" i="21"/>
  <c r="AE101" i="42"/>
  <c r="Z139" i="37"/>
  <c r="Y15" i="21"/>
  <c r="S29" i="33"/>
  <c r="Y57" i="33"/>
  <c r="Y149" i="36"/>
  <c r="AE46" i="21"/>
  <c r="AE29" i="33"/>
  <c r="AK57" i="33"/>
  <c r="AK54" i="37"/>
  <c r="S33" i="21"/>
  <c r="AK14" i="33"/>
  <c r="AK46" i="21"/>
  <c r="AG57" i="33"/>
  <c r="AH57" i="33" s="1"/>
  <c r="AK21" i="37"/>
  <c r="U14" i="33"/>
  <c r="V14" i="33" s="1"/>
  <c r="S46" i="21"/>
  <c r="Z31" i="21"/>
  <c r="Y101" i="43"/>
  <c r="Y148" i="36"/>
  <c r="AE49" i="42"/>
  <c r="AE54" i="21"/>
  <c r="AK18" i="42"/>
  <c r="AE117" i="37"/>
  <c r="AE85" i="33"/>
  <c r="AE38" i="21"/>
  <c r="Y101" i="21"/>
  <c r="AK51" i="36"/>
  <c r="AK18" i="36"/>
  <c r="S85" i="36"/>
  <c r="Y20" i="21"/>
  <c r="Y133" i="33"/>
  <c r="Y21" i="33"/>
  <c r="AE149" i="33"/>
  <c r="AE133" i="42"/>
  <c r="S16" i="43"/>
  <c r="Q41" i="21"/>
  <c r="AC41" i="21"/>
  <c r="W41" i="21"/>
  <c r="AI41" i="21"/>
  <c r="Z137" i="37"/>
  <c r="AA137" i="37"/>
  <c r="AB137" i="37" s="1"/>
  <c r="Y137" i="37"/>
  <c r="Z46" i="21"/>
  <c r="AA46" i="21"/>
  <c r="AB46" i="21" s="1"/>
  <c r="Y46" i="21"/>
  <c r="AL79" i="42"/>
  <c r="AM79" i="42"/>
  <c r="AN79" i="42" s="1"/>
  <c r="AE28" i="37"/>
  <c r="S28" i="37"/>
  <c r="Y28" i="37"/>
  <c r="AK28" i="37"/>
  <c r="AI43" i="42"/>
  <c r="Q43" i="42"/>
  <c r="AC43" i="42"/>
  <c r="W43" i="42"/>
  <c r="AC58" i="33"/>
  <c r="AI58" i="33"/>
  <c r="W58" i="33"/>
  <c r="Q58" i="33"/>
  <c r="AC107" i="42"/>
  <c r="Q107" i="42"/>
  <c r="W107" i="42"/>
  <c r="AI107" i="42"/>
  <c r="AI112" i="21"/>
  <c r="W112" i="21"/>
  <c r="Q112" i="21"/>
  <c r="AC112" i="21"/>
  <c r="G149" i="36"/>
  <c r="K149" i="36" s="1"/>
  <c r="G149" i="37"/>
  <c r="G133" i="43"/>
  <c r="K133" i="43" s="1"/>
  <c r="G149" i="33"/>
  <c r="K149" i="33" s="1"/>
  <c r="G148" i="21"/>
  <c r="K148" i="21" s="1"/>
  <c r="G149" i="42"/>
  <c r="K149" i="42" s="1"/>
  <c r="AF141" i="33"/>
  <c r="AG141" i="33"/>
  <c r="AH141" i="33" s="1"/>
  <c r="AE141" i="33"/>
  <c r="W76" i="21"/>
  <c r="AC76" i="21"/>
  <c r="AI76" i="21"/>
  <c r="Q76" i="21"/>
  <c r="AM89" i="33"/>
  <c r="AN89" i="33" s="1"/>
  <c r="AL89" i="33"/>
  <c r="AK89" i="33"/>
  <c r="AI44" i="21"/>
  <c r="AC44" i="21"/>
  <c r="Q44" i="21"/>
  <c r="W44" i="21"/>
  <c r="AK15" i="36"/>
  <c r="Y15" i="36"/>
  <c r="AE15" i="36"/>
  <c r="Q75" i="37"/>
  <c r="AC75" i="37"/>
  <c r="AI75" i="37"/>
  <c r="W75" i="37"/>
  <c r="Q75" i="42"/>
  <c r="AI75" i="42"/>
  <c r="W75" i="42"/>
  <c r="AC75" i="42"/>
  <c r="AE121" i="37"/>
  <c r="S121" i="37"/>
  <c r="AK121" i="37"/>
  <c r="AI80" i="43"/>
  <c r="AC80" i="43"/>
  <c r="Q80" i="43"/>
  <c r="W80" i="43"/>
  <c r="AI59" i="33"/>
  <c r="AC59" i="33"/>
  <c r="Q59" i="33"/>
  <c r="W59" i="33"/>
  <c r="AC29" i="21"/>
  <c r="W29" i="21"/>
  <c r="AI29" i="21"/>
  <c r="Q29" i="21"/>
  <c r="W47" i="42"/>
  <c r="AI47" i="42"/>
  <c r="Q47" i="42"/>
  <c r="AC47" i="42"/>
  <c r="AI28" i="42"/>
  <c r="AC28" i="42"/>
  <c r="W28" i="42"/>
  <c r="Q28" i="42"/>
  <c r="AK64" i="33"/>
  <c r="AE64" i="33"/>
  <c r="S64" i="33"/>
  <c r="Y64" i="33"/>
  <c r="G50" i="36"/>
  <c r="K50" i="36" s="1"/>
  <c r="G50" i="21"/>
  <c r="G50" i="37"/>
  <c r="K50" i="37" s="1"/>
  <c r="G50" i="42"/>
  <c r="K50" i="42" s="1"/>
  <c r="G50" i="43"/>
  <c r="K50" i="43" s="1"/>
  <c r="G50" i="33"/>
  <c r="K50" i="33" s="1"/>
  <c r="AC63" i="33"/>
  <c r="W63" i="33"/>
  <c r="AI63" i="33"/>
  <c r="Q63" i="33"/>
  <c r="AM143" i="33"/>
  <c r="AN143" i="33" s="1"/>
  <c r="AL143" i="33"/>
  <c r="AK143" i="33"/>
  <c r="G87" i="21"/>
  <c r="G87" i="42"/>
  <c r="G87" i="33"/>
  <c r="G87" i="36"/>
  <c r="G87" i="37"/>
  <c r="G87" i="43"/>
  <c r="AI48" i="21"/>
  <c r="Q48" i="21"/>
  <c r="W48" i="21"/>
  <c r="AC48" i="21"/>
  <c r="AK63" i="37"/>
  <c r="AE63" i="37"/>
  <c r="Y63" i="37"/>
  <c r="S63" i="37"/>
  <c r="AK140" i="33"/>
  <c r="AE140" i="33"/>
  <c r="Y140" i="33"/>
  <c r="S140" i="33"/>
  <c r="U10" i="42"/>
  <c r="V10" i="42" s="1"/>
  <c r="T10" i="42"/>
  <c r="S10" i="42"/>
  <c r="AG106" i="36"/>
  <c r="AH106" i="36" s="1"/>
  <c r="AF106" i="36"/>
  <c r="Y27" i="36"/>
  <c r="AK27" i="36"/>
  <c r="AE27" i="36"/>
  <c r="S27" i="36"/>
  <c r="T141" i="37"/>
  <c r="U141" i="37"/>
  <c r="V141" i="37" s="1"/>
  <c r="S141" i="37"/>
  <c r="Y47" i="21"/>
  <c r="AK47" i="21"/>
  <c r="AE47" i="21"/>
  <c r="S47" i="21"/>
  <c r="Y94" i="43"/>
  <c r="S94" i="43"/>
  <c r="AK94" i="43"/>
  <c r="AE94" i="43"/>
  <c r="AM93" i="21"/>
  <c r="AN93" i="21" s="1"/>
  <c r="AL93" i="21"/>
  <c r="AK93" i="21"/>
  <c r="W128" i="43"/>
  <c r="AC128" i="43"/>
  <c r="AI128" i="43"/>
  <c r="Q128" i="43"/>
  <c r="AC109" i="33"/>
  <c r="AI109" i="33"/>
  <c r="Q109" i="33"/>
  <c r="W109" i="33"/>
  <c r="W107" i="33"/>
  <c r="Q107" i="33"/>
  <c r="AC107" i="33"/>
  <c r="AI107" i="33"/>
  <c r="G103" i="37"/>
  <c r="G103" i="42"/>
  <c r="G103" i="33"/>
  <c r="G103" i="21"/>
  <c r="G103" i="43"/>
  <c r="G103" i="36"/>
  <c r="AI143" i="37"/>
  <c r="Q143" i="37"/>
  <c r="AC143" i="37"/>
  <c r="W143" i="37"/>
  <c r="Q90" i="21"/>
  <c r="AC90" i="21"/>
  <c r="AI90" i="21"/>
  <c r="W90" i="21"/>
  <c r="U91" i="36"/>
  <c r="V91" i="36" s="1"/>
  <c r="T91" i="36"/>
  <c r="W111" i="21"/>
  <c r="AC111" i="21"/>
  <c r="AI111" i="21"/>
  <c r="Q111" i="21"/>
  <c r="S91" i="37"/>
  <c r="AK91" i="37"/>
  <c r="AE91" i="37"/>
  <c r="Y91" i="37"/>
  <c r="AI8" i="21"/>
  <c r="AC8" i="21"/>
  <c r="Q8" i="21"/>
  <c r="W8" i="21"/>
  <c r="Y14" i="21"/>
  <c r="S14" i="21"/>
  <c r="AK14" i="21"/>
  <c r="AE14" i="21"/>
  <c r="Q138" i="21"/>
  <c r="W138" i="21"/>
  <c r="AC138" i="21"/>
  <c r="AI138" i="21"/>
  <c r="Y57" i="42"/>
  <c r="AK57" i="42"/>
  <c r="AE57" i="42"/>
  <c r="S57" i="42"/>
  <c r="Q127" i="21"/>
  <c r="AC127" i="21"/>
  <c r="AI127" i="21"/>
  <c r="W127" i="21"/>
  <c r="W112" i="43"/>
  <c r="AC112" i="43"/>
  <c r="Q112" i="43"/>
  <c r="AI112" i="43"/>
  <c r="AL137" i="36"/>
  <c r="AM137" i="36"/>
  <c r="AN137" i="36" s="1"/>
  <c r="AK137" i="36"/>
  <c r="AF142" i="21"/>
  <c r="AG142" i="21"/>
  <c r="AH142" i="21" s="1"/>
  <c r="AE142" i="21"/>
  <c r="AK109" i="21"/>
  <c r="AE109" i="21"/>
  <c r="Y109" i="21"/>
  <c r="S109" i="21"/>
  <c r="Y43" i="21"/>
  <c r="S43" i="21"/>
  <c r="AE43" i="21"/>
  <c r="AK43" i="21"/>
  <c r="AG9" i="43"/>
  <c r="AH9" i="43" s="1"/>
  <c r="AF9" i="43"/>
  <c r="AL77" i="42"/>
  <c r="AM77" i="42"/>
  <c r="AN77" i="42" s="1"/>
  <c r="AK77" i="42"/>
  <c r="AI92" i="33"/>
  <c r="W92" i="33"/>
  <c r="AC92" i="33"/>
  <c r="Q92" i="33"/>
  <c r="T111" i="21"/>
  <c r="U111" i="21"/>
  <c r="V111" i="21" s="1"/>
  <c r="Q25" i="42"/>
  <c r="AC25" i="42"/>
  <c r="W25" i="42"/>
  <c r="AI25" i="42"/>
  <c r="S73" i="43"/>
  <c r="AE73" i="43"/>
  <c r="AK73" i="43"/>
  <c r="Y73" i="43"/>
  <c r="AK94" i="33"/>
  <c r="S94" i="33"/>
  <c r="Y94" i="33"/>
  <c r="S112" i="42"/>
  <c r="AK112" i="42"/>
  <c r="AE112" i="42"/>
  <c r="Y112" i="42"/>
  <c r="AK137" i="21"/>
  <c r="Y137" i="21"/>
  <c r="AE137" i="21"/>
  <c r="S137" i="21"/>
  <c r="T41" i="37"/>
  <c r="U41" i="37"/>
  <c r="V41" i="37" s="1"/>
  <c r="S41" i="37"/>
  <c r="W108" i="37"/>
  <c r="Q108" i="37"/>
  <c r="AC108" i="37"/>
  <c r="AI108" i="37"/>
  <c r="AI143" i="21"/>
  <c r="Q143" i="21"/>
  <c r="AC143" i="21"/>
  <c r="W143" i="21"/>
  <c r="AL41" i="33"/>
  <c r="AM41" i="33"/>
  <c r="AN41" i="33" s="1"/>
  <c r="AK41" i="33"/>
  <c r="T92" i="36"/>
  <c r="U92" i="36"/>
  <c r="V92" i="36" s="1"/>
  <c r="S92" i="36"/>
  <c r="AL105" i="33"/>
  <c r="AM105" i="33"/>
  <c r="AN105" i="33" s="1"/>
  <c r="AK105" i="33"/>
  <c r="U78" i="42"/>
  <c r="V78" i="42" s="1"/>
  <c r="T78" i="42"/>
  <c r="S78" i="42"/>
  <c r="AE143" i="37"/>
  <c r="Y143" i="37"/>
  <c r="S143" i="37"/>
  <c r="AK143" i="37"/>
  <c r="AF29" i="43"/>
  <c r="AG29" i="43"/>
  <c r="AH29" i="43" s="1"/>
  <c r="AF61" i="43"/>
  <c r="AG61" i="43"/>
  <c r="AH61" i="43" s="1"/>
  <c r="AE61" i="43"/>
  <c r="W10" i="33"/>
  <c r="AI10" i="33"/>
  <c r="Q10" i="33"/>
  <c r="AC10" i="33"/>
  <c r="Y30" i="42"/>
  <c r="S30" i="42"/>
  <c r="AK30" i="42"/>
  <c r="AE30" i="42"/>
  <c r="AF28" i="43"/>
  <c r="AG28" i="43"/>
  <c r="AH28" i="43" s="1"/>
  <c r="AL77" i="36"/>
  <c r="AM77" i="36"/>
  <c r="AN77" i="36" s="1"/>
  <c r="AE59" i="21"/>
  <c r="S59" i="21"/>
  <c r="Y59" i="21"/>
  <c r="Q74" i="37"/>
  <c r="AI74" i="37"/>
  <c r="AC74" i="37"/>
  <c r="W74" i="37"/>
  <c r="AK125" i="43"/>
  <c r="AE125" i="43"/>
  <c r="Y125" i="43"/>
  <c r="S125" i="43"/>
  <c r="AI129" i="43"/>
  <c r="AC129" i="43"/>
  <c r="W129" i="43"/>
  <c r="Q129" i="43"/>
  <c r="AG125" i="36"/>
  <c r="AH125" i="36" s="1"/>
  <c r="AF125" i="36"/>
  <c r="AE125" i="36"/>
  <c r="Z57" i="43"/>
  <c r="AA57" i="43"/>
  <c r="AB57" i="43" s="1"/>
  <c r="Q91" i="43"/>
  <c r="AI91" i="43"/>
  <c r="W91" i="43"/>
  <c r="AC91" i="43"/>
  <c r="AK90" i="33"/>
  <c r="AE90" i="33"/>
  <c r="S90" i="33"/>
  <c r="Y90" i="33"/>
  <c r="AI61" i="43"/>
  <c r="Q61" i="43"/>
  <c r="AC61" i="43"/>
  <c r="W61" i="43"/>
  <c r="W142" i="33"/>
  <c r="AI142" i="33"/>
  <c r="AC142" i="33"/>
  <c r="Q142" i="33"/>
  <c r="Q144" i="36"/>
  <c r="W144" i="36"/>
  <c r="AC144" i="36"/>
  <c r="AI144" i="36"/>
  <c r="S144" i="36"/>
  <c r="AK144" i="36"/>
  <c r="AE144" i="36"/>
  <c r="Q41" i="42"/>
  <c r="W41" i="42"/>
  <c r="AI41" i="42"/>
  <c r="AC41" i="42"/>
  <c r="AM137" i="42"/>
  <c r="AN137" i="42" s="1"/>
  <c r="AL137" i="42"/>
  <c r="Q126" i="37"/>
  <c r="AI126" i="37"/>
  <c r="AC126" i="37"/>
  <c r="W126" i="37"/>
  <c r="Q126" i="42"/>
  <c r="W126" i="42"/>
  <c r="AI126" i="42"/>
  <c r="AC126" i="42"/>
  <c r="Q31" i="42"/>
  <c r="AI31" i="42"/>
  <c r="AC31" i="42"/>
  <c r="W31" i="42"/>
  <c r="AM125" i="42"/>
  <c r="AN125" i="42" s="1"/>
  <c r="AL125" i="42"/>
  <c r="AK125" i="42"/>
  <c r="AC74" i="36"/>
  <c r="W74" i="36"/>
  <c r="AI74" i="36"/>
  <c r="Q74" i="36"/>
  <c r="Q43" i="36"/>
  <c r="AC43" i="36"/>
  <c r="AI43" i="36"/>
  <c r="W43" i="36"/>
  <c r="Q60" i="43"/>
  <c r="W60" i="43"/>
  <c r="AC60" i="43"/>
  <c r="AI60" i="43"/>
  <c r="Q141" i="21"/>
  <c r="W141" i="21"/>
  <c r="AC141" i="21"/>
  <c r="AI141" i="21"/>
  <c r="AF29" i="37"/>
  <c r="AG29" i="37"/>
  <c r="AH29" i="37" s="1"/>
  <c r="AF140" i="21"/>
  <c r="AG140" i="21"/>
  <c r="AH140" i="21" s="1"/>
  <c r="AE140" i="21"/>
  <c r="AK31" i="33"/>
  <c r="AE31" i="33"/>
  <c r="S31" i="33"/>
  <c r="Y31" i="33"/>
  <c r="Q79" i="42"/>
  <c r="AC79" i="42"/>
  <c r="AI79" i="42"/>
  <c r="W79" i="42"/>
  <c r="AE57" i="21"/>
  <c r="AK57" i="21"/>
  <c r="S57" i="21"/>
  <c r="Y57" i="21"/>
  <c r="AC62" i="37"/>
  <c r="Q62" i="37"/>
  <c r="AI62" i="37"/>
  <c r="W62" i="37"/>
  <c r="AE10" i="36"/>
  <c r="Y10" i="36"/>
  <c r="S10" i="36"/>
  <c r="W10" i="42"/>
  <c r="AI10" i="42"/>
  <c r="AC10" i="42"/>
  <c r="Q10" i="42"/>
  <c r="AK89" i="42"/>
  <c r="AE89" i="42"/>
  <c r="Y89" i="42"/>
  <c r="S89" i="42"/>
  <c r="AI124" i="43"/>
  <c r="Q124" i="43"/>
  <c r="W124" i="43"/>
  <c r="AC124" i="43"/>
  <c r="U144" i="42"/>
  <c r="V144" i="42" s="1"/>
  <c r="T144" i="42"/>
  <c r="S144" i="42"/>
  <c r="AI77" i="33"/>
  <c r="Q77" i="33"/>
  <c r="W77" i="33"/>
  <c r="AC77" i="33"/>
  <c r="AC77" i="42"/>
  <c r="AI77" i="42"/>
  <c r="W77" i="42"/>
  <c r="Q77" i="42"/>
  <c r="AK95" i="42"/>
  <c r="AE95" i="42"/>
  <c r="Y95" i="42"/>
  <c r="S95" i="42"/>
  <c r="S31" i="43"/>
  <c r="AK31" i="43"/>
  <c r="AE31" i="43"/>
  <c r="Y31" i="43"/>
  <c r="AI75" i="21"/>
  <c r="AC75" i="21"/>
  <c r="Q75" i="21"/>
  <c r="W75" i="21"/>
  <c r="AE75" i="37"/>
  <c r="S75" i="37"/>
  <c r="Y75" i="37"/>
  <c r="AK75" i="37"/>
  <c r="AC121" i="42"/>
  <c r="AI121" i="42"/>
  <c r="W121" i="42"/>
  <c r="Q121" i="42"/>
  <c r="W80" i="33"/>
  <c r="Q80" i="33"/>
  <c r="AI80" i="33"/>
  <c r="AC80" i="33"/>
  <c r="AM13" i="33"/>
  <c r="AN13" i="33" s="1"/>
  <c r="AL13" i="33"/>
  <c r="AC123" i="36"/>
  <c r="AI123" i="36"/>
  <c r="W123" i="36"/>
  <c r="Q123" i="36"/>
  <c r="AE123" i="36"/>
  <c r="AK123" i="36"/>
  <c r="Y123" i="36"/>
  <c r="AI93" i="43"/>
  <c r="Q93" i="43"/>
  <c r="AC93" i="43"/>
  <c r="W93" i="43"/>
  <c r="AK75" i="21"/>
  <c r="AE75" i="21"/>
  <c r="Y75" i="21"/>
  <c r="Q24" i="21"/>
  <c r="W24" i="21"/>
  <c r="AC24" i="21"/>
  <c r="AI24" i="21"/>
  <c r="U47" i="33"/>
  <c r="V47" i="33" s="1"/>
  <c r="T47" i="33"/>
  <c r="S47" i="33"/>
  <c r="U64" i="36"/>
  <c r="V64" i="36" s="1"/>
  <c r="T64" i="36"/>
  <c r="AM92" i="37"/>
  <c r="AN92" i="37" s="1"/>
  <c r="AL92" i="37"/>
  <c r="AK92" i="37"/>
  <c r="G70" i="33"/>
  <c r="K70" i="33" s="1"/>
  <c r="G70" i="21"/>
  <c r="K70" i="21" s="1"/>
  <c r="G70" i="43"/>
  <c r="K70" i="43" s="1"/>
  <c r="G70" i="42"/>
  <c r="K70" i="42" s="1"/>
  <c r="G70" i="37"/>
  <c r="G70" i="36"/>
  <c r="K70" i="36" s="1"/>
  <c r="AF106" i="21"/>
  <c r="AG106" i="21"/>
  <c r="AH106" i="21" s="1"/>
  <c r="AA24" i="36"/>
  <c r="AB24" i="36" s="1"/>
  <c r="Z24" i="36"/>
  <c r="Y24" i="36"/>
  <c r="Q45" i="42"/>
  <c r="W45" i="42"/>
  <c r="AC45" i="42"/>
  <c r="AI45" i="42"/>
  <c r="AE93" i="37"/>
  <c r="S93" i="37"/>
  <c r="Y93" i="37"/>
  <c r="AA61" i="21"/>
  <c r="AB61" i="21" s="1"/>
  <c r="Z61" i="21"/>
  <c r="Y61" i="21"/>
  <c r="AC42" i="36"/>
  <c r="Q42" i="36"/>
  <c r="AI42" i="36"/>
  <c r="W42" i="36"/>
  <c r="AI42" i="42"/>
  <c r="Q42" i="42"/>
  <c r="AC42" i="42"/>
  <c r="W42" i="42"/>
  <c r="Q141" i="42"/>
  <c r="AI141" i="42"/>
  <c r="W141" i="42"/>
  <c r="AC141" i="42"/>
  <c r="AL62" i="43"/>
  <c r="AM62" i="43"/>
  <c r="AN62" i="43" s="1"/>
  <c r="AK62" i="43"/>
  <c r="AC124" i="21"/>
  <c r="AI124" i="21"/>
  <c r="W124" i="21"/>
  <c r="Q124" i="21"/>
  <c r="W107" i="21"/>
  <c r="AC107" i="21"/>
  <c r="Q107" i="21"/>
  <c r="AI107" i="21"/>
  <c r="AC62" i="33"/>
  <c r="AI62" i="33"/>
  <c r="W62" i="33"/>
  <c r="Q62" i="33"/>
  <c r="W140" i="42"/>
  <c r="Q140" i="42"/>
  <c r="AC140" i="42"/>
  <c r="AI140" i="42"/>
  <c r="AE106" i="36"/>
  <c r="W125" i="43"/>
  <c r="Q125" i="43"/>
  <c r="AC125" i="43"/>
  <c r="AI125" i="43"/>
  <c r="AM12" i="36"/>
  <c r="AN12" i="36" s="1"/>
  <c r="AL12" i="36"/>
  <c r="AK12" i="36"/>
  <c r="W64" i="36"/>
  <c r="AI64" i="36"/>
  <c r="AC64" i="36"/>
  <c r="Q64" i="36"/>
  <c r="G132" i="43"/>
  <c r="K132" i="43" s="1"/>
  <c r="G148" i="33"/>
  <c r="K148" i="33" s="1"/>
  <c r="G148" i="42"/>
  <c r="K148" i="42" s="1"/>
  <c r="G148" i="37"/>
  <c r="G147" i="21"/>
  <c r="K147" i="21" s="1"/>
  <c r="G148" i="36"/>
  <c r="K148" i="36" s="1"/>
  <c r="W26" i="33"/>
  <c r="AI26" i="33"/>
  <c r="AC26" i="33"/>
  <c r="Q26" i="33"/>
  <c r="W26" i="42"/>
  <c r="Q26" i="42"/>
  <c r="AC26" i="42"/>
  <c r="AI26" i="42"/>
  <c r="G134" i="33"/>
  <c r="K134" i="33" s="1"/>
  <c r="G118" i="43"/>
  <c r="G134" i="37"/>
  <c r="G134" i="36"/>
  <c r="K134" i="36" s="1"/>
  <c r="G133" i="21"/>
  <c r="K133" i="21" s="1"/>
  <c r="G134" i="42"/>
  <c r="K134" i="42" s="1"/>
  <c r="AK79" i="43"/>
  <c r="AE79" i="43"/>
  <c r="S79" i="43"/>
  <c r="AC139" i="33"/>
  <c r="Q139" i="33"/>
  <c r="AI139" i="33"/>
  <c r="W139" i="33"/>
  <c r="Q139" i="42"/>
  <c r="AC139" i="42"/>
  <c r="AI139" i="42"/>
  <c r="W139" i="42"/>
  <c r="Q128" i="42"/>
  <c r="AC128" i="42"/>
  <c r="W128" i="42"/>
  <c r="AI128" i="42"/>
  <c r="AL111" i="36"/>
  <c r="AM111" i="36"/>
  <c r="AN111" i="36" s="1"/>
  <c r="AK111" i="36"/>
  <c r="G99" i="37"/>
  <c r="K99" i="37" s="1"/>
  <c r="G99" i="21"/>
  <c r="K99" i="21" s="1"/>
  <c r="G99" i="42"/>
  <c r="K99" i="42" s="1"/>
  <c r="G99" i="36"/>
  <c r="K99" i="36" s="1"/>
  <c r="G99" i="33"/>
  <c r="K99" i="33" s="1"/>
  <c r="G99" i="43"/>
  <c r="K99" i="43" s="1"/>
  <c r="AI127" i="37"/>
  <c r="AC127" i="37"/>
  <c r="W127" i="37"/>
  <c r="Q127" i="37"/>
  <c r="W106" i="33"/>
  <c r="Q106" i="33"/>
  <c r="AC106" i="33"/>
  <c r="AI106" i="33"/>
  <c r="AE106" i="37"/>
  <c r="AK106" i="37"/>
  <c r="Y106" i="37"/>
  <c r="S106" i="37"/>
  <c r="AI138" i="37"/>
  <c r="W138" i="37"/>
  <c r="Q138" i="37"/>
  <c r="AC138" i="37"/>
  <c r="AE139" i="42"/>
  <c r="S139" i="42"/>
  <c r="Y139" i="42"/>
  <c r="AI95" i="42"/>
  <c r="AC95" i="42"/>
  <c r="Q95" i="42"/>
  <c r="W95" i="42"/>
  <c r="AM29" i="33"/>
  <c r="AN29" i="33" s="1"/>
  <c r="AL29" i="33"/>
  <c r="AK29" i="33"/>
  <c r="AK141" i="36"/>
  <c r="S141" i="36"/>
  <c r="Y141" i="36"/>
  <c r="Q9" i="36"/>
  <c r="W9" i="36"/>
  <c r="AI9" i="36"/>
  <c r="AC9" i="36"/>
  <c r="T57" i="33"/>
  <c r="U57" i="33"/>
  <c r="V57" i="33" s="1"/>
  <c r="S57" i="33"/>
  <c r="Q64" i="43"/>
  <c r="AI64" i="43"/>
  <c r="AC64" i="43"/>
  <c r="W64" i="43"/>
  <c r="AC12" i="37"/>
  <c r="AI12" i="37"/>
  <c r="W12" i="37"/>
  <c r="Q12" i="37"/>
  <c r="AE73" i="42"/>
  <c r="S73" i="42"/>
  <c r="Y73" i="42"/>
  <c r="AI62" i="42"/>
  <c r="Q62" i="42"/>
  <c r="AC62" i="42"/>
  <c r="W62" i="42"/>
  <c r="Z90" i="36"/>
  <c r="AA90" i="36"/>
  <c r="AB90" i="36" s="1"/>
  <c r="Y90" i="36"/>
  <c r="AE24" i="43"/>
  <c r="Y24" i="43"/>
  <c r="S24" i="43"/>
  <c r="AK24" i="43"/>
  <c r="Q108" i="43"/>
  <c r="AC108" i="43"/>
  <c r="AI108" i="43"/>
  <c r="W108" i="43"/>
  <c r="W46" i="43"/>
  <c r="AC46" i="43"/>
  <c r="AI46" i="43"/>
  <c r="Q46" i="43"/>
  <c r="AM141" i="33"/>
  <c r="AN141" i="33" s="1"/>
  <c r="AL141" i="33"/>
  <c r="AK141" i="33"/>
  <c r="AA139" i="36"/>
  <c r="AB139" i="36" s="1"/>
  <c r="Z139" i="36"/>
  <c r="Y139" i="36"/>
  <c r="AI76" i="42"/>
  <c r="Q76" i="42"/>
  <c r="AC76" i="42"/>
  <c r="W76" i="42"/>
  <c r="AF144" i="33"/>
  <c r="AG144" i="33"/>
  <c r="AH144" i="33" s="1"/>
  <c r="AI91" i="36"/>
  <c r="Q91" i="36"/>
  <c r="W91" i="36"/>
  <c r="AC91" i="36"/>
  <c r="W29" i="42"/>
  <c r="Q29" i="42"/>
  <c r="AI29" i="42"/>
  <c r="AC29" i="42"/>
  <c r="S47" i="37"/>
  <c r="AK47" i="37"/>
  <c r="AE47" i="37"/>
  <c r="AK45" i="43"/>
  <c r="AE45" i="43"/>
  <c r="S45" i="43"/>
  <c r="Y45" i="43"/>
  <c r="AC63" i="36"/>
  <c r="Q63" i="36"/>
  <c r="AI63" i="36"/>
  <c r="W63" i="36"/>
  <c r="AM47" i="43"/>
  <c r="AN47" i="43" s="1"/>
  <c r="AL47" i="43"/>
  <c r="AK47" i="43"/>
  <c r="S111" i="21"/>
  <c r="W126" i="33"/>
  <c r="Q126" i="33"/>
  <c r="AI126" i="33"/>
  <c r="AC126" i="33"/>
  <c r="AK76" i="43"/>
  <c r="S76" i="43"/>
  <c r="Y76" i="43"/>
  <c r="AE76" i="43"/>
  <c r="AC13" i="36"/>
  <c r="AI13" i="36"/>
  <c r="Q13" i="36"/>
  <c r="W13" i="36"/>
  <c r="AI79" i="37"/>
  <c r="AC79" i="37"/>
  <c r="W79" i="37"/>
  <c r="Q79" i="37"/>
  <c r="T42" i="43"/>
  <c r="U42" i="43"/>
  <c r="V42" i="43" s="1"/>
  <c r="S42" i="43"/>
  <c r="AI10" i="37"/>
  <c r="AC10" i="37"/>
  <c r="Q10" i="37"/>
  <c r="W10" i="37"/>
  <c r="AM112" i="21"/>
  <c r="AN112" i="21" s="1"/>
  <c r="AL112" i="21"/>
  <c r="AK112" i="21"/>
  <c r="Z78" i="33"/>
  <c r="AA78" i="33"/>
  <c r="AB78" i="33" s="1"/>
  <c r="AK28" i="33"/>
  <c r="S28" i="33"/>
  <c r="AE28" i="33"/>
  <c r="Y28" i="33"/>
  <c r="G82" i="43"/>
  <c r="K82" i="43" s="1"/>
  <c r="G82" i="36"/>
  <c r="K82" i="36" s="1"/>
  <c r="G82" i="37"/>
  <c r="K82" i="37" s="1"/>
  <c r="G82" i="33"/>
  <c r="K82" i="33" s="1"/>
  <c r="G82" i="21"/>
  <c r="K82" i="21" s="1"/>
  <c r="G82" i="42"/>
  <c r="K82" i="42" s="1"/>
  <c r="S73" i="21"/>
  <c r="AE73" i="21"/>
  <c r="Y73" i="21"/>
  <c r="AI46" i="33"/>
  <c r="Q46" i="33"/>
  <c r="W46" i="33"/>
  <c r="AC46" i="33"/>
  <c r="AE75" i="43"/>
  <c r="S75" i="43"/>
  <c r="Y75" i="43"/>
  <c r="W79" i="33"/>
  <c r="AC79" i="33"/>
  <c r="Q79" i="33"/>
  <c r="AI79" i="33"/>
  <c r="W127" i="43"/>
  <c r="AC127" i="43"/>
  <c r="AI127" i="43"/>
  <c r="Q127" i="43"/>
  <c r="S89" i="36"/>
  <c r="AK89" i="36"/>
  <c r="Y89" i="36"/>
  <c r="AL74" i="37"/>
  <c r="AM74" i="37"/>
  <c r="AN74" i="37" s="1"/>
  <c r="AK74" i="37"/>
  <c r="W106" i="43"/>
  <c r="Q106" i="43"/>
  <c r="AI106" i="43"/>
  <c r="AC106" i="43"/>
  <c r="G19" i="33"/>
  <c r="K19" i="33" s="1"/>
  <c r="G19" i="42"/>
  <c r="G19" i="36"/>
  <c r="K19" i="36" s="1"/>
  <c r="G19" i="37"/>
  <c r="G19" i="21"/>
  <c r="K19" i="21" s="1"/>
  <c r="G19" i="43"/>
  <c r="AE145" i="42"/>
  <c r="S145" i="42"/>
  <c r="Y145" i="42"/>
  <c r="W30" i="36"/>
  <c r="AI30" i="36"/>
  <c r="AC30" i="36"/>
  <c r="Q30" i="36"/>
  <c r="AC30" i="43"/>
  <c r="W30" i="43"/>
  <c r="AI30" i="43"/>
  <c r="Q30" i="43"/>
  <c r="AM9" i="37"/>
  <c r="AN9" i="37" s="1"/>
  <c r="AL9" i="37"/>
  <c r="AK9" i="37"/>
  <c r="W8" i="36"/>
  <c r="AI8" i="36"/>
  <c r="Q8" i="36"/>
  <c r="AC8" i="36"/>
  <c r="Z75" i="36"/>
  <c r="AA75" i="36"/>
  <c r="AB75" i="36" s="1"/>
  <c r="Y75" i="36"/>
  <c r="W110" i="21"/>
  <c r="Q110" i="21"/>
  <c r="AC110" i="21"/>
  <c r="AI110" i="21"/>
  <c r="AC122" i="21"/>
  <c r="AI122" i="21"/>
  <c r="W122" i="21"/>
  <c r="Q122" i="21"/>
  <c r="Z8" i="33"/>
  <c r="AA8" i="33"/>
  <c r="AB8" i="33" s="1"/>
  <c r="Y8" i="33"/>
  <c r="Z14" i="36"/>
  <c r="AA14" i="36"/>
  <c r="AB14" i="36" s="1"/>
  <c r="Y14" i="36"/>
  <c r="AI93" i="36"/>
  <c r="Q93" i="36"/>
  <c r="W93" i="36"/>
  <c r="AC93" i="36"/>
  <c r="Q25" i="36"/>
  <c r="AC25" i="36"/>
  <c r="AI25" i="36"/>
  <c r="W25" i="36"/>
  <c r="AK25" i="37"/>
  <c r="S25" i="37"/>
  <c r="Y25" i="37"/>
  <c r="AE25" i="37"/>
  <c r="U10" i="37"/>
  <c r="V10" i="37" s="1"/>
  <c r="T10" i="37"/>
  <c r="S10" i="37"/>
  <c r="AI89" i="36"/>
  <c r="AC89" i="36"/>
  <c r="W89" i="36"/>
  <c r="Q89" i="36"/>
  <c r="AC89" i="42"/>
  <c r="W89" i="42"/>
  <c r="AI89" i="42"/>
  <c r="Q89" i="42"/>
  <c r="Y29" i="21"/>
  <c r="AK29" i="21"/>
  <c r="AE29" i="21"/>
  <c r="S29" i="21"/>
  <c r="G34" i="21"/>
  <c r="G34" i="37"/>
  <c r="K34" i="37" s="1"/>
  <c r="G34" i="36"/>
  <c r="K34" i="36" s="1"/>
  <c r="G34" i="42"/>
  <c r="K34" i="42" s="1"/>
  <c r="G34" i="43"/>
  <c r="K34" i="43" s="1"/>
  <c r="G34" i="33"/>
  <c r="K34" i="33" s="1"/>
  <c r="AK94" i="21"/>
  <c r="AE94" i="21"/>
  <c r="Y94" i="21"/>
  <c r="S94" i="21"/>
  <c r="AC124" i="36"/>
  <c r="Q124" i="36"/>
  <c r="AI124" i="36"/>
  <c r="W124" i="36"/>
  <c r="Q124" i="42"/>
  <c r="AI124" i="42"/>
  <c r="AC124" i="42"/>
  <c r="W124" i="42"/>
  <c r="W109" i="21"/>
  <c r="Q109" i="21"/>
  <c r="AI109" i="21"/>
  <c r="AC109" i="21"/>
  <c r="AE43" i="43"/>
  <c r="S43" i="43"/>
  <c r="Y43" i="43"/>
  <c r="AK43" i="43"/>
  <c r="AM27" i="37"/>
  <c r="AN27" i="37" s="1"/>
  <c r="AL27" i="37"/>
  <c r="Q112" i="33"/>
  <c r="AC112" i="33"/>
  <c r="W112" i="33"/>
  <c r="AI112" i="33"/>
  <c r="AL60" i="42"/>
  <c r="AM60" i="42"/>
  <c r="AN60" i="42" s="1"/>
  <c r="AC90" i="43"/>
  <c r="Q90" i="43"/>
  <c r="W90" i="43"/>
  <c r="AI90" i="43"/>
  <c r="S48" i="21"/>
  <c r="AE48" i="21"/>
  <c r="AI46" i="42"/>
  <c r="Q46" i="42"/>
  <c r="W46" i="42"/>
  <c r="AC46" i="42"/>
  <c r="AA13" i="37"/>
  <c r="AB13" i="37" s="1"/>
  <c r="Z13" i="37"/>
  <c r="AC140" i="36"/>
  <c r="AI140" i="36"/>
  <c r="W140" i="36"/>
  <c r="Q140" i="36"/>
  <c r="AG106" i="43"/>
  <c r="AH106" i="43" s="1"/>
  <c r="AL43" i="33"/>
  <c r="AM43" i="33"/>
  <c r="AN43" i="33" s="1"/>
  <c r="AI141" i="33"/>
  <c r="Q141" i="33"/>
  <c r="AC141" i="33"/>
  <c r="W141" i="33"/>
  <c r="AK25" i="21"/>
  <c r="AE25" i="21"/>
  <c r="Y25" i="21"/>
  <c r="S25" i="21"/>
  <c r="W74" i="21"/>
  <c r="AI74" i="21"/>
  <c r="Q74" i="21"/>
  <c r="AC74" i="21"/>
  <c r="AI74" i="43"/>
  <c r="W74" i="43"/>
  <c r="Q74" i="43"/>
  <c r="AC74" i="43"/>
  <c r="AK122" i="21"/>
  <c r="AE122" i="21"/>
  <c r="Y122" i="21"/>
  <c r="S122" i="21"/>
  <c r="AK124" i="36"/>
  <c r="S124" i="36"/>
  <c r="Y124" i="36"/>
  <c r="AE124" i="36"/>
  <c r="AI122" i="33"/>
  <c r="Q122" i="33"/>
  <c r="W122" i="33"/>
  <c r="AC122" i="33"/>
  <c r="W78" i="33"/>
  <c r="AC78" i="33"/>
  <c r="AI78" i="33"/>
  <c r="Q78" i="33"/>
  <c r="AE127" i="43"/>
  <c r="S127" i="43"/>
  <c r="Y127" i="43"/>
  <c r="AK127" i="43"/>
  <c r="AI30" i="37"/>
  <c r="W30" i="37"/>
  <c r="Q30" i="37"/>
  <c r="AC30" i="37"/>
  <c r="AA30" i="36"/>
  <c r="AB30" i="36" s="1"/>
  <c r="Z30" i="36"/>
  <c r="AI96" i="21"/>
  <c r="W96" i="21"/>
  <c r="Q96" i="21"/>
  <c r="AC96" i="21"/>
  <c r="AC145" i="37"/>
  <c r="W145" i="37"/>
  <c r="Q145" i="37"/>
  <c r="AI145" i="37"/>
  <c r="Z112" i="43"/>
  <c r="AA112" i="43"/>
  <c r="AB112" i="43" s="1"/>
  <c r="AC76" i="37"/>
  <c r="AI76" i="37"/>
  <c r="W76" i="37"/>
  <c r="Q76" i="37"/>
  <c r="U13" i="36"/>
  <c r="V13" i="36" s="1"/>
  <c r="T13" i="36"/>
  <c r="AI44" i="36"/>
  <c r="AC44" i="36"/>
  <c r="W44" i="36"/>
  <c r="Q44" i="36"/>
  <c r="AI44" i="42"/>
  <c r="Q44" i="42"/>
  <c r="W44" i="42"/>
  <c r="AC44" i="42"/>
  <c r="AF47" i="42"/>
  <c r="AG47" i="42"/>
  <c r="AH47" i="42" s="1"/>
  <c r="AC11" i="37"/>
  <c r="Q11" i="37"/>
  <c r="AI11" i="37"/>
  <c r="W11" i="37"/>
  <c r="W64" i="37"/>
  <c r="AC64" i="37"/>
  <c r="Q64" i="37"/>
  <c r="AI64" i="37"/>
  <c r="AC73" i="37"/>
  <c r="Q73" i="37"/>
  <c r="W73" i="37"/>
  <c r="AI73" i="37"/>
  <c r="Y73" i="36"/>
  <c r="AE73" i="36"/>
  <c r="AK73" i="36"/>
  <c r="AI26" i="21"/>
  <c r="AC26" i="21"/>
  <c r="Q26" i="21"/>
  <c r="W26" i="21"/>
  <c r="AK127" i="42"/>
  <c r="AE127" i="42"/>
  <c r="Y127" i="42"/>
  <c r="S127" i="42"/>
  <c r="AF77" i="37"/>
  <c r="AG77" i="37"/>
  <c r="AH77" i="37" s="1"/>
  <c r="W75" i="43"/>
  <c r="Q75" i="43"/>
  <c r="AC75" i="43"/>
  <c r="AI75" i="43"/>
  <c r="AC121" i="37"/>
  <c r="AI121" i="37"/>
  <c r="W121" i="37"/>
  <c r="Q121" i="37"/>
  <c r="Q8" i="37"/>
  <c r="W8" i="37"/>
  <c r="AI8" i="37"/>
  <c r="AC8" i="37"/>
  <c r="Q14" i="37"/>
  <c r="W14" i="37"/>
  <c r="AI14" i="37"/>
  <c r="AC14" i="37"/>
  <c r="AK31" i="36"/>
  <c r="Y31" i="36"/>
  <c r="AM105" i="42"/>
  <c r="AN105" i="42" s="1"/>
  <c r="AL105" i="42"/>
  <c r="AC128" i="33"/>
  <c r="Q128" i="33"/>
  <c r="W128" i="33"/>
  <c r="AI128" i="33"/>
  <c r="G65" i="37"/>
  <c r="K65" i="37" s="1"/>
  <c r="G65" i="42"/>
  <c r="K65" i="42" s="1"/>
  <c r="G65" i="36"/>
  <c r="K65" i="36" s="1"/>
  <c r="G65" i="21"/>
  <c r="K65" i="21" s="1"/>
  <c r="G65" i="43"/>
  <c r="K65" i="43" s="1"/>
  <c r="G65" i="33"/>
  <c r="K65" i="33" s="1"/>
  <c r="AI108" i="36"/>
  <c r="W108" i="36"/>
  <c r="Q108" i="36"/>
  <c r="AC108" i="36"/>
  <c r="AI61" i="37"/>
  <c r="AC61" i="37"/>
  <c r="Q61" i="37"/>
  <c r="W61" i="37"/>
  <c r="AI137" i="37"/>
  <c r="W137" i="37"/>
  <c r="AC137" i="37"/>
  <c r="Q137" i="37"/>
  <c r="AG89" i="43"/>
  <c r="AH89" i="43" s="1"/>
  <c r="AF89" i="43"/>
  <c r="AG110" i="43"/>
  <c r="AH110" i="43" s="1"/>
  <c r="AF110" i="43"/>
  <c r="AC12" i="21"/>
  <c r="AI12" i="21"/>
  <c r="W12" i="21"/>
  <c r="Q12" i="21"/>
  <c r="W125" i="36"/>
  <c r="Q125" i="36"/>
  <c r="AC125" i="36"/>
  <c r="AI125" i="36"/>
  <c r="AC109" i="43"/>
  <c r="Q109" i="43"/>
  <c r="W109" i="43"/>
  <c r="AI109" i="43"/>
  <c r="AI59" i="43"/>
  <c r="Q59" i="43"/>
  <c r="W59" i="43"/>
  <c r="AC59" i="43"/>
  <c r="Q110" i="37"/>
  <c r="W110" i="37"/>
  <c r="AI110" i="37"/>
  <c r="AC110" i="37"/>
  <c r="AC123" i="37"/>
  <c r="W123" i="37"/>
  <c r="Q123" i="37"/>
  <c r="AI123" i="37"/>
  <c r="T8" i="37"/>
  <c r="U8" i="37"/>
  <c r="V8" i="37" s="1"/>
  <c r="AL121" i="21"/>
  <c r="AM121" i="21"/>
  <c r="AN121" i="21" s="1"/>
  <c r="AM46" i="42"/>
  <c r="AN46" i="42" s="1"/>
  <c r="AL46" i="42"/>
  <c r="AC58" i="21"/>
  <c r="Q58" i="21"/>
  <c r="AI58" i="21"/>
  <c r="W58" i="21"/>
  <c r="AI60" i="33"/>
  <c r="Q60" i="33"/>
  <c r="W60" i="33"/>
  <c r="AC60" i="33"/>
  <c r="AC93" i="33"/>
  <c r="Q93" i="33"/>
  <c r="AI93" i="33"/>
  <c r="W93" i="33"/>
  <c r="AG125" i="33"/>
  <c r="AH125" i="33" s="1"/>
  <c r="AF125" i="33"/>
  <c r="AC29" i="37"/>
  <c r="AI29" i="37"/>
  <c r="W29" i="37"/>
  <c r="Q29" i="37"/>
  <c r="W47" i="36"/>
  <c r="AI47" i="36"/>
  <c r="Q47" i="36"/>
  <c r="AC47" i="36"/>
  <c r="AI28" i="37"/>
  <c r="W28" i="37"/>
  <c r="AC28" i="37"/>
  <c r="Q28" i="37"/>
  <c r="G130" i="33"/>
  <c r="K130" i="33" s="1"/>
  <c r="G129" i="21"/>
  <c r="K129" i="21" s="1"/>
  <c r="G114" i="43"/>
  <c r="K114" i="43" s="1"/>
  <c r="G130" i="42"/>
  <c r="K130" i="42" s="1"/>
  <c r="G130" i="37"/>
  <c r="K130" i="37" s="1"/>
  <c r="G130" i="36"/>
  <c r="K130" i="36" s="1"/>
  <c r="AC63" i="43"/>
  <c r="W63" i="43"/>
  <c r="AI63" i="43"/>
  <c r="Q63" i="43"/>
  <c r="W15" i="42"/>
  <c r="Q15" i="42"/>
  <c r="AI15" i="42"/>
  <c r="AC15" i="42"/>
  <c r="W142" i="36"/>
  <c r="AI142" i="36"/>
  <c r="Q142" i="36"/>
  <c r="AC142" i="36"/>
  <c r="Q142" i="42"/>
  <c r="AC142" i="42"/>
  <c r="AI142" i="42"/>
  <c r="W142" i="42"/>
  <c r="AC126" i="21"/>
  <c r="Q126" i="21"/>
  <c r="W126" i="21"/>
  <c r="AI126" i="21"/>
  <c r="AK15" i="33"/>
  <c r="Y15" i="33"/>
  <c r="AA74" i="42"/>
  <c r="AB74" i="42" s="1"/>
  <c r="Z74" i="42"/>
  <c r="AK140" i="37"/>
  <c r="Y140" i="37"/>
  <c r="S140" i="37"/>
  <c r="AI138" i="42"/>
  <c r="Q138" i="42"/>
  <c r="AC138" i="42"/>
  <c r="W138" i="42"/>
  <c r="AC41" i="43"/>
  <c r="W41" i="43"/>
  <c r="AI41" i="43"/>
  <c r="Q41" i="43"/>
  <c r="AK60" i="37"/>
  <c r="S60" i="37"/>
  <c r="Y60" i="37"/>
  <c r="AE60" i="37"/>
  <c r="W24" i="36"/>
  <c r="AI24" i="36"/>
  <c r="Q24" i="36"/>
  <c r="AC24" i="36"/>
  <c r="AE44" i="43"/>
  <c r="AK44" i="43"/>
  <c r="Y44" i="43"/>
  <c r="G17" i="43"/>
  <c r="K17" i="43" s="1"/>
  <c r="G17" i="36"/>
  <c r="K17" i="36" s="1"/>
  <c r="G17" i="37"/>
  <c r="K17" i="37" s="1"/>
  <c r="G17" i="33"/>
  <c r="K17" i="33" s="1"/>
  <c r="G17" i="42"/>
  <c r="K17" i="42" s="1"/>
  <c r="G17" i="21"/>
  <c r="AC94" i="33"/>
  <c r="AI94" i="33"/>
  <c r="W94" i="33"/>
  <c r="Q94" i="33"/>
  <c r="AE107" i="43"/>
  <c r="Y107" i="43"/>
  <c r="S107" i="43"/>
  <c r="AK107" i="43"/>
  <c r="W95" i="37"/>
  <c r="AI95" i="37"/>
  <c r="Q95" i="37"/>
  <c r="AC95" i="37"/>
  <c r="AK122" i="42"/>
  <c r="AE122" i="42"/>
  <c r="S122" i="42"/>
  <c r="Y122" i="42"/>
  <c r="AG122" i="33"/>
  <c r="AH122" i="33" s="1"/>
  <c r="AF122" i="33"/>
  <c r="AI45" i="21"/>
  <c r="AC45" i="21"/>
  <c r="Q45" i="21"/>
  <c r="W45" i="21"/>
  <c r="AG64" i="21"/>
  <c r="AH64" i="21" s="1"/>
  <c r="AF64" i="21"/>
  <c r="W92" i="21"/>
  <c r="AC92" i="21"/>
  <c r="AI92" i="21"/>
  <c r="Q92" i="21"/>
  <c r="AI125" i="21"/>
  <c r="AC125" i="21"/>
  <c r="Q125" i="21"/>
  <c r="W125" i="21"/>
  <c r="AK45" i="42"/>
  <c r="AE45" i="42"/>
  <c r="S45" i="42"/>
  <c r="Y45" i="42"/>
  <c r="AE63" i="36"/>
  <c r="S63" i="36"/>
  <c r="Y63" i="36"/>
  <c r="AK63" i="36"/>
  <c r="AK127" i="33"/>
  <c r="AE127" i="33"/>
  <c r="S127" i="33"/>
  <c r="Y127" i="33"/>
  <c r="AE75" i="42"/>
  <c r="S75" i="42"/>
  <c r="AK75" i="42"/>
  <c r="Y75" i="42"/>
  <c r="W31" i="33"/>
  <c r="AC31" i="33"/>
  <c r="Q31" i="33"/>
  <c r="AI31" i="33"/>
  <c r="AK107" i="37"/>
  <c r="AE107" i="37"/>
  <c r="Y107" i="37"/>
  <c r="S107" i="37"/>
  <c r="AM107" i="21"/>
  <c r="AN107" i="21" s="1"/>
  <c r="AL107" i="21"/>
  <c r="U62" i="36"/>
  <c r="V62" i="36" s="1"/>
  <c r="T62" i="36"/>
  <c r="G20" i="42"/>
  <c r="K20" i="42" s="1"/>
  <c r="G20" i="36"/>
  <c r="K20" i="36" s="1"/>
  <c r="G20" i="37"/>
  <c r="G20" i="33"/>
  <c r="K20" i="33" s="1"/>
  <c r="G20" i="43"/>
  <c r="G20" i="21"/>
  <c r="T61" i="21"/>
  <c r="U61" i="21"/>
  <c r="V61" i="21" s="1"/>
  <c r="AC89" i="43"/>
  <c r="Q89" i="43"/>
  <c r="W89" i="43"/>
  <c r="AI89" i="43"/>
  <c r="Q9" i="21"/>
  <c r="AC9" i="21"/>
  <c r="W9" i="21"/>
  <c r="AI9" i="21"/>
  <c r="Q9" i="42"/>
  <c r="AI9" i="42"/>
  <c r="AC9" i="42"/>
  <c r="W9" i="42"/>
  <c r="Q13" i="21"/>
  <c r="AI13" i="21"/>
  <c r="AC13" i="21"/>
  <c r="W13" i="21"/>
  <c r="W42" i="37"/>
  <c r="AC42" i="37"/>
  <c r="AI42" i="37"/>
  <c r="Q42" i="37"/>
  <c r="AI42" i="43"/>
  <c r="W42" i="43"/>
  <c r="AC42" i="43"/>
  <c r="Q42" i="43"/>
  <c r="AM142" i="37"/>
  <c r="AN142" i="37" s="1"/>
  <c r="AL142" i="37"/>
  <c r="T42" i="21"/>
  <c r="U42" i="21"/>
  <c r="V42" i="21" s="1"/>
  <c r="Q105" i="33"/>
  <c r="AI105" i="33"/>
  <c r="W105" i="33"/>
  <c r="AC105" i="33"/>
  <c r="AG111" i="33"/>
  <c r="AH111" i="33" s="1"/>
  <c r="AF111" i="33"/>
  <c r="AI27" i="33"/>
  <c r="W27" i="33"/>
  <c r="AC27" i="33"/>
  <c r="Q27" i="33"/>
  <c r="AE92" i="21"/>
  <c r="Y92" i="21"/>
  <c r="S92" i="21"/>
  <c r="AK92" i="21"/>
  <c r="AE11" i="43"/>
  <c r="S11" i="43"/>
  <c r="Y11" i="43"/>
  <c r="AK11" i="43"/>
  <c r="Q124" i="37"/>
  <c r="AI124" i="37"/>
  <c r="AC124" i="37"/>
  <c r="W124" i="37"/>
  <c r="AI109" i="42"/>
  <c r="W109" i="42"/>
  <c r="Q109" i="42"/>
  <c r="AC109" i="42"/>
  <c r="AC107" i="36"/>
  <c r="AI107" i="36"/>
  <c r="W107" i="36"/>
  <c r="Q107" i="36"/>
  <c r="AC79" i="21"/>
  <c r="Q79" i="21"/>
  <c r="AI79" i="21"/>
  <c r="W79" i="21"/>
  <c r="AC112" i="37"/>
  <c r="Q112" i="37"/>
  <c r="W112" i="37"/>
  <c r="AI112" i="37"/>
  <c r="AK123" i="43"/>
  <c r="S123" i="43"/>
  <c r="AE123" i="43"/>
  <c r="Y123" i="43"/>
  <c r="G81" i="43"/>
  <c r="K81" i="43" s="1"/>
  <c r="G81" i="33"/>
  <c r="K81" i="33" s="1"/>
  <c r="G81" i="42"/>
  <c r="K81" i="42" s="1"/>
  <c r="G81" i="37"/>
  <c r="K81" i="37" s="1"/>
  <c r="G81" i="21"/>
  <c r="K81" i="21" s="1"/>
  <c r="G81" i="36"/>
  <c r="K81" i="36" s="1"/>
  <c r="AL41" i="43"/>
  <c r="AM41" i="43"/>
  <c r="AN41" i="43" s="1"/>
  <c r="AC143" i="36"/>
  <c r="AI143" i="36"/>
  <c r="W143" i="36"/>
  <c r="Q143" i="36"/>
  <c r="G85" i="21"/>
  <c r="K85" i="21" s="1"/>
  <c r="G85" i="37"/>
  <c r="G85" i="43"/>
  <c r="K85" i="43" s="1"/>
  <c r="G85" i="36"/>
  <c r="K85" i="36" s="1"/>
  <c r="G85" i="42"/>
  <c r="K85" i="42" s="1"/>
  <c r="G85" i="33"/>
  <c r="K85" i="33" s="1"/>
  <c r="Q46" i="21"/>
  <c r="W46" i="21"/>
  <c r="AI46" i="21"/>
  <c r="AC46" i="21"/>
  <c r="AE12" i="33"/>
  <c r="S12" i="33"/>
  <c r="AK12" i="33"/>
  <c r="Y12" i="33"/>
  <c r="AM127" i="21"/>
  <c r="AN127" i="21" s="1"/>
  <c r="AL127" i="21"/>
  <c r="Z42" i="42"/>
  <c r="AA42" i="42"/>
  <c r="AB42" i="42" s="1"/>
  <c r="U44" i="33"/>
  <c r="V44" i="33" s="1"/>
  <c r="T44" i="33"/>
  <c r="S73" i="37"/>
  <c r="AK73" i="37"/>
  <c r="AE73" i="37"/>
  <c r="Y73" i="37"/>
  <c r="W77" i="43"/>
  <c r="AI77" i="43"/>
  <c r="AC77" i="43"/>
  <c r="Q77" i="43"/>
  <c r="AE121" i="36"/>
  <c r="S121" i="36"/>
  <c r="Y121" i="36"/>
  <c r="AK121" i="36"/>
  <c r="S95" i="21"/>
  <c r="Y95" i="21"/>
  <c r="AK95" i="21"/>
  <c r="AE109" i="42"/>
  <c r="S109" i="42"/>
  <c r="AK109" i="42"/>
  <c r="Y109" i="42"/>
  <c r="AK58" i="37"/>
  <c r="AE58" i="37"/>
  <c r="S58" i="37"/>
  <c r="Y58" i="37"/>
  <c r="T141" i="33"/>
  <c r="U141" i="33"/>
  <c r="V141" i="33" s="1"/>
  <c r="AE136" i="21"/>
  <c r="Y136" i="21"/>
  <c r="S136" i="21"/>
  <c r="AK136" i="21"/>
  <c r="AF24" i="37"/>
  <c r="AG24" i="37"/>
  <c r="AH24" i="37" s="1"/>
  <c r="Q30" i="33"/>
  <c r="AC30" i="33"/>
  <c r="W30" i="33"/>
  <c r="AI30" i="33"/>
  <c r="W96" i="42"/>
  <c r="Q96" i="42"/>
  <c r="AC96" i="42"/>
  <c r="AI96" i="42"/>
  <c r="AC144" i="21"/>
  <c r="W144" i="21"/>
  <c r="AI144" i="21"/>
  <c r="Q144" i="21"/>
  <c r="W76" i="36"/>
  <c r="AI76" i="36"/>
  <c r="Q76" i="36"/>
  <c r="AC76" i="36"/>
  <c r="AM76" i="36"/>
  <c r="AN76" i="36" s="1"/>
  <c r="AL76" i="36"/>
  <c r="Q44" i="33"/>
  <c r="AC44" i="33"/>
  <c r="AI44" i="33"/>
  <c r="W44" i="33"/>
  <c r="G54" i="42"/>
  <c r="K54" i="42" s="1"/>
  <c r="G54" i="36"/>
  <c r="K54" i="36" s="1"/>
  <c r="G54" i="33"/>
  <c r="K54" i="33" s="1"/>
  <c r="G54" i="37"/>
  <c r="G54" i="43"/>
  <c r="K54" i="43" s="1"/>
  <c r="G54" i="21"/>
  <c r="K54" i="21" s="1"/>
  <c r="W11" i="21"/>
  <c r="AC11" i="21"/>
  <c r="AI11" i="21"/>
  <c r="Q11" i="21"/>
  <c r="AM30" i="33"/>
  <c r="AN30" i="33" s="1"/>
  <c r="AL30" i="33"/>
  <c r="AC64" i="33"/>
  <c r="AI64" i="33"/>
  <c r="Q64" i="33"/>
  <c r="W64" i="33"/>
  <c r="G83" i="33"/>
  <c r="K83" i="33" s="1"/>
  <c r="G83" i="43"/>
  <c r="K83" i="43" s="1"/>
  <c r="G83" i="37"/>
  <c r="K83" i="37" s="1"/>
  <c r="G83" i="21"/>
  <c r="K83" i="21" s="1"/>
  <c r="G83" i="36"/>
  <c r="K83" i="36" s="1"/>
  <c r="G83" i="42"/>
  <c r="K83" i="42" s="1"/>
  <c r="W73" i="21"/>
  <c r="Q73" i="21"/>
  <c r="AI73" i="21"/>
  <c r="AC73" i="21"/>
  <c r="G98" i="36"/>
  <c r="K98" i="36" s="1"/>
  <c r="G98" i="37"/>
  <c r="K98" i="37" s="1"/>
  <c r="G98" i="42"/>
  <c r="K98" i="42" s="1"/>
  <c r="G98" i="33"/>
  <c r="K98" i="33" s="1"/>
  <c r="G98" i="43"/>
  <c r="K98" i="43" s="1"/>
  <c r="G98" i="21"/>
  <c r="K98" i="21" s="1"/>
  <c r="Q26" i="37"/>
  <c r="AI26" i="37"/>
  <c r="W26" i="37"/>
  <c r="AC26" i="37"/>
  <c r="W75" i="33"/>
  <c r="Q75" i="33"/>
  <c r="AI75" i="33"/>
  <c r="AC75" i="33"/>
  <c r="Q121" i="36"/>
  <c r="W121" i="36"/>
  <c r="AC121" i="36"/>
  <c r="AI121" i="36"/>
  <c r="S110" i="37"/>
  <c r="AE110" i="37"/>
  <c r="AK110" i="37"/>
  <c r="Y110" i="37"/>
  <c r="AL93" i="33"/>
  <c r="AM93" i="33"/>
  <c r="AN93" i="33" s="1"/>
  <c r="W8" i="33"/>
  <c r="Q8" i="33"/>
  <c r="AC8" i="33"/>
  <c r="AI8" i="33"/>
  <c r="S108" i="43"/>
  <c r="AK108" i="43"/>
  <c r="Y108" i="43"/>
  <c r="AE108" i="43"/>
  <c r="AK109" i="33"/>
  <c r="Y109" i="33"/>
  <c r="S109" i="33"/>
  <c r="AI123" i="43"/>
  <c r="Q123" i="43"/>
  <c r="W123" i="43"/>
  <c r="AC123" i="43"/>
  <c r="AI128" i="36"/>
  <c r="Q128" i="36"/>
  <c r="W128" i="36"/>
  <c r="AC128" i="36"/>
  <c r="AI108" i="33"/>
  <c r="AC108" i="33"/>
  <c r="W108" i="33"/>
  <c r="Q108" i="33"/>
  <c r="AE108" i="36"/>
  <c r="S108" i="36"/>
  <c r="AK108" i="36"/>
  <c r="Y108" i="36"/>
  <c r="G39" i="43"/>
  <c r="G39" i="42"/>
  <c r="G39" i="21"/>
  <c r="G39" i="36"/>
  <c r="G39" i="33"/>
  <c r="G39" i="37"/>
  <c r="AC61" i="36"/>
  <c r="W61" i="36"/>
  <c r="Q61" i="36"/>
  <c r="AI61" i="36"/>
  <c r="W137" i="33"/>
  <c r="Q137" i="33"/>
  <c r="AC137" i="33"/>
  <c r="AI137" i="33"/>
  <c r="AI12" i="36"/>
  <c r="Q12" i="36"/>
  <c r="AC12" i="36"/>
  <c r="W12" i="36"/>
  <c r="Q12" i="43"/>
  <c r="AI12" i="43"/>
  <c r="W12" i="43"/>
  <c r="AC12" i="43"/>
  <c r="W125" i="37"/>
  <c r="Q125" i="37"/>
  <c r="AI125" i="37"/>
  <c r="AC125" i="37"/>
  <c r="AL125" i="37"/>
  <c r="AM125" i="37"/>
  <c r="AN125" i="37" s="1"/>
  <c r="AF48" i="43"/>
  <c r="AG48" i="43"/>
  <c r="AH48" i="43" s="1"/>
  <c r="AC59" i="36"/>
  <c r="Q59" i="36"/>
  <c r="AI59" i="36"/>
  <c r="W59" i="36"/>
  <c r="AG80" i="21"/>
  <c r="AH80" i="21" s="1"/>
  <c r="AF80" i="21"/>
  <c r="AI43" i="37"/>
  <c r="AC43" i="37"/>
  <c r="W43" i="37"/>
  <c r="Q43" i="37"/>
  <c r="AG128" i="33"/>
  <c r="AH128" i="33" s="1"/>
  <c r="AF128" i="33"/>
  <c r="G32" i="37"/>
  <c r="K32" i="37" s="1"/>
  <c r="G32" i="36"/>
  <c r="K32" i="36" s="1"/>
  <c r="G32" i="21"/>
  <c r="K32" i="21" s="1"/>
  <c r="G32" i="42"/>
  <c r="K32" i="42" s="1"/>
  <c r="G32" i="43"/>
  <c r="K32" i="43" s="1"/>
  <c r="G32" i="33"/>
  <c r="K32" i="33" s="1"/>
  <c r="AK13" i="42"/>
  <c r="S13" i="42"/>
  <c r="Y13" i="42"/>
  <c r="AL27" i="33"/>
  <c r="AM27" i="33"/>
  <c r="AN27" i="33" s="1"/>
  <c r="AC58" i="36"/>
  <c r="W58" i="36"/>
  <c r="AI58" i="36"/>
  <c r="Q58" i="36"/>
  <c r="U41" i="36"/>
  <c r="V41" i="36" s="1"/>
  <c r="T41" i="36"/>
  <c r="G66" i="42"/>
  <c r="K66" i="42" s="1"/>
  <c r="G66" i="43"/>
  <c r="K66" i="43" s="1"/>
  <c r="G66" i="36"/>
  <c r="K66" i="36" s="1"/>
  <c r="G66" i="37"/>
  <c r="K66" i="37" s="1"/>
  <c r="G66" i="33"/>
  <c r="K66" i="33" s="1"/>
  <c r="G66" i="21"/>
  <c r="K66" i="21" s="1"/>
  <c r="AM94" i="36"/>
  <c r="AN94" i="36" s="1"/>
  <c r="AL94" i="36"/>
  <c r="AG111" i="43"/>
  <c r="AH111" i="43" s="1"/>
  <c r="AF111" i="43"/>
  <c r="Q93" i="42"/>
  <c r="AI93" i="42"/>
  <c r="W93" i="42"/>
  <c r="AC93" i="42"/>
  <c r="G71" i="42"/>
  <c r="G71" i="37"/>
  <c r="G71" i="36"/>
  <c r="G71" i="33"/>
  <c r="G71" i="21"/>
  <c r="G71" i="43"/>
  <c r="AI29" i="36"/>
  <c r="Q29" i="36"/>
  <c r="AC29" i="36"/>
  <c r="W29" i="36"/>
  <c r="AI29" i="43"/>
  <c r="W29" i="43"/>
  <c r="Q29" i="43"/>
  <c r="AC29" i="43"/>
  <c r="AC28" i="43"/>
  <c r="Q28" i="43"/>
  <c r="W28" i="43"/>
  <c r="AI28" i="43"/>
  <c r="AE45" i="21"/>
  <c r="AK45" i="21"/>
  <c r="S45" i="21"/>
  <c r="Y45" i="21"/>
  <c r="W15" i="36"/>
  <c r="AI15" i="36"/>
  <c r="Q15" i="36"/>
  <c r="AC15" i="36"/>
  <c r="AK15" i="37"/>
  <c r="Y15" i="37"/>
  <c r="S15" i="37"/>
  <c r="AM123" i="42"/>
  <c r="AN123" i="42" s="1"/>
  <c r="AL123" i="42"/>
  <c r="AF46" i="43"/>
  <c r="AG46" i="43"/>
  <c r="AH46" i="43" s="1"/>
  <c r="AE44" i="37"/>
  <c r="Y44" i="37"/>
  <c r="S44" i="37"/>
  <c r="AK44" i="37"/>
  <c r="W127" i="42"/>
  <c r="AI127" i="42"/>
  <c r="AC127" i="42"/>
  <c r="Q127" i="42"/>
  <c r="AI106" i="37"/>
  <c r="W106" i="37"/>
  <c r="Q106" i="37"/>
  <c r="AC106" i="37"/>
  <c r="AI106" i="42"/>
  <c r="AC106" i="42"/>
  <c r="Q106" i="42"/>
  <c r="W106" i="42"/>
  <c r="AL59" i="42"/>
  <c r="AM59" i="42"/>
  <c r="AN59" i="42" s="1"/>
  <c r="AL8" i="21"/>
  <c r="AM8" i="21"/>
  <c r="AN8" i="21" s="1"/>
  <c r="AK80" i="43"/>
  <c r="AE80" i="43"/>
  <c r="S80" i="43"/>
  <c r="Y80" i="43"/>
  <c r="W138" i="33"/>
  <c r="AI138" i="33"/>
  <c r="AC138" i="33"/>
  <c r="Q138" i="33"/>
  <c r="AC122" i="43"/>
  <c r="Q122" i="43"/>
  <c r="W122" i="43"/>
  <c r="AI122" i="43"/>
  <c r="S112" i="33"/>
  <c r="AK112" i="33"/>
  <c r="AE112" i="33"/>
  <c r="Y112" i="33"/>
  <c r="AI57" i="42"/>
  <c r="Q57" i="42"/>
  <c r="AC57" i="42"/>
  <c r="W57" i="42"/>
  <c r="AK108" i="42"/>
  <c r="S108" i="42"/>
  <c r="Y108" i="42"/>
  <c r="AM126" i="37"/>
  <c r="AN126" i="37" s="1"/>
  <c r="AL126" i="37"/>
  <c r="W24" i="33"/>
  <c r="Q24" i="33"/>
  <c r="AC24" i="33"/>
  <c r="AI24" i="33"/>
  <c r="W24" i="42"/>
  <c r="AI24" i="42"/>
  <c r="AC24" i="42"/>
  <c r="Q24" i="42"/>
  <c r="S28" i="42"/>
  <c r="AE28" i="42"/>
  <c r="AK28" i="42"/>
  <c r="AE45" i="33"/>
  <c r="AK45" i="33"/>
  <c r="Y45" i="33"/>
  <c r="AM64" i="42"/>
  <c r="AN64" i="42" s="1"/>
  <c r="AL64" i="42"/>
  <c r="Z11" i="36"/>
  <c r="AA11" i="36"/>
  <c r="AB11" i="36" s="1"/>
  <c r="U75" i="33"/>
  <c r="V75" i="33" s="1"/>
  <c r="T75" i="33"/>
  <c r="AE74" i="43"/>
  <c r="S74" i="43"/>
  <c r="Y74" i="43"/>
  <c r="AK74" i="43"/>
  <c r="AC95" i="36"/>
  <c r="AI95" i="36"/>
  <c r="W95" i="36"/>
  <c r="Q95" i="36"/>
  <c r="AC45" i="33"/>
  <c r="AI45" i="33"/>
  <c r="Q45" i="33"/>
  <c r="W45" i="33"/>
  <c r="W92" i="43"/>
  <c r="AI92" i="43"/>
  <c r="Q92" i="43"/>
  <c r="AC92" i="43"/>
  <c r="W92" i="42"/>
  <c r="AI92" i="42"/>
  <c r="Q92" i="42"/>
  <c r="AC92" i="42"/>
  <c r="AG63" i="42"/>
  <c r="AH63" i="42" s="1"/>
  <c r="AF63" i="42"/>
  <c r="AC126" i="36"/>
  <c r="AI126" i="36"/>
  <c r="W126" i="36"/>
  <c r="Q126" i="36"/>
  <c r="W110" i="43"/>
  <c r="Q110" i="43"/>
  <c r="AC110" i="43"/>
  <c r="AI110" i="43"/>
  <c r="Y44" i="21"/>
  <c r="S44" i="21"/>
  <c r="AK44" i="21"/>
  <c r="AE44" i="21"/>
  <c r="AC25" i="33"/>
  <c r="AI25" i="33"/>
  <c r="W25" i="33"/>
  <c r="Q25" i="33"/>
  <c r="W31" i="37"/>
  <c r="Q31" i="37"/>
  <c r="AI31" i="37"/>
  <c r="AC31" i="37"/>
  <c r="AE122" i="43"/>
  <c r="S122" i="43"/>
  <c r="AK122" i="43"/>
  <c r="Y122" i="43"/>
  <c r="AM27" i="42"/>
  <c r="AN27" i="42" s="1"/>
  <c r="AL27" i="42"/>
  <c r="AF96" i="43"/>
  <c r="AG96" i="43"/>
  <c r="AH96" i="43" s="1"/>
  <c r="AL96" i="21"/>
  <c r="AM96" i="21"/>
  <c r="AN96" i="21" s="1"/>
  <c r="G97" i="21"/>
  <c r="K97" i="21" s="1"/>
  <c r="G97" i="42"/>
  <c r="K97" i="42" s="1"/>
  <c r="G97" i="43"/>
  <c r="K97" i="43" s="1"/>
  <c r="G97" i="37"/>
  <c r="K97" i="37" s="1"/>
  <c r="G97" i="36"/>
  <c r="K97" i="36" s="1"/>
  <c r="G97" i="33"/>
  <c r="K97" i="33" s="1"/>
  <c r="AG61" i="21"/>
  <c r="AH61" i="21" s="1"/>
  <c r="AF61" i="21"/>
  <c r="W89" i="21"/>
  <c r="AC89" i="21"/>
  <c r="Q89" i="21"/>
  <c r="AI89" i="21"/>
  <c r="T89" i="37"/>
  <c r="U89" i="37"/>
  <c r="V89" i="37" s="1"/>
  <c r="AE108" i="37"/>
  <c r="AK108" i="37"/>
  <c r="Y108" i="37"/>
  <c r="S108" i="37"/>
  <c r="AE105" i="21"/>
  <c r="Y105" i="21"/>
  <c r="S105" i="21"/>
  <c r="AK105" i="21"/>
  <c r="Q42" i="33"/>
  <c r="AC42" i="33"/>
  <c r="W42" i="33"/>
  <c r="AI42" i="33"/>
  <c r="Z13" i="21"/>
  <c r="AA13" i="21"/>
  <c r="AB13" i="21" s="1"/>
  <c r="AG9" i="42"/>
  <c r="AH9" i="42" s="1"/>
  <c r="AF9" i="42"/>
  <c r="Q105" i="37"/>
  <c r="AC105" i="37"/>
  <c r="W105" i="37"/>
  <c r="AI105" i="37"/>
  <c r="AF31" i="21"/>
  <c r="AG31" i="21"/>
  <c r="AH31" i="21" s="1"/>
  <c r="Z138" i="21"/>
  <c r="AA138" i="21"/>
  <c r="AB138" i="21" s="1"/>
  <c r="S44" i="42"/>
  <c r="AE44" i="42"/>
  <c r="AK44" i="42"/>
  <c r="Y44" i="42"/>
  <c r="AG59" i="43"/>
  <c r="AH59" i="43" s="1"/>
  <c r="AF59" i="43"/>
  <c r="AK105" i="43"/>
  <c r="AE105" i="43"/>
  <c r="Y105" i="43"/>
  <c r="S105" i="43"/>
  <c r="Q124" i="33"/>
  <c r="AC124" i="33"/>
  <c r="AI124" i="33"/>
  <c r="W124" i="33"/>
  <c r="AE124" i="37"/>
  <c r="S124" i="37"/>
  <c r="Y124" i="37"/>
  <c r="AK124" i="37"/>
  <c r="AC109" i="36"/>
  <c r="Q109" i="36"/>
  <c r="W109" i="36"/>
  <c r="AI109" i="36"/>
  <c r="Q107" i="37"/>
  <c r="AI107" i="37"/>
  <c r="W107" i="37"/>
  <c r="AC107" i="37"/>
  <c r="AK27" i="37"/>
  <c r="AC79" i="36"/>
  <c r="Q79" i="36"/>
  <c r="W79" i="36"/>
  <c r="AI79" i="36"/>
  <c r="Q112" i="36"/>
  <c r="W112" i="36"/>
  <c r="AI112" i="36"/>
  <c r="AC112" i="36"/>
  <c r="G116" i="43"/>
  <c r="G132" i="33"/>
  <c r="K132" i="33" s="1"/>
  <c r="G132" i="42"/>
  <c r="K132" i="42" s="1"/>
  <c r="G132" i="36"/>
  <c r="K132" i="36" s="1"/>
  <c r="G132" i="37"/>
  <c r="G131" i="21"/>
  <c r="K131" i="21" s="1"/>
  <c r="AC62" i="21"/>
  <c r="W62" i="21"/>
  <c r="Q62" i="21"/>
  <c r="AI62" i="21"/>
  <c r="AC142" i="21"/>
  <c r="AI142" i="21"/>
  <c r="Q142" i="21"/>
  <c r="W142" i="21"/>
  <c r="Q90" i="36"/>
  <c r="AI90" i="36"/>
  <c r="AC90" i="36"/>
  <c r="W90" i="36"/>
  <c r="AM125" i="21"/>
  <c r="AN125" i="21" s="1"/>
  <c r="AL125" i="21"/>
  <c r="W46" i="37"/>
  <c r="Q46" i="37"/>
  <c r="AC46" i="37"/>
  <c r="AI46" i="37"/>
  <c r="W10" i="21"/>
  <c r="AI10" i="21"/>
  <c r="AC10" i="21"/>
  <c r="Q10" i="21"/>
  <c r="Y13" i="37"/>
  <c r="Q140" i="33"/>
  <c r="AI140" i="33"/>
  <c r="W140" i="33"/>
  <c r="AC140" i="33"/>
  <c r="AF27" i="43"/>
  <c r="AG27" i="43"/>
  <c r="AH27" i="43" s="1"/>
  <c r="G52" i="33"/>
  <c r="K52" i="33" s="1"/>
  <c r="G52" i="21"/>
  <c r="G52" i="43"/>
  <c r="K52" i="43" s="1"/>
  <c r="G52" i="36"/>
  <c r="K52" i="36" s="1"/>
  <c r="G52" i="37"/>
  <c r="G52" i="42"/>
  <c r="K52" i="42" s="1"/>
  <c r="U144" i="37"/>
  <c r="V144" i="37" s="1"/>
  <c r="T144" i="37"/>
  <c r="AF48" i="36"/>
  <c r="AG48" i="36"/>
  <c r="AH48" i="36" s="1"/>
  <c r="U26" i="33"/>
  <c r="V26" i="33" s="1"/>
  <c r="T26" i="33"/>
  <c r="AC141" i="36"/>
  <c r="AI141" i="36"/>
  <c r="Q141" i="36"/>
  <c r="W141" i="36"/>
  <c r="AG13" i="43"/>
  <c r="AH13" i="43" s="1"/>
  <c r="AF13" i="43"/>
  <c r="AL126" i="33"/>
  <c r="AM126" i="33"/>
  <c r="AN126" i="33" s="1"/>
  <c r="AK73" i="33"/>
  <c r="AE73" i="33"/>
  <c r="S73" i="33"/>
  <c r="AM93" i="36"/>
  <c r="AN93" i="36" s="1"/>
  <c r="AL93" i="36"/>
  <c r="Y14" i="37"/>
  <c r="AK14" i="37"/>
  <c r="AE80" i="37"/>
  <c r="S80" i="37"/>
  <c r="AK80" i="37"/>
  <c r="Y79" i="37"/>
  <c r="S79" i="37"/>
  <c r="AE79" i="37"/>
  <c r="AK79" i="37"/>
  <c r="AA141" i="33"/>
  <c r="AB141" i="33" s="1"/>
  <c r="Z141" i="33"/>
  <c r="AC78" i="36"/>
  <c r="AI78" i="36"/>
  <c r="W78" i="36"/>
  <c r="Q78" i="36"/>
  <c r="AC30" i="21"/>
  <c r="AI30" i="21"/>
  <c r="W30" i="21"/>
  <c r="Q30" i="21"/>
  <c r="Y30" i="36"/>
  <c r="W96" i="33"/>
  <c r="Q96" i="33"/>
  <c r="AC96" i="33"/>
  <c r="AI96" i="33"/>
  <c r="W96" i="43"/>
  <c r="Q96" i="43"/>
  <c r="AI96" i="43"/>
  <c r="AC96" i="43"/>
  <c r="W145" i="33"/>
  <c r="AI145" i="33"/>
  <c r="Q145" i="33"/>
  <c r="AC145" i="33"/>
  <c r="Q76" i="43"/>
  <c r="W76" i="43"/>
  <c r="AI76" i="43"/>
  <c r="AC76" i="43"/>
  <c r="S13" i="36"/>
  <c r="AE47" i="42"/>
  <c r="AA138" i="36"/>
  <c r="AB138" i="36" s="1"/>
  <c r="Z138" i="36"/>
  <c r="AI73" i="42"/>
  <c r="AC73" i="42"/>
  <c r="Q73" i="42"/>
  <c r="W73" i="42"/>
  <c r="AK94" i="37"/>
  <c r="S94" i="37"/>
  <c r="Y94" i="37"/>
  <c r="AE94" i="37"/>
  <c r="AI26" i="43"/>
  <c r="Q26" i="43"/>
  <c r="AC26" i="43"/>
  <c r="W26" i="43"/>
  <c r="AI75" i="36"/>
  <c r="W75" i="36"/>
  <c r="Q75" i="36"/>
  <c r="AC75" i="36"/>
  <c r="AK124" i="33"/>
  <c r="AE124" i="33"/>
  <c r="S124" i="33"/>
  <c r="Y124" i="33"/>
  <c r="AC80" i="21"/>
  <c r="Q80" i="21"/>
  <c r="AI80" i="21"/>
  <c r="W80" i="21"/>
  <c r="AK105" i="42"/>
  <c r="G84" i="33"/>
  <c r="K84" i="33" s="1"/>
  <c r="G84" i="43"/>
  <c r="K84" i="43" s="1"/>
  <c r="G84" i="21"/>
  <c r="K84" i="21" s="1"/>
  <c r="G84" i="37"/>
  <c r="G84" i="42"/>
  <c r="K84" i="42" s="1"/>
  <c r="G84" i="36"/>
  <c r="K84" i="36" s="1"/>
  <c r="AK128" i="36"/>
  <c r="AE128" i="36"/>
  <c r="S128" i="36"/>
  <c r="Y128" i="36"/>
  <c r="Q91" i="42"/>
  <c r="W91" i="42"/>
  <c r="AI91" i="42"/>
  <c r="AC91" i="42"/>
  <c r="G16" i="42"/>
  <c r="K16" i="42" s="1"/>
  <c r="G16" i="36"/>
  <c r="K16" i="36" s="1"/>
  <c r="G16" i="37"/>
  <c r="K16" i="37" s="1"/>
  <c r="G16" i="43"/>
  <c r="K16" i="43" s="1"/>
  <c r="G16" i="33"/>
  <c r="K16" i="33" s="1"/>
  <c r="G16" i="21"/>
  <c r="K16" i="21" s="1"/>
  <c r="AE90" i="43"/>
  <c r="Y90" i="43"/>
  <c r="AK90" i="43"/>
  <c r="AF10" i="43"/>
  <c r="AG10" i="43"/>
  <c r="AH10" i="43" s="1"/>
  <c r="S29" i="36"/>
  <c r="Y29" i="36"/>
  <c r="AI110" i="42"/>
  <c r="Q110" i="42"/>
  <c r="AC110" i="42"/>
  <c r="W110" i="42"/>
  <c r="U95" i="43"/>
  <c r="V95" i="43" s="1"/>
  <c r="T95" i="43"/>
  <c r="AL109" i="37"/>
  <c r="AM109" i="37"/>
  <c r="AN109" i="37" s="1"/>
  <c r="Q43" i="33"/>
  <c r="AC43" i="33"/>
  <c r="AI43" i="33"/>
  <c r="W43" i="33"/>
  <c r="AK46" i="42"/>
  <c r="G113" i="21"/>
  <c r="K113" i="21" s="1"/>
  <c r="G113" i="37"/>
  <c r="K113" i="37" s="1"/>
  <c r="G113" i="42"/>
  <c r="G113" i="36"/>
  <c r="G113" i="33"/>
  <c r="K113" i="33" s="1"/>
  <c r="W60" i="21"/>
  <c r="Q60" i="21"/>
  <c r="AI60" i="21"/>
  <c r="AC60" i="21"/>
  <c r="G152" i="37"/>
  <c r="G152" i="42"/>
  <c r="G152" i="36"/>
  <c r="G151" i="21"/>
  <c r="G136" i="43"/>
  <c r="G152" i="33"/>
  <c r="Z121" i="42"/>
  <c r="AA121" i="42"/>
  <c r="AB121" i="42" s="1"/>
  <c r="AI93" i="21"/>
  <c r="AC93" i="21"/>
  <c r="W93" i="21"/>
  <c r="Q93" i="21"/>
  <c r="Z105" i="36"/>
  <c r="AA105" i="36"/>
  <c r="AB105" i="36" s="1"/>
  <c r="Q47" i="21"/>
  <c r="AI47" i="21"/>
  <c r="AC47" i="21"/>
  <c r="W47" i="21"/>
  <c r="W28" i="21"/>
  <c r="Q28" i="21"/>
  <c r="AC28" i="21"/>
  <c r="AI28" i="21"/>
  <c r="AI63" i="37"/>
  <c r="W63" i="37"/>
  <c r="AC63" i="37"/>
  <c r="Q63" i="37"/>
  <c r="G38" i="42"/>
  <c r="K38" i="42" s="1"/>
  <c r="G38" i="33"/>
  <c r="K38" i="33" s="1"/>
  <c r="G38" i="43"/>
  <c r="K38" i="43" s="1"/>
  <c r="G38" i="37"/>
  <c r="G38" i="21"/>
  <c r="K38" i="21" s="1"/>
  <c r="G38" i="36"/>
  <c r="K38" i="36" s="1"/>
  <c r="W15" i="21"/>
  <c r="AI15" i="21"/>
  <c r="Q15" i="21"/>
  <c r="AC15" i="21"/>
  <c r="AI142" i="37"/>
  <c r="AC142" i="37"/>
  <c r="W142" i="37"/>
  <c r="Q142" i="37"/>
  <c r="G114" i="37"/>
  <c r="K114" i="37" s="1"/>
  <c r="G114" i="36"/>
  <c r="G114" i="42"/>
  <c r="G114" i="33"/>
  <c r="K114" i="33" s="1"/>
  <c r="G114" i="21"/>
  <c r="K114" i="21" s="1"/>
  <c r="G86" i="42"/>
  <c r="K86" i="42" s="1"/>
  <c r="G86" i="33"/>
  <c r="K86" i="33" s="1"/>
  <c r="G86" i="21"/>
  <c r="K86" i="21" s="1"/>
  <c r="G86" i="43"/>
  <c r="K86" i="43" s="1"/>
  <c r="G86" i="36"/>
  <c r="K86" i="36" s="1"/>
  <c r="G86" i="37"/>
  <c r="AC127" i="33"/>
  <c r="W127" i="33"/>
  <c r="AI127" i="33"/>
  <c r="Q127" i="33"/>
  <c r="Q106" i="36"/>
  <c r="AC106" i="36"/>
  <c r="W106" i="36"/>
  <c r="AI106" i="36"/>
  <c r="AE110" i="33"/>
  <c r="AK110" i="33"/>
  <c r="T74" i="21"/>
  <c r="U74" i="21"/>
  <c r="V74" i="21" s="1"/>
  <c r="Y124" i="42"/>
  <c r="AK124" i="42"/>
  <c r="AE124" i="42"/>
  <c r="AE80" i="33"/>
  <c r="Y80" i="33"/>
  <c r="S80" i="33"/>
  <c r="W138" i="36"/>
  <c r="Q138" i="36"/>
  <c r="AI138" i="36"/>
  <c r="AC138" i="36"/>
  <c r="AG27" i="21"/>
  <c r="AH27" i="21" s="1"/>
  <c r="AF27" i="21"/>
  <c r="AK96" i="36"/>
  <c r="AE96" i="36"/>
  <c r="Y96" i="36"/>
  <c r="Q57" i="33"/>
  <c r="AI57" i="33"/>
  <c r="W57" i="33"/>
  <c r="AC57" i="33"/>
  <c r="AI144" i="37"/>
  <c r="W144" i="37"/>
  <c r="AC144" i="37"/>
  <c r="Q144" i="37"/>
  <c r="W41" i="37"/>
  <c r="AI41" i="37"/>
  <c r="Q41" i="37"/>
  <c r="AC41" i="37"/>
  <c r="S12" i="42"/>
  <c r="AK12" i="42"/>
  <c r="AE12" i="42"/>
  <c r="Y12" i="42"/>
  <c r="AG124" i="21"/>
  <c r="AH124" i="21" s="1"/>
  <c r="AF124" i="21"/>
  <c r="W48" i="42"/>
  <c r="AI48" i="42"/>
  <c r="Q48" i="42"/>
  <c r="AC48" i="42"/>
  <c r="AI24" i="37"/>
  <c r="W24" i="37"/>
  <c r="AC24" i="37"/>
  <c r="Q24" i="37"/>
  <c r="G115" i="33"/>
  <c r="K115" i="33" s="1"/>
  <c r="G115" i="42"/>
  <c r="G115" i="21"/>
  <c r="K115" i="21" s="1"/>
  <c r="G115" i="37"/>
  <c r="K115" i="37" s="1"/>
  <c r="G115" i="36"/>
  <c r="AC94" i="21"/>
  <c r="W94" i="21"/>
  <c r="AI94" i="21"/>
  <c r="Q94" i="21"/>
  <c r="AF26" i="42"/>
  <c r="AG26" i="42"/>
  <c r="AH26" i="42" s="1"/>
  <c r="T127" i="37"/>
  <c r="U127" i="37"/>
  <c r="V127" i="37" s="1"/>
  <c r="AM93" i="42"/>
  <c r="AN93" i="42" s="1"/>
  <c r="AL93" i="42"/>
  <c r="AE95" i="36"/>
  <c r="S95" i="36"/>
  <c r="AK95" i="36"/>
  <c r="Y95" i="36"/>
  <c r="AF14" i="43"/>
  <c r="AG14" i="43"/>
  <c r="AH14" i="43" s="1"/>
  <c r="W45" i="43"/>
  <c r="Q45" i="43"/>
  <c r="AC45" i="43"/>
  <c r="AI45" i="43"/>
  <c r="AC92" i="36"/>
  <c r="Q92" i="36"/>
  <c r="AI92" i="36"/>
  <c r="W92" i="36"/>
  <c r="AG143" i="21"/>
  <c r="AH143" i="21" s="1"/>
  <c r="AF143" i="21"/>
  <c r="AG60" i="36"/>
  <c r="AH60" i="36" s="1"/>
  <c r="AF60" i="36"/>
  <c r="W25" i="43"/>
  <c r="AC25" i="43"/>
  <c r="Q25" i="43"/>
  <c r="AI25" i="43"/>
  <c r="G51" i="37"/>
  <c r="K51" i="37" s="1"/>
  <c r="G51" i="33"/>
  <c r="K51" i="33" s="1"/>
  <c r="G51" i="36"/>
  <c r="K51" i="36" s="1"/>
  <c r="G51" i="21"/>
  <c r="G51" i="42"/>
  <c r="K51" i="42" s="1"/>
  <c r="G51" i="43"/>
  <c r="K51" i="43" s="1"/>
  <c r="G146" i="21"/>
  <c r="K146" i="21" s="1"/>
  <c r="G147" i="36"/>
  <c r="K147" i="36" s="1"/>
  <c r="G147" i="37"/>
  <c r="K147" i="37" s="1"/>
  <c r="G131" i="43"/>
  <c r="K131" i="43" s="1"/>
  <c r="G147" i="33"/>
  <c r="K147" i="33" s="1"/>
  <c r="G147" i="42"/>
  <c r="K147" i="42" s="1"/>
  <c r="G102" i="42"/>
  <c r="K102" i="42" s="1"/>
  <c r="G102" i="43"/>
  <c r="G102" i="33"/>
  <c r="K102" i="33" s="1"/>
  <c r="G102" i="36"/>
  <c r="K102" i="36" s="1"/>
  <c r="G102" i="37"/>
  <c r="G102" i="21"/>
  <c r="K102" i="21" s="1"/>
  <c r="AC31" i="43"/>
  <c r="W31" i="43"/>
  <c r="AI31" i="43"/>
  <c r="Q31" i="43"/>
  <c r="AK43" i="37"/>
  <c r="AE43" i="37"/>
  <c r="Y43" i="37"/>
  <c r="S43" i="37"/>
  <c r="AK138" i="33"/>
  <c r="AE138" i="33"/>
  <c r="Y138" i="33"/>
  <c r="S79" i="36"/>
  <c r="AE79" i="36"/>
  <c r="AK79" i="36"/>
  <c r="G68" i="36"/>
  <c r="K68" i="36" s="1"/>
  <c r="G68" i="21"/>
  <c r="K68" i="21" s="1"/>
  <c r="G68" i="37"/>
  <c r="G68" i="42"/>
  <c r="K68" i="42" s="1"/>
  <c r="G68" i="43"/>
  <c r="K68" i="43" s="1"/>
  <c r="G68" i="33"/>
  <c r="K68" i="33" s="1"/>
  <c r="AE145" i="37"/>
  <c r="Y145" i="37"/>
  <c r="S145" i="37"/>
  <c r="AK145" i="37"/>
  <c r="AL61" i="21"/>
  <c r="AM61" i="21"/>
  <c r="AN61" i="21" s="1"/>
  <c r="AI89" i="37"/>
  <c r="Q89" i="37"/>
  <c r="W89" i="37"/>
  <c r="AC89" i="37"/>
  <c r="U48" i="33"/>
  <c r="V48" i="33" s="1"/>
  <c r="T48" i="33"/>
  <c r="AK140" i="36"/>
  <c r="Y140" i="36"/>
  <c r="AE140" i="36"/>
  <c r="AE42" i="37"/>
  <c r="Y42" i="37"/>
  <c r="AK42" i="37"/>
  <c r="AL62" i="21"/>
  <c r="AM62" i="21"/>
  <c r="AN62" i="21" s="1"/>
  <c r="AM10" i="21"/>
  <c r="AN10" i="21" s="1"/>
  <c r="AL10" i="21"/>
  <c r="AC105" i="42"/>
  <c r="Q105" i="42"/>
  <c r="W105" i="42"/>
  <c r="AI105" i="42"/>
  <c r="Y138" i="21"/>
  <c r="G49" i="21"/>
  <c r="K49" i="21" s="1"/>
  <c r="G49" i="43"/>
  <c r="K49" i="43" s="1"/>
  <c r="G49" i="42"/>
  <c r="K49" i="42" s="1"/>
  <c r="G49" i="33"/>
  <c r="K49" i="33" s="1"/>
  <c r="G49" i="36"/>
  <c r="K49" i="36" s="1"/>
  <c r="G49" i="37"/>
  <c r="K49" i="37" s="1"/>
  <c r="G150" i="33"/>
  <c r="K150" i="33" s="1"/>
  <c r="G150" i="42"/>
  <c r="K150" i="42" s="1"/>
  <c r="G149" i="21"/>
  <c r="K149" i="21" s="1"/>
  <c r="G150" i="37"/>
  <c r="G134" i="43"/>
  <c r="G150" i="36"/>
  <c r="K150" i="36" s="1"/>
  <c r="AI31" i="21"/>
  <c r="Q31" i="21"/>
  <c r="AC31" i="21"/>
  <c r="W31" i="21"/>
  <c r="Y30" i="43"/>
  <c r="S30" i="43"/>
  <c r="AK30" i="43"/>
  <c r="AE30" i="43"/>
  <c r="S145" i="36"/>
  <c r="AK145" i="36"/>
  <c r="AE145" i="36"/>
  <c r="Y145" i="36"/>
  <c r="AC9" i="33"/>
  <c r="AI9" i="33"/>
  <c r="Q9" i="33"/>
  <c r="W9" i="33"/>
  <c r="AL9" i="33"/>
  <c r="AM9" i="33"/>
  <c r="AN9" i="33" s="1"/>
  <c r="Q42" i="21"/>
  <c r="AI42" i="21"/>
  <c r="W42" i="21"/>
  <c r="AC42" i="21"/>
  <c r="G22" i="33"/>
  <c r="G22" i="42"/>
  <c r="G22" i="43"/>
  <c r="G22" i="36"/>
  <c r="G22" i="37"/>
  <c r="G22" i="21"/>
  <c r="W105" i="21"/>
  <c r="AI105" i="21"/>
  <c r="Q105" i="21"/>
  <c r="AC105" i="21"/>
  <c r="T121" i="43"/>
  <c r="U121" i="43"/>
  <c r="V121" i="43" s="1"/>
  <c r="AL95" i="33"/>
  <c r="AM95" i="33"/>
  <c r="AN95" i="33" s="1"/>
  <c r="W27" i="36"/>
  <c r="Q27" i="36"/>
  <c r="AC27" i="36"/>
  <c r="AI27" i="36"/>
  <c r="AL58" i="33"/>
  <c r="AM58" i="33"/>
  <c r="AN58" i="33" s="1"/>
  <c r="Q111" i="37"/>
  <c r="AC111" i="37"/>
  <c r="AI111" i="37"/>
  <c r="W111" i="37"/>
  <c r="W111" i="42"/>
  <c r="Q111" i="42"/>
  <c r="AC111" i="42"/>
  <c r="AI111" i="42"/>
  <c r="AG60" i="43"/>
  <c r="AH60" i="43" s="1"/>
  <c r="AF60" i="43"/>
  <c r="AM142" i="33"/>
  <c r="AN142" i="33" s="1"/>
  <c r="AL142" i="33"/>
  <c r="AC141" i="37"/>
  <c r="AI141" i="37"/>
  <c r="W141" i="37"/>
  <c r="Q141" i="37"/>
  <c r="Y90" i="42"/>
  <c r="AK90" i="42"/>
  <c r="S90" i="42"/>
  <c r="AE90" i="42"/>
  <c r="AK44" i="36"/>
  <c r="Y44" i="36"/>
  <c r="S44" i="36"/>
  <c r="AE44" i="36"/>
  <c r="Y28" i="36"/>
  <c r="AE28" i="36"/>
  <c r="S28" i="36"/>
  <c r="AK28" i="36"/>
  <c r="G18" i="21"/>
  <c r="G18" i="43"/>
  <c r="K18" i="43" s="1"/>
  <c r="G18" i="36"/>
  <c r="K18" i="36" s="1"/>
  <c r="G18" i="37"/>
  <c r="K18" i="37" s="1"/>
  <c r="G18" i="33"/>
  <c r="K18" i="33" s="1"/>
  <c r="G18" i="42"/>
  <c r="K18" i="42" s="1"/>
  <c r="S63" i="21"/>
  <c r="AK63" i="21"/>
  <c r="AE63" i="21"/>
  <c r="Y63" i="21"/>
  <c r="AC77" i="36"/>
  <c r="AI77" i="36"/>
  <c r="W77" i="36"/>
  <c r="Q77" i="36"/>
  <c r="AI74" i="33"/>
  <c r="Q74" i="33"/>
  <c r="W74" i="33"/>
  <c r="AC74" i="33"/>
  <c r="AC122" i="36"/>
  <c r="Q122" i="36"/>
  <c r="W122" i="36"/>
  <c r="AI122" i="36"/>
  <c r="AC122" i="42"/>
  <c r="W122" i="42"/>
  <c r="Q122" i="42"/>
  <c r="AI122" i="42"/>
  <c r="AE43" i="36"/>
  <c r="Y43" i="36"/>
  <c r="S43" i="36"/>
  <c r="AK43" i="36"/>
  <c r="AE141" i="21"/>
  <c r="AK141" i="21"/>
  <c r="Y141" i="21"/>
  <c r="S141" i="21"/>
  <c r="AK30" i="21"/>
  <c r="Y30" i="21"/>
  <c r="G116" i="33"/>
  <c r="K116" i="33" s="1"/>
  <c r="G116" i="21"/>
  <c r="K116" i="21" s="1"/>
  <c r="G116" i="37"/>
  <c r="K116" i="37" s="1"/>
  <c r="G116" i="42"/>
  <c r="G116" i="36"/>
  <c r="W78" i="37"/>
  <c r="AI78" i="37"/>
  <c r="Q78" i="37"/>
  <c r="AC78" i="37"/>
  <c r="AI78" i="42"/>
  <c r="Q78" i="42"/>
  <c r="W78" i="42"/>
  <c r="AC78" i="42"/>
  <c r="Q30" i="42"/>
  <c r="W30" i="42"/>
  <c r="AC30" i="42"/>
  <c r="AI30" i="42"/>
  <c r="AI96" i="36"/>
  <c r="W96" i="36"/>
  <c r="AC96" i="36"/>
  <c r="Q96" i="36"/>
  <c r="Q44" i="43"/>
  <c r="AI44" i="43"/>
  <c r="W44" i="43"/>
  <c r="AC44" i="43"/>
  <c r="AI11" i="42"/>
  <c r="W11" i="42"/>
  <c r="Q11" i="42"/>
  <c r="AC11" i="42"/>
  <c r="U78" i="43"/>
  <c r="V78" i="43" s="1"/>
  <c r="T78" i="43"/>
  <c r="AM89" i="21"/>
  <c r="AN89" i="21" s="1"/>
  <c r="AL89" i="21"/>
  <c r="AK47" i="36"/>
  <c r="AE47" i="36"/>
  <c r="S47" i="36"/>
  <c r="W73" i="36"/>
  <c r="AC73" i="36"/>
  <c r="AI73" i="36"/>
  <c r="Q73" i="36"/>
  <c r="AK92" i="33"/>
  <c r="S92" i="33"/>
  <c r="W8" i="43"/>
  <c r="AI8" i="43"/>
  <c r="Q8" i="43"/>
  <c r="W14" i="21"/>
  <c r="AC14" i="21"/>
  <c r="AI14" i="21"/>
  <c r="Q14" i="21"/>
  <c r="Q14" i="42"/>
  <c r="W14" i="42"/>
  <c r="AC14" i="42"/>
  <c r="AI14" i="42"/>
  <c r="Q80" i="42"/>
  <c r="AI80" i="42"/>
  <c r="AC80" i="42"/>
  <c r="W80" i="42"/>
  <c r="AK142" i="42"/>
  <c r="AE142" i="42"/>
  <c r="S142" i="42"/>
  <c r="Y142" i="42"/>
  <c r="AK79" i="21"/>
  <c r="AE79" i="21"/>
  <c r="Y79" i="21"/>
  <c r="S79" i="21"/>
  <c r="AC128" i="37"/>
  <c r="AI128" i="37"/>
  <c r="W128" i="37"/>
  <c r="Q128" i="37"/>
  <c r="W91" i="33"/>
  <c r="AC91" i="33"/>
  <c r="AI91" i="33"/>
  <c r="Q91" i="33"/>
  <c r="AI108" i="42"/>
  <c r="AC108" i="42"/>
  <c r="Q108" i="42"/>
  <c r="W108" i="42"/>
  <c r="AI61" i="33"/>
  <c r="Q61" i="33"/>
  <c r="AC61" i="33"/>
  <c r="W61" i="33"/>
  <c r="AA61" i="33"/>
  <c r="AB61" i="33" s="1"/>
  <c r="Z61" i="33"/>
  <c r="W137" i="42"/>
  <c r="AI137" i="42"/>
  <c r="AC137" i="42"/>
  <c r="Q137" i="42"/>
  <c r="W12" i="33"/>
  <c r="AI12" i="33"/>
  <c r="AC12" i="33"/>
  <c r="Q12" i="33"/>
  <c r="AI125" i="42"/>
  <c r="W125" i="42"/>
  <c r="AC125" i="42"/>
  <c r="Q125" i="42"/>
  <c r="Q59" i="21"/>
  <c r="AI59" i="21"/>
  <c r="AC59" i="21"/>
  <c r="W59" i="21"/>
  <c r="AC110" i="36"/>
  <c r="AI110" i="36"/>
  <c r="W110" i="36"/>
  <c r="Q110" i="36"/>
  <c r="AI123" i="33"/>
  <c r="AC123" i="33"/>
  <c r="Q123" i="33"/>
  <c r="W123" i="33"/>
  <c r="W107" i="43"/>
  <c r="AC107" i="43"/>
  <c r="Q107" i="43"/>
  <c r="AI107" i="43"/>
  <c r="W43" i="43"/>
  <c r="AC43" i="43"/>
  <c r="Q43" i="43"/>
  <c r="AI43" i="43"/>
  <c r="G129" i="33"/>
  <c r="K129" i="33" s="1"/>
  <c r="G129" i="37"/>
  <c r="K129" i="37" s="1"/>
  <c r="G129" i="36"/>
  <c r="K129" i="36" s="1"/>
  <c r="G128" i="21"/>
  <c r="K128" i="21" s="1"/>
  <c r="G129" i="42"/>
  <c r="K129" i="42" s="1"/>
  <c r="G113" i="43"/>
  <c r="K113" i="43" s="1"/>
  <c r="AI58" i="42"/>
  <c r="Q58" i="42"/>
  <c r="W58" i="42"/>
  <c r="AC58" i="42"/>
  <c r="AF96" i="37"/>
  <c r="AG96" i="37"/>
  <c r="AH96" i="37" s="1"/>
  <c r="W60" i="42"/>
  <c r="AI60" i="42"/>
  <c r="Q60" i="42"/>
  <c r="AC60" i="42"/>
  <c r="AA61" i="42"/>
  <c r="AB61" i="42" s="1"/>
  <c r="Z61" i="42"/>
  <c r="AG107" i="42"/>
  <c r="AH107" i="42" s="1"/>
  <c r="AF107" i="42"/>
  <c r="T24" i="42"/>
  <c r="U24" i="42"/>
  <c r="V24" i="42" s="1"/>
  <c r="AC47" i="43"/>
  <c r="W47" i="43"/>
  <c r="Q47" i="43"/>
  <c r="AI47" i="43"/>
  <c r="AC28" i="33"/>
  <c r="AI28" i="33"/>
  <c r="Q28" i="33"/>
  <c r="W28" i="33"/>
  <c r="G131" i="37"/>
  <c r="K131" i="37" s="1"/>
  <c r="G131" i="36"/>
  <c r="K131" i="36" s="1"/>
  <c r="G131" i="42"/>
  <c r="K131" i="42" s="1"/>
  <c r="G115" i="43"/>
  <c r="G131" i="33"/>
  <c r="K131" i="33" s="1"/>
  <c r="G130" i="21"/>
  <c r="K130" i="21" s="1"/>
  <c r="AI63" i="21"/>
  <c r="Q63" i="21"/>
  <c r="W63" i="21"/>
  <c r="AC63" i="21"/>
  <c r="G118" i="33"/>
  <c r="K118" i="33" s="1"/>
  <c r="G118" i="42"/>
  <c r="G118" i="36"/>
  <c r="G118" i="37"/>
  <c r="K118" i="37" s="1"/>
  <c r="G117" i="21"/>
  <c r="K117" i="21" s="1"/>
  <c r="AM126" i="21"/>
  <c r="AN126" i="21" s="1"/>
  <c r="AL126" i="21"/>
  <c r="AK25" i="42"/>
  <c r="AE25" i="42"/>
  <c r="Y25" i="42"/>
  <c r="Y92" i="42"/>
  <c r="S92" i="42"/>
  <c r="AK92" i="42"/>
  <c r="AE92" i="42"/>
  <c r="AC127" i="36"/>
  <c r="Q127" i="36"/>
  <c r="W127" i="36"/>
  <c r="AI127" i="36"/>
  <c r="Q111" i="43"/>
  <c r="AC111" i="43"/>
  <c r="AI111" i="43"/>
  <c r="W111" i="43"/>
  <c r="AK77" i="43"/>
  <c r="AE77" i="43"/>
  <c r="S77" i="43"/>
  <c r="Y77" i="43"/>
  <c r="AK95" i="37"/>
  <c r="AE95" i="37"/>
  <c r="S95" i="37"/>
  <c r="Y95" i="37"/>
  <c r="Z14" i="33"/>
  <c r="AA14" i="33"/>
  <c r="AB14" i="33" s="1"/>
  <c r="Q137" i="21"/>
  <c r="AI137" i="21"/>
  <c r="AC137" i="21"/>
  <c r="W137" i="21"/>
  <c r="S138" i="37"/>
  <c r="AK138" i="37"/>
  <c r="AE138" i="37"/>
  <c r="AC57" i="36"/>
  <c r="AI57" i="36"/>
  <c r="W57" i="36"/>
  <c r="Q57" i="36"/>
  <c r="Q57" i="43"/>
  <c r="AI57" i="43"/>
  <c r="W57" i="43"/>
  <c r="AC57" i="43"/>
  <c r="AC144" i="33"/>
  <c r="W144" i="33"/>
  <c r="Q144" i="33"/>
  <c r="AI144" i="33"/>
  <c r="AK91" i="33"/>
  <c r="AE91" i="33"/>
  <c r="Y91" i="33"/>
  <c r="G146" i="42"/>
  <c r="K146" i="42" s="1"/>
  <c r="G145" i="21"/>
  <c r="K145" i="21" s="1"/>
  <c r="G130" i="43"/>
  <c r="K130" i="43" s="1"/>
  <c r="G146" i="37"/>
  <c r="K146" i="37" s="1"/>
  <c r="G146" i="36"/>
  <c r="K146" i="36" s="1"/>
  <c r="G146" i="33"/>
  <c r="K146" i="33" s="1"/>
  <c r="Q41" i="36"/>
  <c r="W41" i="36"/>
  <c r="AI41" i="36"/>
  <c r="AC41" i="36"/>
  <c r="Z62" i="42"/>
  <c r="AA62" i="42"/>
  <c r="AB62" i="42" s="1"/>
  <c r="Q48" i="33"/>
  <c r="AC48" i="33"/>
  <c r="W48" i="33"/>
  <c r="AI48" i="33"/>
  <c r="W94" i="36"/>
  <c r="Q94" i="36"/>
  <c r="AI94" i="36"/>
  <c r="AC94" i="36"/>
  <c r="W94" i="42"/>
  <c r="Q94" i="42"/>
  <c r="AC94" i="42"/>
  <c r="AI94" i="42"/>
  <c r="AF26" i="37"/>
  <c r="AG26" i="37"/>
  <c r="AH26" i="37" s="1"/>
  <c r="Y11" i="36"/>
  <c r="AL120" i="21"/>
  <c r="AM120" i="21"/>
  <c r="AN120" i="21" s="1"/>
  <c r="Q95" i="21"/>
  <c r="AI95" i="21"/>
  <c r="AC95" i="21"/>
  <c r="W95" i="21"/>
  <c r="G119" i="37"/>
  <c r="K119" i="37" s="1"/>
  <c r="G119" i="36"/>
  <c r="G119" i="33"/>
  <c r="K119" i="33" s="1"/>
  <c r="G119" i="42"/>
  <c r="G118" i="21"/>
  <c r="AC92" i="37"/>
  <c r="W92" i="37"/>
  <c r="Q92" i="37"/>
  <c r="AI92" i="37"/>
  <c r="U137" i="33"/>
  <c r="V137" i="33" s="1"/>
  <c r="T137" i="33"/>
  <c r="AE60" i="33"/>
  <c r="AK60" i="33"/>
  <c r="S60" i="33"/>
  <c r="Y60" i="33"/>
  <c r="T76" i="21"/>
  <c r="U76" i="21"/>
  <c r="V76" i="21" s="1"/>
  <c r="G55" i="42"/>
  <c r="G55" i="21"/>
  <c r="G55" i="37"/>
  <c r="G55" i="43"/>
  <c r="G55" i="36"/>
  <c r="G55" i="33"/>
  <c r="Q9" i="37"/>
  <c r="AC9" i="37"/>
  <c r="AI9" i="37"/>
  <c r="W9" i="37"/>
  <c r="Q13" i="37"/>
  <c r="AC13" i="37"/>
  <c r="W13" i="37"/>
  <c r="AI13" i="37"/>
  <c r="W13" i="43"/>
  <c r="AI13" i="43"/>
  <c r="AC13" i="43"/>
  <c r="Q13" i="43"/>
  <c r="AC27" i="21"/>
  <c r="AI27" i="21"/>
  <c r="W27" i="21"/>
  <c r="Q27" i="21"/>
  <c r="S112" i="37"/>
  <c r="AK112" i="37"/>
  <c r="AE112" i="37"/>
  <c r="Y112" i="37"/>
  <c r="AE45" i="37"/>
  <c r="AK45" i="37"/>
  <c r="Y45" i="37"/>
  <c r="AF64" i="43"/>
  <c r="AG64" i="43"/>
  <c r="AH64" i="43" s="1"/>
  <c r="AM26" i="36"/>
  <c r="AN26" i="36" s="1"/>
  <c r="AL26" i="36"/>
  <c r="AK106" i="42"/>
  <c r="AE106" i="42"/>
  <c r="S106" i="42"/>
  <c r="Y106" i="42"/>
  <c r="AE8" i="36"/>
  <c r="Y8" i="36"/>
  <c r="S8" i="36"/>
  <c r="AK8" i="36"/>
  <c r="W123" i="21"/>
  <c r="AI123" i="21"/>
  <c r="Q123" i="21"/>
  <c r="AC123" i="21"/>
  <c r="Y109" i="36"/>
  <c r="S109" i="36"/>
  <c r="AE109" i="36"/>
  <c r="AK109" i="36"/>
  <c r="Q79" i="43"/>
  <c r="AC79" i="43"/>
  <c r="W79" i="43"/>
  <c r="AI79" i="43"/>
  <c r="AI112" i="42"/>
  <c r="Q112" i="42"/>
  <c r="AC112" i="42"/>
  <c r="W112" i="42"/>
  <c r="AK144" i="21"/>
  <c r="AE144" i="21"/>
  <c r="S144" i="21"/>
  <c r="AC62" i="36"/>
  <c r="AI62" i="36"/>
  <c r="Q62" i="36"/>
  <c r="W62" i="36"/>
  <c r="AI143" i="42"/>
  <c r="Q143" i="42"/>
  <c r="AC143" i="42"/>
  <c r="W143" i="42"/>
  <c r="W90" i="37"/>
  <c r="AI90" i="37"/>
  <c r="Q90" i="37"/>
  <c r="AC90" i="37"/>
  <c r="Y126" i="42"/>
  <c r="AE126" i="42"/>
  <c r="S126" i="42"/>
  <c r="AK46" i="37"/>
  <c r="Y46" i="37"/>
  <c r="S46" i="37"/>
  <c r="G37" i="37"/>
  <c r="G37" i="21"/>
  <c r="G37" i="42"/>
  <c r="K37" i="42" s="1"/>
  <c r="G37" i="36"/>
  <c r="K37" i="36" s="1"/>
  <c r="G37" i="43"/>
  <c r="G37" i="33"/>
  <c r="K37" i="33" s="1"/>
  <c r="W10" i="43"/>
  <c r="Q10" i="43"/>
  <c r="AI10" i="43"/>
  <c r="AC10" i="43"/>
  <c r="AC140" i="37"/>
  <c r="W140" i="37"/>
  <c r="Q140" i="37"/>
  <c r="AI140" i="37"/>
  <c r="AK57" i="37"/>
  <c r="AE57" i="37"/>
  <c r="Y57" i="37"/>
  <c r="AI111" i="33"/>
  <c r="AC111" i="33"/>
  <c r="W111" i="33"/>
  <c r="Q111" i="33"/>
  <c r="Z41" i="37"/>
  <c r="AA41" i="37"/>
  <c r="AB41" i="37" s="1"/>
  <c r="AK76" i="42"/>
  <c r="S76" i="42"/>
  <c r="AE76" i="42"/>
  <c r="Y76" i="42"/>
  <c r="AM141" i="42"/>
  <c r="AN141" i="42" s="1"/>
  <c r="AL141" i="42"/>
  <c r="AL140" i="42"/>
  <c r="AM140" i="42"/>
  <c r="AN140" i="42" s="1"/>
  <c r="W140" i="21"/>
  <c r="Q140" i="21"/>
  <c r="AI140" i="21"/>
  <c r="AC140" i="21"/>
  <c r="AK45" i="36"/>
  <c r="Y45" i="36"/>
  <c r="G33" i="42"/>
  <c r="K33" i="42" s="1"/>
  <c r="G33" i="43"/>
  <c r="K33" i="43" s="1"/>
  <c r="G33" i="36"/>
  <c r="K33" i="36" s="1"/>
  <c r="G33" i="33"/>
  <c r="K33" i="33" s="1"/>
  <c r="G33" i="37"/>
  <c r="K33" i="37" s="1"/>
  <c r="G33" i="21"/>
  <c r="K33" i="21" s="1"/>
  <c r="G21" i="21"/>
  <c r="K21" i="21" s="1"/>
  <c r="G21" i="37"/>
  <c r="G21" i="36"/>
  <c r="K21" i="36" s="1"/>
  <c r="G21" i="43"/>
  <c r="G21" i="42"/>
  <c r="K21" i="42" s="1"/>
  <c r="G21" i="33"/>
  <c r="K21" i="33" s="1"/>
  <c r="W77" i="21"/>
  <c r="AI77" i="21"/>
  <c r="Q77" i="21"/>
  <c r="AC77" i="21"/>
  <c r="W74" i="42"/>
  <c r="Q74" i="42"/>
  <c r="AI74" i="42"/>
  <c r="AC74" i="42"/>
  <c r="Q122" i="37"/>
  <c r="W122" i="37"/>
  <c r="AC122" i="37"/>
  <c r="AI122" i="37"/>
  <c r="AE124" i="43"/>
  <c r="S124" i="43"/>
  <c r="Y124" i="43"/>
  <c r="AK124" i="43"/>
  <c r="AK112" i="36"/>
  <c r="AE112" i="36"/>
  <c r="Y112" i="36"/>
  <c r="S112" i="36"/>
  <c r="AA96" i="42"/>
  <c r="AB96" i="42" s="1"/>
  <c r="Z96" i="42"/>
  <c r="AE139" i="33"/>
  <c r="Y139" i="33"/>
  <c r="S139" i="33"/>
  <c r="AK139" i="33"/>
  <c r="Y128" i="37"/>
  <c r="AE128" i="37"/>
  <c r="AK128" i="37"/>
  <c r="Q78" i="43"/>
  <c r="AC78" i="43"/>
  <c r="W78" i="43"/>
  <c r="AI78" i="43"/>
  <c r="AM78" i="36"/>
  <c r="AN78" i="36" s="1"/>
  <c r="AL78" i="36"/>
  <c r="AM46" i="33"/>
  <c r="AN46" i="33" s="1"/>
  <c r="AL46" i="33"/>
  <c r="AM80" i="42"/>
  <c r="AN80" i="42" s="1"/>
  <c r="AL80" i="42"/>
  <c r="AL43" i="42"/>
  <c r="AM43" i="42"/>
  <c r="AN43" i="42" s="1"/>
  <c r="AC96" i="37"/>
  <c r="W96" i="37"/>
  <c r="AI96" i="37"/>
  <c r="Q96" i="37"/>
  <c r="AC145" i="36"/>
  <c r="AI145" i="36"/>
  <c r="W145" i="36"/>
  <c r="Q145" i="36"/>
  <c r="AL60" i="21"/>
  <c r="AM60" i="21"/>
  <c r="AN60" i="21" s="1"/>
  <c r="AI76" i="33"/>
  <c r="AC76" i="33"/>
  <c r="Q76" i="33"/>
  <c r="W76" i="33"/>
  <c r="Q44" i="37"/>
  <c r="W44" i="37"/>
  <c r="AI44" i="37"/>
  <c r="AC44" i="37"/>
  <c r="U25" i="36"/>
  <c r="V25" i="36" s="1"/>
  <c r="T25" i="36"/>
  <c r="W11" i="36"/>
  <c r="AI11" i="36"/>
  <c r="AC11" i="36"/>
  <c r="Q11" i="36"/>
  <c r="W11" i="43"/>
  <c r="AC11" i="43"/>
  <c r="Q11" i="43"/>
  <c r="AI11" i="43"/>
  <c r="S78" i="43"/>
  <c r="Q64" i="21"/>
  <c r="W64" i="21"/>
  <c r="AC64" i="21"/>
  <c r="AI64" i="21"/>
  <c r="AI73" i="43"/>
  <c r="Q73" i="43"/>
  <c r="W73" i="43"/>
  <c r="AC73" i="43"/>
  <c r="AK59" i="37"/>
  <c r="AE59" i="37"/>
  <c r="S59" i="37"/>
  <c r="Y59" i="37"/>
  <c r="AI121" i="33"/>
  <c r="W121" i="33"/>
  <c r="Q121" i="33"/>
  <c r="AC121" i="33"/>
  <c r="W8" i="42"/>
  <c r="AI8" i="42"/>
  <c r="AC8" i="42"/>
  <c r="Q8" i="42"/>
  <c r="Q14" i="33"/>
  <c r="AC14" i="33"/>
  <c r="AI14" i="33"/>
  <c r="W14" i="33"/>
  <c r="W14" i="43"/>
  <c r="AI14" i="43"/>
  <c r="AC14" i="43"/>
  <c r="Q14" i="43"/>
  <c r="AC80" i="37"/>
  <c r="W80" i="37"/>
  <c r="AI80" i="37"/>
  <c r="Q80" i="37"/>
  <c r="AL80" i="36"/>
  <c r="AM80" i="36"/>
  <c r="AN80" i="36" s="1"/>
  <c r="Y142" i="36"/>
  <c r="AK142" i="36"/>
  <c r="AE142" i="36"/>
  <c r="AC139" i="36"/>
  <c r="AI139" i="36"/>
  <c r="W139" i="36"/>
  <c r="Q139" i="36"/>
  <c r="AK129" i="43"/>
  <c r="AE129" i="43"/>
  <c r="Y129" i="43"/>
  <c r="S129" i="43"/>
  <c r="AG78" i="37"/>
  <c r="AH78" i="37" s="1"/>
  <c r="AF78" i="37"/>
  <c r="AC91" i="37"/>
  <c r="AI91" i="37"/>
  <c r="Q91" i="37"/>
  <c r="W91" i="37"/>
  <c r="Q136" i="21"/>
  <c r="AI136" i="21"/>
  <c r="AC136" i="21"/>
  <c r="W136" i="21"/>
  <c r="AF24" i="21"/>
  <c r="AG24" i="21"/>
  <c r="AH24" i="21" s="1"/>
  <c r="AC59" i="37"/>
  <c r="AI59" i="37"/>
  <c r="W59" i="37"/>
  <c r="Q59" i="37"/>
  <c r="AC59" i="42"/>
  <c r="AI59" i="42"/>
  <c r="Q59" i="42"/>
  <c r="W59" i="42"/>
  <c r="W110" i="33"/>
  <c r="AI110" i="33"/>
  <c r="AC110" i="33"/>
  <c r="Q110" i="33"/>
  <c r="S110" i="36"/>
  <c r="AK110" i="36"/>
  <c r="AE110" i="36"/>
  <c r="W123" i="42"/>
  <c r="Q123" i="42"/>
  <c r="AC123" i="42"/>
  <c r="AI123" i="42"/>
  <c r="Y123" i="21"/>
  <c r="AK123" i="21"/>
  <c r="AE123" i="21"/>
  <c r="AE31" i="37"/>
  <c r="S31" i="37"/>
  <c r="Y31" i="37"/>
  <c r="AF105" i="37"/>
  <c r="AG105" i="37"/>
  <c r="AH105" i="37" s="1"/>
  <c r="AF58" i="36"/>
  <c r="AG58" i="36"/>
  <c r="AH58" i="36" s="1"/>
  <c r="AL42" i="33"/>
  <c r="AM42" i="33"/>
  <c r="AN42" i="33" s="1"/>
  <c r="AI60" i="37"/>
  <c r="Q60" i="37"/>
  <c r="AC60" i="37"/>
  <c r="W60" i="37"/>
  <c r="AL108" i="33"/>
  <c r="AM108" i="33"/>
  <c r="AN108" i="33" s="1"/>
  <c r="AI93" i="37"/>
  <c r="AC93" i="37"/>
  <c r="W93" i="37"/>
  <c r="Q93" i="37"/>
  <c r="S138" i="42"/>
  <c r="AK138" i="42"/>
  <c r="AE138" i="42"/>
  <c r="Y138" i="42"/>
  <c r="AI47" i="37"/>
  <c r="Q47" i="37"/>
  <c r="AC47" i="37"/>
  <c r="W47" i="37"/>
  <c r="W28" i="36"/>
  <c r="Q28" i="36"/>
  <c r="AC28" i="36"/>
  <c r="AI28" i="36"/>
  <c r="G67" i="42"/>
  <c r="K67" i="42" s="1"/>
  <c r="G67" i="21"/>
  <c r="K67" i="21" s="1"/>
  <c r="G67" i="43"/>
  <c r="K67" i="43" s="1"/>
  <c r="G67" i="37"/>
  <c r="K67" i="37" s="1"/>
  <c r="G67" i="36"/>
  <c r="G67" i="33"/>
  <c r="K67" i="33" s="1"/>
  <c r="AI63" i="42"/>
  <c r="Q63" i="42"/>
  <c r="AC63" i="42"/>
  <c r="W63" i="42"/>
  <c r="W15" i="33"/>
  <c r="Q15" i="33"/>
  <c r="AI15" i="33"/>
  <c r="AC15" i="33"/>
  <c r="AM121" i="33"/>
  <c r="AN121" i="33" s="1"/>
  <c r="AL121" i="33"/>
  <c r="W126" i="43"/>
  <c r="Q126" i="43"/>
  <c r="AI126" i="43"/>
  <c r="AC126" i="43"/>
  <c r="AL91" i="42"/>
  <c r="AM91" i="42"/>
  <c r="AN91" i="42" s="1"/>
  <c r="AL41" i="21"/>
  <c r="AM41" i="21"/>
  <c r="AN41" i="21" s="1"/>
  <c r="Q106" i="21"/>
  <c r="W106" i="21"/>
  <c r="AC106" i="21"/>
  <c r="AI106" i="21"/>
  <c r="AK77" i="21"/>
  <c r="S77" i="21"/>
  <c r="Y77" i="21"/>
  <c r="AK14" i="42"/>
  <c r="S14" i="42"/>
  <c r="Y14" i="42"/>
  <c r="AE126" i="43"/>
  <c r="S126" i="43"/>
  <c r="Y126" i="43"/>
  <c r="AK126" i="43"/>
  <c r="AK79" i="33"/>
  <c r="AE79" i="33"/>
  <c r="S79" i="33"/>
  <c r="AI57" i="37"/>
  <c r="Q57" i="37"/>
  <c r="AC57" i="37"/>
  <c r="W57" i="37"/>
  <c r="W144" i="42"/>
  <c r="AC144" i="42"/>
  <c r="AI144" i="42"/>
  <c r="Q144" i="42"/>
  <c r="AI41" i="33"/>
  <c r="Q41" i="33"/>
  <c r="AC41" i="33"/>
  <c r="W41" i="33"/>
  <c r="S90" i="21"/>
  <c r="AK90" i="21"/>
  <c r="AE90" i="21"/>
  <c r="AK126" i="37"/>
  <c r="AG9" i="36"/>
  <c r="AH9" i="36" s="1"/>
  <c r="AF9" i="36"/>
  <c r="W48" i="37"/>
  <c r="Q48" i="37"/>
  <c r="AI48" i="37"/>
  <c r="AC48" i="37"/>
  <c r="AI48" i="43"/>
  <c r="W48" i="43"/>
  <c r="Q48" i="43"/>
  <c r="AC48" i="43"/>
  <c r="W24" i="43"/>
  <c r="Q24" i="43"/>
  <c r="AI24" i="43"/>
  <c r="AC24" i="43"/>
  <c r="AK64" i="42"/>
  <c r="W94" i="37"/>
  <c r="AC94" i="37"/>
  <c r="Q94" i="37"/>
  <c r="AI94" i="37"/>
  <c r="Q94" i="43"/>
  <c r="W94" i="43"/>
  <c r="AC94" i="43"/>
  <c r="AI94" i="43"/>
  <c r="AG15" i="21"/>
  <c r="AH15" i="21" s="1"/>
  <c r="AF15" i="21"/>
  <c r="T110" i="21"/>
  <c r="U110" i="21"/>
  <c r="V110" i="21" s="1"/>
  <c r="AA111" i="42"/>
  <c r="AB111" i="42" s="1"/>
  <c r="Z111" i="42"/>
  <c r="AC45" i="36"/>
  <c r="AI45" i="36"/>
  <c r="W45" i="36"/>
  <c r="Q45" i="36"/>
  <c r="AC25" i="21"/>
  <c r="AI25" i="21"/>
  <c r="W25" i="21"/>
  <c r="Q25" i="21"/>
  <c r="AK28" i="21"/>
  <c r="S28" i="21"/>
  <c r="Y28" i="21"/>
  <c r="AE28" i="21"/>
  <c r="AF26" i="21"/>
  <c r="AG26" i="21"/>
  <c r="AH26" i="21" s="1"/>
  <c r="Y11" i="21"/>
  <c r="AK11" i="21"/>
  <c r="AE11" i="21"/>
  <c r="Z91" i="21"/>
  <c r="AA91" i="21"/>
  <c r="AB91" i="21" s="1"/>
  <c r="S76" i="21"/>
  <c r="AE90" i="37"/>
  <c r="S90" i="37"/>
  <c r="Y90" i="37"/>
  <c r="AC9" i="43"/>
  <c r="W9" i="43"/>
  <c r="Q9" i="43"/>
  <c r="AI9" i="43"/>
  <c r="AK48" i="42"/>
  <c r="S48" i="42"/>
  <c r="Y48" i="42"/>
  <c r="AC13" i="42"/>
  <c r="Q13" i="42"/>
  <c r="AI13" i="42"/>
  <c r="W13" i="42"/>
  <c r="AF58" i="43"/>
  <c r="AG58" i="43"/>
  <c r="AH58" i="43" s="1"/>
  <c r="AF139" i="37"/>
  <c r="AG139" i="37"/>
  <c r="AH139" i="37" s="1"/>
  <c r="AE9" i="42"/>
  <c r="G100" i="33"/>
  <c r="K100" i="33" s="1"/>
  <c r="G100" i="21"/>
  <c r="K100" i="21" s="1"/>
  <c r="G100" i="42"/>
  <c r="K100" i="42" s="1"/>
  <c r="G100" i="36"/>
  <c r="K100" i="36" s="1"/>
  <c r="G100" i="43"/>
  <c r="G100" i="37"/>
  <c r="AE111" i="33"/>
  <c r="AF143" i="42"/>
  <c r="AG143" i="42"/>
  <c r="AH143" i="42" s="1"/>
  <c r="AG10" i="33"/>
  <c r="AH10" i="33" s="1"/>
  <c r="AF10" i="33"/>
  <c r="AL12" i="43"/>
  <c r="AM12" i="43"/>
  <c r="AN12" i="43" s="1"/>
  <c r="AL109" i="43"/>
  <c r="AM109" i="43"/>
  <c r="AN109" i="43" s="1"/>
  <c r="AC27" i="37"/>
  <c r="AI27" i="37"/>
  <c r="W27" i="37"/>
  <c r="Q27" i="37"/>
  <c r="Q27" i="43"/>
  <c r="AC27" i="43"/>
  <c r="W27" i="43"/>
  <c r="AI27" i="43"/>
  <c r="AE25" i="33"/>
  <c r="S25" i="33"/>
  <c r="Y25" i="33"/>
  <c r="S94" i="42"/>
  <c r="AK94" i="42"/>
  <c r="AE94" i="42"/>
  <c r="AE106" i="33"/>
  <c r="AK106" i="33"/>
  <c r="Y106" i="33"/>
  <c r="AA74" i="33"/>
  <c r="AB74" i="33" s="1"/>
  <c r="Z74" i="33"/>
  <c r="U122" i="37"/>
  <c r="V122" i="37" s="1"/>
  <c r="T122" i="37"/>
  <c r="AC109" i="37"/>
  <c r="AI109" i="37"/>
  <c r="Q109" i="37"/>
  <c r="W109" i="37"/>
  <c r="AL58" i="42"/>
  <c r="AM58" i="42"/>
  <c r="AN58" i="42" s="1"/>
  <c r="AE128" i="43"/>
  <c r="AK128" i="43"/>
  <c r="S128" i="43"/>
  <c r="Y128" i="43"/>
  <c r="AC62" i="43"/>
  <c r="Q62" i="43"/>
  <c r="AI62" i="43"/>
  <c r="W62" i="43"/>
  <c r="S62" i="37"/>
  <c r="AK62" i="37"/>
  <c r="AE62" i="37"/>
  <c r="Q143" i="33"/>
  <c r="W143" i="33"/>
  <c r="AC143" i="33"/>
  <c r="AI143" i="33"/>
  <c r="W90" i="33"/>
  <c r="AC90" i="33"/>
  <c r="Q90" i="33"/>
  <c r="AI90" i="33"/>
  <c r="AC90" i="42"/>
  <c r="AI90" i="42"/>
  <c r="Q90" i="42"/>
  <c r="W90" i="42"/>
  <c r="AA9" i="21"/>
  <c r="AB9" i="21" s="1"/>
  <c r="Z9" i="21"/>
  <c r="Q46" i="36"/>
  <c r="AC46" i="36"/>
  <c r="AI46" i="36"/>
  <c r="W46" i="36"/>
  <c r="AK111" i="37"/>
  <c r="AE111" i="37"/>
  <c r="Y111" i="37"/>
  <c r="S111" i="37"/>
  <c r="G135" i="36"/>
  <c r="G135" i="33"/>
  <c r="G135" i="37"/>
  <c r="G119" i="43"/>
  <c r="G134" i="21"/>
  <c r="G135" i="42"/>
  <c r="AI10" i="36"/>
  <c r="W10" i="36"/>
  <c r="Q10" i="36"/>
  <c r="AC10" i="36"/>
  <c r="Q139" i="21"/>
  <c r="AI139" i="21"/>
  <c r="W139" i="21"/>
  <c r="AC139" i="21"/>
  <c r="T145" i="33"/>
  <c r="U145" i="33"/>
  <c r="V145" i="33" s="1"/>
  <c r="Q111" i="36"/>
  <c r="AC111" i="36"/>
  <c r="W111" i="36"/>
  <c r="AI111" i="36"/>
  <c r="AM29" i="42"/>
  <c r="AN29" i="42" s="1"/>
  <c r="AL29" i="42"/>
  <c r="AM106" i="43"/>
  <c r="AN106" i="43" s="1"/>
  <c r="AL106" i="43"/>
  <c r="AF76" i="33"/>
  <c r="AG76" i="33"/>
  <c r="AH76" i="33" s="1"/>
  <c r="AE25" i="43"/>
  <c r="S25" i="43"/>
  <c r="AK25" i="43"/>
  <c r="Y64" i="37"/>
  <c r="AK11" i="42"/>
  <c r="AE11" i="42"/>
  <c r="S11" i="42"/>
  <c r="Y11" i="42"/>
  <c r="W77" i="37"/>
  <c r="AC77" i="37"/>
  <c r="Q77" i="37"/>
  <c r="AI77" i="37"/>
  <c r="AE15" i="42"/>
  <c r="AK15" i="42"/>
  <c r="Y15" i="42"/>
  <c r="Q121" i="21"/>
  <c r="AI121" i="21"/>
  <c r="AC121" i="21"/>
  <c r="W121" i="21"/>
  <c r="AL122" i="36"/>
  <c r="AM122" i="36"/>
  <c r="AN122" i="36" s="1"/>
  <c r="AE96" i="33"/>
  <c r="AK96" i="33"/>
  <c r="Y96" i="33"/>
  <c r="W78" i="21"/>
  <c r="AC78" i="21"/>
  <c r="Q78" i="21"/>
  <c r="AI78" i="21"/>
  <c r="AK108" i="21"/>
  <c r="AE108" i="21"/>
  <c r="Y108" i="21"/>
  <c r="S108" i="21"/>
  <c r="Q145" i="42"/>
  <c r="W145" i="42"/>
  <c r="AI145" i="42"/>
  <c r="AC145" i="42"/>
  <c r="AC11" i="33"/>
  <c r="Q11" i="33"/>
  <c r="AI11" i="33"/>
  <c r="W11" i="33"/>
  <c r="U11" i="37"/>
  <c r="V11" i="37" s="1"/>
  <c r="T11" i="37"/>
  <c r="AA77" i="33"/>
  <c r="AB77" i="33" s="1"/>
  <c r="Z77" i="33"/>
  <c r="AM93" i="43"/>
  <c r="AN93" i="43" s="1"/>
  <c r="AL93" i="43"/>
  <c r="AM8" i="42"/>
  <c r="AN8" i="42" s="1"/>
  <c r="AL8" i="42"/>
  <c r="W64" i="42"/>
  <c r="AI64" i="42"/>
  <c r="AC64" i="42"/>
  <c r="Q64" i="42"/>
  <c r="AC73" i="33"/>
  <c r="Q73" i="33"/>
  <c r="AI73" i="33"/>
  <c r="W73" i="33"/>
  <c r="Q26" i="36"/>
  <c r="AC26" i="36"/>
  <c r="AI26" i="36"/>
  <c r="W26" i="36"/>
  <c r="AK11" i="33"/>
  <c r="AE11" i="33"/>
  <c r="S11" i="33"/>
  <c r="Q120" i="21"/>
  <c r="W120" i="21"/>
  <c r="AI120" i="21"/>
  <c r="AC120" i="21"/>
  <c r="W105" i="43"/>
  <c r="AI105" i="43"/>
  <c r="Q105" i="43"/>
  <c r="AC105" i="43"/>
  <c r="AK74" i="36"/>
  <c r="AE74" i="36"/>
  <c r="Y74" i="36"/>
  <c r="S74" i="36"/>
  <c r="AC14" i="36"/>
  <c r="AI14" i="36"/>
  <c r="W14" i="36"/>
  <c r="Q14" i="36"/>
  <c r="AI80" i="36"/>
  <c r="W80" i="36"/>
  <c r="Q80" i="36"/>
  <c r="AC80" i="36"/>
  <c r="T107" i="36"/>
  <c r="U107" i="36"/>
  <c r="V107" i="36" s="1"/>
  <c r="AK139" i="21"/>
  <c r="Y139" i="21"/>
  <c r="S139" i="21"/>
  <c r="AE139" i="21"/>
  <c r="AC139" i="37"/>
  <c r="W139" i="37"/>
  <c r="AI139" i="37"/>
  <c r="Q139" i="37"/>
  <c r="AC91" i="21"/>
  <c r="W91" i="21"/>
  <c r="Q91" i="21"/>
  <c r="AI91" i="21"/>
  <c r="AI108" i="21"/>
  <c r="Q108" i="21"/>
  <c r="W108" i="21"/>
  <c r="AC108" i="21"/>
  <c r="AC61" i="21"/>
  <c r="AI61" i="21"/>
  <c r="Q61" i="21"/>
  <c r="W61" i="21"/>
  <c r="Q61" i="42"/>
  <c r="AC61" i="42"/>
  <c r="AI61" i="42"/>
  <c r="W61" i="42"/>
  <c r="AC137" i="36"/>
  <c r="Q137" i="36"/>
  <c r="AI137" i="36"/>
  <c r="W137" i="36"/>
  <c r="Q121" i="43"/>
  <c r="W121" i="43"/>
  <c r="AI121" i="43"/>
  <c r="AC121" i="43"/>
  <c r="Q12" i="42"/>
  <c r="W12" i="42"/>
  <c r="AC12" i="42"/>
  <c r="AI12" i="42"/>
  <c r="W125" i="33"/>
  <c r="Q125" i="33"/>
  <c r="AC125" i="33"/>
  <c r="AI125" i="33"/>
  <c r="AM59" i="36"/>
  <c r="AN59" i="36" s="1"/>
  <c r="AL59" i="36"/>
  <c r="W43" i="21"/>
  <c r="Q43" i="21"/>
  <c r="AC43" i="21"/>
  <c r="AI43" i="21"/>
  <c r="AG31" i="42"/>
  <c r="AH31" i="42" s="1"/>
  <c r="AF31" i="42"/>
  <c r="Q58" i="37"/>
  <c r="AC58" i="37"/>
  <c r="W58" i="37"/>
  <c r="AI58" i="37"/>
  <c r="W58" i="43"/>
  <c r="AC58" i="43"/>
  <c r="AI58" i="43"/>
  <c r="Q58" i="43"/>
  <c r="AC60" i="36"/>
  <c r="W60" i="36"/>
  <c r="AI60" i="36"/>
  <c r="Q60" i="36"/>
  <c r="Y61" i="42"/>
  <c r="Z15" i="43"/>
  <c r="AA15" i="43"/>
  <c r="AB15" i="43" s="1"/>
  <c r="AA8" i="43"/>
  <c r="AB8" i="43" s="1"/>
  <c r="Z8" i="43"/>
  <c r="Q29" i="33"/>
  <c r="W29" i="33"/>
  <c r="AI29" i="33"/>
  <c r="AC29" i="33"/>
  <c r="W47" i="33"/>
  <c r="Q47" i="33"/>
  <c r="AI47" i="33"/>
  <c r="AC47" i="33"/>
  <c r="Y92" i="43"/>
  <c r="S92" i="43"/>
  <c r="AK92" i="43"/>
  <c r="AE92" i="43"/>
  <c r="W15" i="37"/>
  <c r="AI15" i="37"/>
  <c r="AC15" i="37"/>
  <c r="Q15" i="37"/>
  <c r="W15" i="43"/>
  <c r="Q15" i="43"/>
  <c r="AI15" i="43"/>
  <c r="AC15" i="43"/>
  <c r="AK63" i="33"/>
  <c r="S63" i="33"/>
  <c r="AE63" i="33"/>
  <c r="Y63" i="33"/>
  <c r="AG26" i="43"/>
  <c r="AH26" i="43" s="1"/>
  <c r="AF26" i="43"/>
  <c r="G151" i="33"/>
  <c r="K151" i="33" s="1"/>
  <c r="G151" i="42"/>
  <c r="K151" i="42" s="1"/>
  <c r="G150" i="21"/>
  <c r="K150" i="21" s="1"/>
  <c r="G151" i="37"/>
  <c r="G135" i="43"/>
  <c r="G151" i="36"/>
  <c r="K151" i="36" s="1"/>
  <c r="AE127" i="36"/>
  <c r="Y127" i="36"/>
  <c r="S127" i="36"/>
  <c r="Y14" i="33"/>
  <c r="S30" i="37"/>
  <c r="AE30" i="37"/>
  <c r="AK30" i="37"/>
  <c r="Y30" i="37"/>
  <c r="AF58" i="21"/>
  <c r="AG58" i="21"/>
  <c r="AH58" i="21" s="1"/>
  <c r="AI57" i="21"/>
  <c r="Q57" i="21"/>
  <c r="W57" i="21"/>
  <c r="AC57" i="21"/>
  <c r="AE57" i="36"/>
  <c r="S57" i="36"/>
  <c r="Y57" i="36"/>
  <c r="AK57" i="36"/>
  <c r="Z42" i="36"/>
  <c r="AA42" i="36"/>
  <c r="AB42" i="36" s="1"/>
  <c r="AF62" i="33"/>
  <c r="AG62" i="33"/>
  <c r="AH62" i="33" s="1"/>
  <c r="T76" i="37"/>
  <c r="U76" i="37"/>
  <c r="V76" i="37" s="1"/>
  <c r="AK61" i="37"/>
  <c r="AE61" i="37"/>
  <c r="S61" i="37"/>
  <c r="Y61" i="37"/>
  <c r="W48" i="36"/>
  <c r="Q48" i="36"/>
  <c r="AC48" i="36"/>
  <c r="AI48" i="36"/>
  <c r="AL48" i="37"/>
  <c r="AM48" i="37"/>
  <c r="AN48" i="37" s="1"/>
  <c r="AK59" i="33"/>
  <c r="AE59" i="33"/>
  <c r="S59" i="33"/>
  <c r="Y59" i="33"/>
  <c r="AA123" i="37"/>
  <c r="AB123" i="37" s="1"/>
  <c r="Z123" i="37"/>
  <c r="W95" i="33"/>
  <c r="Q95" i="33"/>
  <c r="AI95" i="33"/>
  <c r="AC95" i="33"/>
  <c r="AC95" i="43"/>
  <c r="AI95" i="43"/>
  <c r="Q95" i="43"/>
  <c r="W95" i="43"/>
  <c r="AE61" i="36"/>
  <c r="S61" i="36"/>
  <c r="AK61" i="36"/>
  <c r="Y61" i="36"/>
  <c r="AC45" i="37"/>
  <c r="AI45" i="37"/>
  <c r="W45" i="37"/>
  <c r="Q45" i="37"/>
  <c r="AE64" i="21"/>
  <c r="AM107" i="33"/>
  <c r="AN107" i="33" s="1"/>
  <c r="AL107" i="33"/>
  <c r="AA143" i="36"/>
  <c r="AB143" i="36" s="1"/>
  <c r="Z143" i="36"/>
  <c r="AG137" i="33"/>
  <c r="AH137" i="33" s="1"/>
  <c r="AF137" i="33"/>
  <c r="AM24" i="33"/>
  <c r="AN24" i="33" s="1"/>
  <c r="AL24" i="33"/>
  <c r="AC25" i="37"/>
  <c r="Q25" i="37"/>
  <c r="AI25" i="37"/>
  <c r="W25" i="37"/>
  <c r="AE63" i="43"/>
  <c r="AK63" i="43"/>
  <c r="Y63" i="43"/>
  <c r="S63" i="43"/>
  <c r="S110" i="42"/>
  <c r="AK110" i="42"/>
  <c r="AE110" i="42"/>
  <c r="AK123" i="33"/>
  <c r="S123" i="33"/>
  <c r="Y123" i="33"/>
  <c r="Q31" i="36"/>
  <c r="AI31" i="36"/>
  <c r="AC31" i="36"/>
  <c r="W31" i="36"/>
  <c r="U78" i="21"/>
  <c r="V78" i="21" s="1"/>
  <c r="T78" i="21"/>
  <c r="AA91" i="43"/>
  <c r="AB91" i="43" s="1"/>
  <c r="Z91" i="43"/>
  <c r="AE41" i="42"/>
  <c r="AK41" i="42"/>
  <c r="Y41" i="42"/>
  <c r="AC89" i="33"/>
  <c r="AI89" i="33"/>
  <c r="W89" i="33"/>
  <c r="Q89" i="33"/>
  <c r="T126" i="36"/>
  <c r="U126" i="36"/>
  <c r="V126" i="36" s="1"/>
  <c r="S48" i="33"/>
  <c r="Z46" i="36"/>
  <c r="AA46" i="36"/>
  <c r="AB46" i="36" s="1"/>
  <c r="Q13" i="33"/>
  <c r="AC13" i="33"/>
  <c r="W13" i="33"/>
  <c r="AI13" i="33"/>
  <c r="AK62" i="21"/>
  <c r="AC105" i="36"/>
  <c r="AI105" i="36"/>
  <c r="W105" i="36"/>
  <c r="Q105" i="36"/>
  <c r="AK95" i="33"/>
  <c r="AI27" i="42"/>
  <c r="W27" i="42"/>
  <c r="AC27" i="42"/>
  <c r="Q27" i="42"/>
  <c r="AK58" i="33"/>
  <c r="AG128" i="42"/>
  <c r="AH128" i="42" s="1"/>
  <c r="AF128" i="42"/>
  <c r="W36" i="21" l="1"/>
  <c r="K36" i="21"/>
  <c r="AC36" i="21"/>
  <c r="AI36" i="21"/>
  <c r="Q36" i="21"/>
  <c r="K37" i="21"/>
  <c r="K36" i="43"/>
  <c r="W36" i="43"/>
  <c r="AI36" i="43"/>
  <c r="AC36" i="43"/>
  <c r="Q36" i="43"/>
  <c r="Q36" i="33"/>
  <c r="K36" i="33"/>
  <c r="AC36" i="33"/>
  <c r="W36" i="33"/>
  <c r="AI36" i="33"/>
  <c r="AC37" i="37"/>
  <c r="W37" i="37"/>
  <c r="K51" i="21"/>
  <c r="K52" i="21"/>
  <c r="K67" i="36"/>
  <c r="Q36" i="36"/>
  <c r="AC36" i="36"/>
  <c r="AI36" i="36"/>
  <c r="K36" i="36"/>
  <c r="W36" i="36"/>
  <c r="K37" i="43"/>
  <c r="AI37" i="43"/>
  <c r="AC37" i="43"/>
  <c r="W37" i="43"/>
  <c r="K50" i="21"/>
  <c r="K36" i="42"/>
  <c r="AI36" i="42"/>
  <c r="Q36" i="42"/>
  <c r="W36" i="42"/>
  <c r="AC36" i="42"/>
  <c r="K36" i="37"/>
  <c r="W36" i="37"/>
  <c r="AC36" i="37"/>
  <c r="Q36" i="37"/>
  <c r="AI36" i="37"/>
  <c r="K102" i="37"/>
  <c r="K84" i="37"/>
  <c r="K20" i="37"/>
  <c r="K19" i="37"/>
  <c r="K70" i="37"/>
  <c r="K100" i="37"/>
  <c r="K21" i="37"/>
  <c r="K148" i="37"/>
  <c r="K149" i="37"/>
  <c r="K150" i="37"/>
  <c r="K86" i="37"/>
  <c r="K52" i="37"/>
  <c r="K54" i="37"/>
  <c r="K151" i="37"/>
  <c r="K38" i="37"/>
  <c r="K85" i="37"/>
  <c r="K37" i="37"/>
  <c r="K132" i="37"/>
  <c r="K68" i="37"/>
  <c r="K134" i="37"/>
  <c r="K19" i="42"/>
  <c r="K18" i="21"/>
  <c r="K34" i="21"/>
  <c r="K20" i="21"/>
  <c r="K17" i="21"/>
  <c r="K100" i="43"/>
  <c r="K115" i="43"/>
  <c r="K134" i="43"/>
  <c r="K19" i="43"/>
  <c r="K135" i="43"/>
  <c r="K21" i="43"/>
  <c r="K116" i="43"/>
  <c r="K118" i="21"/>
  <c r="K102" i="43"/>
  <c r="K20" i="43"/>
  <c r="K118" i="43"/>
  <c r="Z58" i="36"/>
  <c r="AA58" i="36"/>
  <c r="AB58" i="36" s="1"/>
  <c r="S58" i="36"/>
  <c r="T58" i="36"/>
  <c r="AK51" i="43"/>
  <c r="AM41" i="37"/>
  <c r="AN41" i="37" s="1"/>
  <c r="AL41" i="37"/>
  <c r="AF106" i="43"/>
  <c r="AE132" i="36"/>
  <c r="Y98" i="37"/>
  <c r="S131" i="36"/>
  <c r="AE100" i="43"/>
  <c r="AK133" i="21"/>
  <c r="AK68" i="21"/>
  <c r="AK128" i="21"/>
  <c r="S52" i="21"/>
  <c r="AG8" i="42"/>
  <c r="AH8" i="42" s="1"/>
  <c r="AE67" i="36"/>
  <c r="S129" i="36"/>
  <c r="AK68" i="43"/>
  <c r="Y113" i="21"/>
  <c r="AK65" i="36"/>
  <c r="S116" i="37"/>
  <c r="Y97" i="36"/>
  <c r="S52" i="42"/>
  <c r="AK52" i="33"/>
  <c r="AK102" i="21"/>
  <c r="AE51" i="21"/>
  <c r="Y100" i="42"/>
  <c r="AL58" i="36"/>
  <c r="AM58" i="36"/>
  <c r="AN58" i="36" s="1"/>
  <c r="Y65" i="42"/>
  <c r="Y98" i="42"/>
  <c r="S143" i="21"/>
  <c r="T93" i="42"/>
  <c r="AL9" i="42"/>
  <c r="AM9" i="42"/>
  <c r="AN9" i="42" s="1"/>
  <c r="Y53" i="33"/>
  <c r="AE134" i="33"/>
  <c r="Y132" i="42"/>
  <c r="AK70" i="42"/>
  <c r="AK65" i="43"/>
  <c r="AE53" i="37"/>
  <c r="U53" i="21"/>
  <c r="AK131" i="21"/>
  <c r="S116" i="42"/>
  <c r="AG41" i="37"/>
  <c r="AH41" i="37" s="1"/>
  <c r="AF41" i="37"/>
  <c r="AK97" i="37"/>
  <c r="S100" i="21"/>
  <c r="AL96" i="37"/>
  <c r="AF77" i="42"/>
  <c r="AG77" i="42"/>
  <c r="AH77" i="42" s="1"/>
  <c r="S105" i="37"/>
  <c r="AK66" i="33"/>
  <c r="S148" i="21"/>
  <c r="T148" i="21"/>
  <c r="U148" i="21"/>
  <c r="V148" i="21" s="1"/>
  <c r="S149" i="21"/>
  <c r="U149" i="21"/>
  <c r="V149" i="21" s="1"/>
  <c r="T149" i="21"/>
  <c r="S97" i="43"/>
  <c r="AK146" i="33"/>
  <c r="AL142" i="21"/>
  <c r="T13" i="33"/>
  <c r="AE70" i="33"/>
  <c r="AK146" i="42"/>
  <c r="U93" i="33"/>
  <c r="V93" i="33" s="1"/>
  <c r="AA13" i="36"/>
  <c r="AB13" i="36" s="1"/>
  <c r="T93" i="33"/>
  <c r="Y93" i="42"/>
  <c r="Z93" i="42"/>
  <c r="AA9" i="42"/>
  <c r="AB9" i="42" s="1"/>
  <c r="U8" i="42"/>
  <c r="V8" i="42" s="1"/>
  <c r="T8" i="42"/>
  <c r="Z9" i="42"/>
  <c r="AF8" i="37"/>
  <c r="Z96" i="37"/>
  <c r="U46" i="33"/>
  <c r="V46" i="33" s="1"/>
  <c r="T137" i="42"/>
  <c r="AA143" i="21"/>
  <c r="AB143" i="21" s="1"/>
  <c r="U137" i="42"/>
  <c r="V137" i="42" s="1"/>
  <c r="AF8" i="42"/>
  <c r="Z58" i="43"/>
  <c r="Z137" i="33"/>
  <c r="AF107" i="36"/>
  <c r="AM105" i="37"/>
  <c r="AN105" i="37" s="1"/>
  <c r="Z125" i="36"/>
  <c r="U93" i="42"/>
  <c r="V93" i="42" s="1"/>
  <c r="S9" i="42"/>
  <c r="AA137" i="33"/>
  <c r="AB137" i="33" s="1"/>
  <c r="AA96" i="37"/>
  <c r="AB96" i="37" s="1"/>
  <c r="AG107" i="36"/>
  <c r="AH107" i="36" s="1"/>
  <c r="T9" i="42"/>
  <c r="AL105" i="37"/>
  <c r="Z143" i="21"/>
  <c r="T12" i="37"/>
  <c r="AM78" i="37"/>
  <c r="AN78" i="37" s="1"/>
  <c r="U12" i="37"/>
  <c r="V12" i="37" s="1"/>
  <c r="AK125" i="36"/>
  <c r="AF13" i="36"/>
  <c r="AL125" i="36"/>
  <c r="AL78" i="37"/>
  <c r="AA58" i="43"/>
  <c r="AB58" i="43" s="1"/>
  <c r="AK96" i="42"/>
  <c r="AA12" i="21"/>
  <c r="AB12" i="21" s="1"/>
  <c r="AM96" i="42"/>
  <c r="AN96" i="42" s="1"/>
  <c r="AG13" i="36"/>
  <c r="AH13" i="36" s="1"/>
  <c r="Z12" i="21"/>
  <c r="AA74" i="37"/>
  <c r="AB74" i="37" s="1"/>
  <c r="T46" i="33"/>
  <c r="AM143" i="21"/>
  <c r="AN143" i="21" s="1"/>
  <c r="AA125" i="36"/>
  <c r="AB125" i="36" s="1"/>
  <c r="AG13" i="33"/>
  <c r="AH13" i="33" s="1"/>
  <c r="U77" i="42"/>
  <c r="V77" i="42" s="1"/>
  <c r="T77" i="42"/>
  <c r="AA77" i="42"/>
  <c r="AB77" i="42" s="1"/>
  <c r="AL143" i="21"/>
  <c r="AF13" i="33"/>
  <c r="Z77" i="42"/>
  <c r="Z74" i="37"/>
  <c r="S106" i="43"/>
  <c r="Z106" i="43"/>
  <c r="S142" i="21"/>
  <c r="T106" i="43"/>
  <c r="AA106" i="43"/>
  <c r="AB106" i="43" s="1"/>
  <c r="T142" i="21"/>
  <c r="U13" i="33"/>
  <c r="V13" i="33" s="1"/>
  <c r="AA105" i="37"/>
  <c r="AB105" i="37" s="1"/>
  <c r="Z105" i="37"/>
  <c r="AM142" i="21"/>
  <c r="AN142" i="21" s="1"/>
  <c r="AF93" i="42"/>
  <c r="AG8" i="37"/>
  <c r="AH8" i="37" s="1"/>
  <c r="AA13" i="33"/>
  <c r="AB13" i="33" s="1"/>
  <c r="AE93" i="42"/>
  <c r="Z13" i="33"/>
  <c r="AA105" i="42"/>
  <c r="AB105" i="42" s="1"/>
  <c r="AF12" i="37"/>
  <c r="Z105" i="42"/>
  <c r="AG12" i="37"/>
  <c r="AH12" i="37" s="1"/>
  <c r="T128" i="42"/>
  <c r="Y8" i="42"/>
  <c r="AA8" i="42"/>
  <c r="AB8" i="42" s="1"/>
  <c r="U96" i="37"/>
  <c r="V96" i="37" s="1"/>
  <c r="AM14" i="43"/>
  <c r="AN14" i="43" s="1"/>
  <c r="Y14" i="43"/>
  <c r="AM27" i="21"/>
  <c r="AN27" i="21" s="1"/>
  <c r="Z77" i="36"/>
  <c r="T48" i="37"/>
  <c r="T14" i="43"/>
  <c r="U14" i="43"/>
  <c r="V14" i="43" s="1"/>
  <c r="Y93" i="43"/>
  <c r="Z107" i="36"/>
  <c r="AF62" i="36"/>
  <c r="T12" i="21"/>
  <c r="T143" i="21"/>
  <c r="AF107" i="21"/>
  <c r="AA77" i="36"/>
  <c r="AB77" i="36" s="1"/>
  <c r="T96" i="37"/>
  <c r="AK27" i="21"/>
  <c r="AL13" i="36"/>
  <c r="AL128" i="42"/>
  <c r="AL14" i="43"/>
  <c r="AA14" i="43"/>
  <c r="AB14" i="43" s="1"/>
  <c r="AM13" i="36"/>
  <c r="AN13" i="36" s="1"/>
  <c r="AM128" i="42"/>
  <c r="AN128" i="42" s="1"/>
  <c r="Z142" i="21"/>
  <c r="AA142" i="21"/>
  <c r="AB142" i="21" s="1"/>
  <c r="AF42" i="43"/>
  <c r="U58" i="33"/>
  <c r="V58" i="33" s="1"/>
  <c r="AF24" i="36"/>
  <c r="AK62" i="36"/>
  <c r="AF93" i="43"/>
  <c r="U64" i="42"/>
  <c r="V64" i="42" s="1"/>
  <c r="AL58" i="43"/>
  <c r="AF62" i="42"/>
  <c r="AF137" i="42"/>
  <c r="T105" i="37"/>
  <c r="AG80" i="36"/>
  <c r="AH80" i="36" s="1"/>
  <c r="AF93" i="33"/>
  <c r="AL96" i="43"/>
  <c r="T64" i="42"/>
  <c r="AL12" i="37"/>
  <c r="T74" i="37"/>
  <c r="AL26" i="42"/>
  <c r="T96" i="43"/>
  <c r="AA93" i="33"/>
  <c r="AB93" i="33" s="1"/>
  <c r="AG93" i="36"/>
  <c r="AH93" i="36" s="1"/>
  <c r="AM26" i="42"/>
  <c r="AN26" i="42" s="1"/>
  <c r="AK10" i="42"/>
  <c r="AF93" i="36"/>
  <c r="Y8" i="37"/>
  <c r="Z93" i="33"/>
  <c r="AL10" i="42"/>
  <c r="AA8" i="37"/>
  <c r="AB8" i="37" s="1"/>
  <c r="U74" i="37"/>
  <c r="V74" i="37" s="1"/>
  <c r="U128" i="42"/>
  <c r="V128" i="42" s="1"/>
  <c r="AG93" i="43"/>
  <c r="AH93" i="43" s="1"/>
  <c r="AM10" i="43"/>
  <c r="AN10" i="43" s="1"/>
  <c r="AF74" i="37"/>
  <c r="AL10" i="43"/>
  <c r="U96" i="43"/>
  <c r="V96" i="43" s="1"/>
  <c r="AG74" i="37"/>
  <c r="AH74" i="37" s="1"/>
  <c r="AM96" i="37"/>
  <c r="AN96" i="37" s="1"/>
  <c r="AM12" i="37"/>
  <c r="AN12" i="37" s="1"/>
  <c r="AF80" i="36"/>
  <c r="Y64" i="42"/>
  <c r="T58" i="33"/>
  <c r="AM58" i="43"/>
  <c r="AN58" i="43" s="1"/>
  <c r="AG24" i="36"/>
  <c r="AH24" i="36" s="1"/>
  <c r="AL12" i="21"/>
  <c r="AL26" i="37"/>
  <c r="AF48" i="37"/>
  <c r="AA47" i="42"/>
  <c r="AB47" i="42" s="1"/>
  <c r="AM12" i="21"/>
  <c r="AN12" i="21" s="1"/>
  <c r="U80" i="36"/>
  <c r="V80" i="36" s="1"/>
  <c r="AM62" i="36"/>
  <c r="AN62" i="36" s="1"/>
  <c r="AA64" i="42"/>
  <c r="AB64" i="42" s="1"/>
  <c r="Z41" i="33"/>
  <c r="AK137" i="33"/>
  <c r="Z27" i="43"/>
  <c r="AG48" i="37"/>
  <c r="AH48" i="37" s="1"/>
  <c r="AE137" i="42"/>
  <c r="Z27" i="37"/>
  <c r="Z47" i="42"/>
  <c r="T80" i="36"/>
  <c r="AM137" i="33"/>
  <c r="AN137" i="33" s="1"/>
  <c r="AA27" i="43"/>
  <c r="AB27" i="43" s="1"/>
  <c r="AL26" i="21"/>
  <c r="AA27" i="37"/>
  <c r="AB27" i="37" s="1"/>
  <c r="T24" i="36"/>
  <c r="AE93" i="33"/>
  <c r="Y13" i="36"/>
  <c r="AM96" i="43"/>
  <c r="AN96" i="43" s="1"/>
  <c r="Z106" i="21"/>
  <c r="AG62" i="42"/>
  <c r="AH62" i="42" s="1"/>
  <c r="U24" i="36"/>
  <c r="V24" i="36" s="1"/>
  <c r="T26" i="43"/>
  <c r="Y78" i="37"/>
  <c r="AK125" i="33"/>
  <c r="U26" i="43"/>
  <c r="V26" i="43" s="1"/>
  <c r="AA78" i="37"/>
  <c r="AB78" i="37" s="1"/>
  <c r="AL125" i="33"/>
  <c r="AA12" i="37"/>
  <c r="AB12" i="37" s="1"/>
  <c r="AE62" i="36"/>
  <c r="U48" i="37"/>
  <c r="V48" i="37" s="1"/>
  <c r="U12" i="21"/>
  <c r="V12" i="21" s="1"/>
  <c r="AA107" i="36"/>
  <c r="AB107" i="36" s="1"/>
  <c r="Z93" i="43"/>
  <c r="T107" i="42"/>
  <c r="AL144" i="33"/>
  <c r="AL107" i="36"/>
  <c r="T58" i="43"/>
  <c r="U107" i="42"/>
  <c r="V107" i="42" s="1"/>
  <c r="AG107" i="21"/>
  <c r="AH107" i="21" s="1"/>
  <c r="AM144" i="33"/>
  <c r="AN144" i="33" s="1"/>
  <c r="AM107" i="36"/>
  <c r="AN107" i="36" s="1"/>
  <c r="U58" i="43"/>
  <c r="V58" i="43" s="1"/>
  <c r="S93" i="36"/>
  <c r="AM8" i="37"/>
  <c r="AN8" i="37" s="1"/>
  <c r="AM91" i="21"/>
  <c r="AN91" i="21" s="1"/>
  <c r="T93" i="36"/>
  <c r="AL8" i="37"/>
  <c r="Z12" i="37"/>
  <c r="AL91" i="21"/>
  <c r="AG126" i="36"/>
  <c r="AH126" i="36" s="1"/>
  <c r="AF12" i="21"/>
  <c r="AG12" i="21"/>
  <c r="AH12" i="21" s="1"/>
  <c r="T125" i="36"/>
  <c r="U91" i="21"/>
  <c r="V91" i="21" s="1"/>
  <c r="T91" i="21"/>
  <c r="S10" i="43"/>
  <c r="AL29" i="43"/>
  <c r="AM29" i="43"/>
  <c r="AN29" i="43" s="1"/>
  <c r="AE91" i="21"/>
  <c r="AF91" i="21"/>
  <c r="AG9" i="33"/>
  <c r="AH9" i="33" s="1"/>
  <c r="Y80" i="36"/>
  <c r="Z128" i="42"/>
  <c r="Z80" i="36"/>
  <c r="AA128" i="42"/>
  <c r="AB128" i="42" s="1"/>
  <c r="T10" i="43"/>
  <c r="AF140" i="42"/>
  <c r="AF111" i="36"/>
  <c r="AE27" i="33"/>
  <c r="AG27" i="33"/>
  <c r="AH27" i="33" s="1"/>
  <c r="AM78" i="21"/>
  <c r="AN78" i="21" s="1"/>
  <c r="AA41" i="43"/>
  <c r="AB41" i="43" s="1"/>
  <c r="U144" i="33"/>
  <c r="V144" i="33" s="1"/>
  <c r="S62" i="42"/>
  <c r="T144" i="33"/>
  <c r="T62" i="42"/>
  <c r="T107" i="21"/>
  <c r="U107" i="21"/>
  <c r="V107" i="21" s="1"/>
  <c r="AL26" i="33"/>
  <c r="AF29" i="42"/>
  <c r="AF126" i="36"/>
  <c r="AM26" i="33"/>
  <c r="AN26" i="33" s="1"/>
  <c r="U125" i="36"/>
  <c r="V125" i="36" s="1"/>
  <c r="AA60" i="42"/>
  <c r="AB60" i="42" s="1"/>
  <c r="S9" i="37"/>
  <c r="AK27" i="43"/>
  <c r="AG64" i="42"/>
  <c r="AH64" i="42" s="1"/>
  <c r="U125" i="33"/>
  <c r="V125" i="33" s="1"/>
  <c r="U30" i="36"/>
  <c r="V30" i="36" s="1"/>
  <c r="T27" i="43"/>
  <c r="AG9" i="21"/>
  <c r="AH9" i="21" s="1"/>
  <c r="AM42" i="36"/>
  <c r="AN42" i="36" s="1"/>
  <c r="Z10" i="43"/>
  <c r="AL15" i="43"/>
  <c r="AL42" i="36"/>
  <c r="AG43" i="42"/>
  <c r="AH43" i="42" s="1"/>
  <c r="AM27" i="43"/>
  <c r="AN27" i="43" s="1"/>
  <c r="S26" i="37"/>
  <c r="AF64" i="42"/>
  <c r="Z75" i="33"/>
  <c r="Z107" i="21"/>
  <c r="AL139" i="36"/>
  <c r="AA75" i="33"/>
  <c r="AB75" i="33" s="1"/>
  <c r="AA107" i="21"/>
  <c r="AB107" i="21" s="1"/>
  <c r="AF122" i="36"/>
  <c r="AG122" i="36"/>
  <c r="AH122" i="36" s="1"/>
  <c r="AA10" i="43"/>
  <c r="AB10" i="43" s="1"/>
  <c r="U27" i="43"/>
  <c r="V27" i="43" s="1"/>
  <c r="AF10" i="42"/>
  <c r="AF141" i="37"/>
  <c r="Z137" i="42"/>
  <c r="AG141" i="37"/>
  <c r="AH141" i="37" s="1"/>
  <c r="AE74" i="33"/>
  <c r="AG10" i="42"/>
  <c r="AH10" i="42" s="1"/>
  <c r="AG74" i="33"/>
  <c r="AH74" i="33" s="1"/>
  <c r="AA137" i="42"/>
  <c r="AB137" i="42" s="1"/>
  <c r="T26" i="42"/>
  <c r="U93" i="43"/>
  <c r="V93" i="43" s="1"/>
  <c r="AE122" i="37"/>
  <c r="U26" i="42"/>
  <c r="V26" i="42" s="1"/>
  <c r="T93" i="43"/>
  <c r="AM9" i="43"/>
  <c r="AN9" i="43" s="1"/>
  <c r="AM24" i="21"/>
  <c r="AN24" i="21" s="1"/>
  <c r="AA93" i="36"/>
  <c r="AB93" i="36" s="1"/>
  <c r="AL9" i="43"/>
  <c r="U27" i="37"/>
  <c r="V27" i="37" s="1"/>
  <c r="AL24" i="21"/>
  <c r="AM111" i="21"/>
  <c r="AN111" i="21" s="1"/>
  <c r="Z93" i="36"/>
  <c r="T27" i="37"/>
  <c r="AL62" i="42"/>
  <c r="T59" i="42"/>
  <c r="AM62" i="42"/>
  <c r="AN62" i="42" s="1"/>
  <c r="U59" i="42"/>
  <c r="V59" i="42" s="1"/>
  <c r="AA125" i="33"/>
  <c r="AB125" i="33" s="1"/>
  <c r="AG111" i="21"/>
  <c r="AH111" i="21" s="1"/>
  <c r="AM91" i="36"/>
  <c r="AN91" i="36" s="1"/>
  <c r="AF111" i="21"/>
  <c r="AL91" i="36"/>
  <c r="Z60" i="42"/>
  <c r="AA106" i="21"/>
  <c r="AB106" i="21" s="1"/>
  <c r="AG29" i="42"/>
  <c r="AH29" i="42" s="1"/>
  <c r="Z126" i="33"/>
  <c r="U62" i="43"/>
  <c r="V62" i="43" s="1"/>
  <c r="AA26" i="42"/>
  <c r="AB26" i="42" s="1"/>
  <c r="Z125" i="33"/>
  <c r="Z26" i="42"/>
  <c r="T122" i="36"/>
  <c r="AK26" i="43"/>
  <c r="U122" i="36"/>
  <c r="V122" i="36" s="1"/>
  <c r="AG122" i="37"/>
  <c r="AH122" i="37" s="1"/>
  <c r="AL26" i="43"/>
  <c r="Z48" i="37"/>
  <c r="T58" i="42"/>
  <c r="AA48" i="37"/>
  <c r="AB48" i="37" s="1"/>
  <c r="Z42" i="21"/>
  <c r="AL111" i="21"/>
  <c r="U58" i="42"/>
  <c r="V58" i="42" s="1"/>
  <c r="U42" i="36"/>
  <c r="V42" i="36" s="1"/>
  <c r="Z144" i="33"/>
  <c r="T42" i="36"/>
  <c r="AA144" i="33"/>
  <c r="AB144" i="33" s="1"/>
  <c r="Y42" i="43"/>
  <c r="AA9" i="36"/>
  <c r="AB9" i="36" s="1"/>
  <c r="AL47" i="33"/>
  <c r="AL24" i="37"/>
  <c r="T108" i="33"/>
  <c r="T91" i="42"/>
  <c r="AF61" i="42"/>
  <c r="AA26" i="21"/>
  <c r="AB26" i="21" s="1"/>
  <c r="U12" i="43"/>
  <c r="V12" i="43" s="1"/>
  <c r="AF78" i="43"/>
  <c r="AF76" i="37"/>
  <c r="AF25" i="36"/>
  <c r="AG89" i="33"/>
  <c r="AH89" i="33" s="1"/>
  <c r="Y122" i="36"/>
  <c r="AA122" i="36"/>
  <c r="AB122" i="36" s="1"/>
  <c r="AE9" i="33"/>
  <c r="AG46" i="42"/>
  <c r="AH46" i="42" s="1"/>
  <c r="T96" i="21"/>
  <c r="AA30" i="33"/>
  <c r="AB30" i="33" s="1"/>
  <c r="Z111" i="21"/>
  <c r="AF125" i="37"/>
  <c r="T121" i="21"/>
  <c r="AF46" i="42"/>
  <c r="AG25" i="36"/>
  <c r="AH25" i="36" s="1"/>
  <c r="T77" i="33"/>
  <c r="T143" i="33"/>
  <c r="T12" i="43"/>
  <c r="AG61" i="42"/>
  <c r="AH61" i="42" s="1"/>
  <c r="T89" i="21"/>
  <c r="AM64" i="43"/>
  <c r="AN64" i="43" s="1"/>
  <c r="AA10" i="37"/>
  <c r="AB10" i="37" s="1"/>
  <c r="AA111" i="21"/>
  <c r="AB111" i="21" s="1"/>
  <c r="AG78" i="43"/>
  <c r="AH78" i="43" s="1"/>
  <c r="U139" i="37"/>
  <c r="V139" i="37" s="1"/>
  <c r="U96" i="21"/>
  <c r="V96" i="21" s="1"/>
  <c r="AG138" i="36"/>
  <c r="AH138" i="36" s="1"/>
  <c r="AF89" i="33"/>
  <c r="Z26" i="21"/>
  <c r="AG125" i="37"/>
  <c r="AH125" i="37" s="1"/>
  <c r="AE126" i="37"/>
  <c r="Y58" i="42"/>
  <c r="S15" i="21"/>
  <c r="S125" i="21"/>
  <c r="AG76" i="37"/>
  <c r="AH76" i="37" s="1"/>
  <c r="T27" i="42"/>
  <c r="AL121" i="43"/>
  <c r="AL122" i="33"/>
  <c r="U77" i="33"/>
  <c r="V77" i="33" s="1"/>
  <c r="AF12" i="43"/>
  <c r="Y83" i="36"/>
  <c r="S137" i="37"/>
  <c r="U89" i="21"/>
  <c r="V89" i="21" s="1"/>
  <c r="AA80" i="42"/>
  <c r="AB80" i="42" s="1"/>
  <c r="AL64" i="43"/>
  <c r="Z95" i="33"/>
  <c r="Z10" i="37"/>
  <c r="AG15" i="43"/>
  <c r="AH15" i="43" s="1"/>
  <c r="T139" i="37"/>
  <c r="AL31" i="42"/>
  <c r="AF138" i="36"/>
  <c r="AG126" i="37"/>
  <c r="AH126" i="37" s="1"/>
  <c r="Z58" i="42"/>
  <c r="T15" i="21"/>
  <c r="T125" i="21"/>
  <c r="U27" i="42"/>
  <c r="V27" i="42" s="1"/>
  <c r="T122" i="33"/>
  <c r="AM121" i="43"/>
  <c r="AN121" i="43" s="1"/>
  <c r="T91" i="43"/>
  <c r="AM122" i="33"/>
  <c r="AN122" i="33" s="1"/>
  <c r="AA24" i="42"/>
  <c r="AB24" i="42" s="1"/>
  <c r="AG12" i="43"/>
  <c r="AH12" i="43" s="1"/>
  <c r="U24" i="33"/>
  <c r="V24" i="33" s="1"/>
  <c r="AA122" i="33"/>
  <c r="AB122" i="33" s="1"/>
  <c r="T141" i="42"/>
  <c r="Z80" i="42"/>
  <c r="AG96" i="42"/>
  <c r="AH96" i="42" s="1"/>
  <c r="U142" i="33"/>
  <c r="V142" i="33" s="1"/>
  <c r="AA95" i="33"/>
  <c r="AB95" i="33" s="1"/>
  <c r="Z93" i="21"/>
  <c r="AF15" i="43"/>
  <c r="AM31" i="42"/>
  <c r="AN31" i="42" s="1"/>
  <c r="U124" i="21"/>
  <c r="V124" i="21" s="1"/>
  <c r="AL105" i="36"/>
  <c r="Y96" i="43"/>
  <c r="AE42" i="36"/>
  <c r="U122" i="33"/>
  <c r="V122" i="33" s="1"/>
  <c r="S141" i="42"/>
  <c r="AF42" i="21"/>
  <c r="U91" i="43"/>
  <c r="V91" i="43" s="1"/>
  <c r="Z24" i="42"/>
  <c r="AF59" i="36"/>
  <c r="Z10" i="33"/>
  <c r="T24" i="33"/>
  <c r="Z122" i="33"/>
  <c r="U77" i="37"/>
  <c r="V77" i="37" s="1"/>
  <c r="AF10" i="37"/>
  <c r="AA62" i="36"/>
  <c r="AB62" i="36" s="1"/>
  <c r="AF11" i="36"/>
  <c r="AF96" i="42"/>
  <c r="T142" i="33"/>
  <c r="Z27" i="21"/>
  <c r="AA93" i="21"/>
  <c r="AB93" i="21" s="1"/>
  <c r="T128" i="33"/>
  <c r="AK24" i="36"/>
  <c r="T124" i="21"/>
  <c r="AM105" i="36"/>
  <c r="AN105" i="36" s="1"/>
  <c r="AA96" i="43"/>
  <c r="AB96" i="43" s="1"/>
  <c r="AG42" i="36"/>
  <c r="AH42" i="36" s="1"/>
  <c r="T59" i="43"/>
  <c r="AA137" i="36"/>
  <c r="AB137" i="36" s="1"/>
  <c r="AG42" i="21"/>
  <c r="AH42" i="21" s="1"/>
  <c r="AF107" i="33"/>
  <c r="AG59" i="36"/>
  <c r="AH59" i="36" s="1"/>
  <c r="AF125" i="21"/>
  <c r="U74" i="33"/>
  <c r="V74" i="33" s="1"/>
  <c r="AA10" i="33"/>
  <c r="AB10" i="33" s="1"/>
  <c r="T77" i="37"/>
  <c r="AG10" i="37"/>
  <c r="AH10" i="37" s="1"/>
  <c r="Z62" i="36"/>
  <c r="AG11" i="36"/>
  <c r="AH11" i="36" s="1"/>
  <c r="T42" i="33"/>
  <c r="AA27" i="21"/>
  <c r="AB27" i="21" s="1"/>
  <c r="U128" i="33"/>
  <c r="V128" i="33" s="1"/>
  <c r="AM24" i="36"/>
  <c r="AN24" i="36" s="1"/>
  <c r="AK9" i="21"/>
  <c r="U59" i="43"/>
  <c r="V59" i="43" s="1"/>
  <c r="Z137" i="36"/>
  <c r="AG107" i="33"/>
  <c r="AH107" i="33" s="1"/>
  <c r="T105" i="42"/>
  <c r="AM29" i="37"/>
  <c r="AN29" i="37" s="1"/>
  <c r="AG125" i="21"/>
  <c r="AH125" i="21" s="1"/>
  <c r="T74" i="33"/>
  <c r="U58" i="21"/>
  <c r="V58" i="21" s="1"/>
  <c r="Z25" i="36"/>
  <c r="U42" i="33"/>
  <c r="V42" i="33" s="1"/>
  <c r="U137" i="37"/>
  <c r="V137" i="37" s="1"/>
  <c r="T46" i="43"/>
  <c r="AL9" i="21"/>
  <c r="U105" i="42"/>
  <c r="V105" i="42" s="1"/>
  <c r="AL29" i="37"/>
  <c r="T58" i="21"/>
  <c r="U121" i="21"/>
  <c r="V121" i="21" s="1"/>
  <c r="AA25" i="36"/>
  <c r="AB25" i="36" s="1"/>
  <c r="U91" i="42"/>
  <c r="V91" i="42" s="1"/>
  <c r="Z30" i="33"/>
  <c r="U46" i="43"/>
  <c r="V46" i="43" s="1"/>
  <c r="AA126" i="33"/>
  <c r="AB126" i="33" s="1"/>
  <c r="AA41" i="33"/>
  <c r="AB41" i="33" s="1"/>
  <c r="S80" i="21"/>
  <c r="AL11" i="36"/>
  <c r="U80" i="21"/>
  <c r="V80" i="21" s="1"/>
  <c r="AG59" i="42"/>
  <c r="AH59" i="42" s="1"/>
  <c r="T11" i="36"/>
  <c r="AA10" i="42"/>
  <c r="AB10" i="42" s="1"/>
  <c r="AF59" i="42"/>
  <c r="Z10" i="42"/>
  <c r="S137" i="36"/>
  <c r="T137" i="36"/>
  <c r="AE41" i="36"/>
  <c r="AG41" i="36"/>
  <c r="AH41" i="36" s="1"/>
  <c r="T78" i="37"/>
  <c r="U78" i="37"/>
  <c r="V78" i="37" s="1"/>
  <c r="AG30" i="33"/>
  <c r="AH30" i="33" s="1"/>
  <c r="AK17" i="21"/>
  <c r="Z64" i="43"/>
  <c r="Z13" i="43"/>
  <c r="S78" i="37"/>
  <c r="U15" i="43"/>
  <c r="V15" i="43" s="1"/>
  <c r="AF41" i="36"/>
  <c r="AF61" i="33"/>
  <c r="Y127" i="37"/>
  <c r="AG111" i="36"/>
  <c r="AH111" i="36" s="1"/>
  <c r="T142" i="37"/>
  <c r="AM139" i="36"/>
  <c r="AN139" i="36" s="1"/>
  <c r="T41" i="33"/>
  <c r="U9" i="36"/>
  <c r="V9" i="36" s="1"/>
  <c r="AA64" i="43"/>
  <c r="AB64" i="43" s="1"/>
  <c r="AK131" i="42"/>
  <c r="AA13" i="43"/>
  <c r="AB13" i="43" s="1"/>
  <c r="AE30" i="33"/>
  <c r="T60" i="21"/>
  <c r="Z41" i="43"/>
  <c r="AL78" i="21"/>
  <c r="AM122" i="37"/>
  <c r="AN122" i="37" s="1"/>
  <c r="T123" i="37"/>
  <c r="AF43" i="42"/>
  <c r="AG140" i="42"/>
  <c r="AH140" i="42" s="1"/>
  <c r="Y27" i="42"/>
  <c r="S29" i="37"/>
  <c r="Z127" i="37"/>
  <c r="T94" i="36"/>
  <c r="T26" i="37"/>
  <c r="Y78" i="36"/>
  <c r="AL122" i="37"/>
  <c r="U123" i="37"/>
  <c r="V123" i="37" s="1"/>
  <c r="AG95" i="43"/>
  <c r="AH95" i="43" s="1"/>
  <c r="U94" i="36"/>
  <c r="V94" i="36" s="1"/>
  <c r="U105" i="33"/>
  <c r="V105" i="33" s="1"/>
  <c r="Z78" i="36"/>
  <c r="AL61" i="42"/>
  <c r="T111" i="42"/>
  <c r="AA126" i="37"/>
  <c r="AB126" i="37" s="1"/>
  <c r="AL77" i="37"/>
  <c r="AF95" i="43"/>
  <c r="Z64" i="21"/>
  <c r="AA111" i="36"/>
  <c r="AB111" i="36" s="1"/>
  <c r="T105" i="33"/>
  <c r="S121" i="33"/>
  <c r="S86" i="37"/>
  <c r="AM61" i="42"/>
  <c r="AN61" i="42" s="1"/>
  <c r="U111" i="42"/>
  <c r="V111" i="42" s="1"/>
  <c r="AA121" i="21"/>
  <c r="AB121" i="21" s="1"/>
  <c r="U61" i="33"/>
  <c r="V61" i="33" s="1"/>
  <c r="AM77" i="37"/>
  <c r="AN77" i="37" s="1"/>
  <c r="T26" i="21"/>
  <c r="AL76" i="21"/>
  <c r="AA64" i="21"/>
  <c r="AB64" i="21" s="1"/>
  <c r="U126" i="21"/>
  <c r="V126" i="21" s="1"/>
  <c r="AG9" i="37"/>
  <c r="AH9" i="37" s="1"/>
  <c r="AF112" i="21"/>
  <c r="AA125" i="37"/>
  <c r="AB125" i="37" s="1"/>
  <c r="Z111" i="36"/>
  <c r="T29" i="37"/>
  <c r="S29" i="42"/>
  <c r="Y131" i="42"/>
  <c r="T121" i="33"/>
  <c r="T126" i="33"/>
  <c r="Y85" i="33"/>
  <c r="AK41" i="36"/>
  <c r="AL110" i="43"/>
  <c r="Z121" i="21"/>
  <c r="T61" i="33"/>
  <c r="U90" i="36"/>
  <c r="V90" i="36" s="1"/>
  <c r="U143" i="42"/>
  <c r="V143" i="42" s="1"/>
  <c r="U26" i="21"/>
  <c r="V26" i="21" s="1"/>
  <c r="AM76" i="21"/>
  <c r="AN76" i="21" s="1"/>
  <c r="T126" i="21"/>
  <c r="AF9" i="37"/>
  <c r="AA27" i="42"/>
  <c r="AB27" i="42" s="1"/>
  <c r="Z125" i="37"/>
  <c r="U29" i="42"/>
  <c r="V29" i="42" s="1"/>
  <c r="S131" i="42"/>
  <c r="U126" i="33"/>
  <c r="V126" i="33" s="1"/>
  <c r="AE81" i="33"/>
  <c r="S60" i="21"/>
  <c r="AL41" i="36"/>
  <c r="Z126" i="37"/>
  <c r="AF81" i="21"/>
  <c r="AM110" i="43"/>
  <c r="AN110" i="43" s="1"/>
  <c r="AG61" i="33"/>
  <c r="AH61" i="33" s="1"/>
  <c r="T90" i="36"/>
  <c r="T143" i="42"/>
  <c r="U41" i="33"/>
  <c r="V41" i="33" s="1"/>
  <c r="T9" i="36"/>
  <c r="AL137" i="37"/>
  <c r="AA9" i="33"/>
  <c r="AB9" i="33" s="1"/>
  <c r="AG91" i="36"/>
  <c r="AH91" i="36" s="1"/>
  <c r="AM15" i="43"/>
  <c r="AN15" i="43" s="1"/>
  <c r="U9" i="37"/>
  <c r="V9" i="37" s="1"/>
  <c r="AM137" i="37"/>
  <c r="AN137" i="37" s="1"/>
  <c r="Z140" i="21"/>
  <c r="AF91" i="36"/>
  <c r="S27" i="21"/>
  <c r="Y122" i="37"/>
  <c r="AE13" i="21"/>
  <c r="AF24" i="33"/>
  <c r="AA141" i="37"/>
  <c r="AB141" i="37" s="1"/>
  <c r="T27" i="21"/>
  <c r="AF142" i="33"/>
  <c r="Z122" i="37"/>
  <c r="Y59" i="42"/>
  <c r="Z128" i="33"/>
  <c r="U76" i="36"/>
  <c r="V76" i="36" s="1"/>
  <c r="Z141" i="37"/>
  <c r="AG58" i="33"/>
  <c r="AH58" i="33" s="1"/>
  <c r="U61" i="42"/>
  <c r="V61" i="42" s="1"/>
  <c r="Z9" i="37"/>
  <c r="AK38" i="21"/>
  <c r="S80" i="42"/>
  <c r="AE89" i="21"/>
  <c r="AA59" i="42"/>
  <c r="AB59" i="42" s="1"/>
  <c r="U26" i="36"/>
  <c r="V26" i="36" s="1"/>
  <c r="Y31" i="21"/>
  <c r="Z48" i="36"/>
  <c r="T10" i="33"/>
  <c r="AF58" i="33"/>
  <c r="AM63" i="42"/>
  <c r="AN63" i="42" s="1"/>
  <c r="T61" i="42"/>
  <c r="AA9" i="37"/>
  <c r="AB9" i="37" s="1"/>
  <c r="U80" i="42"/>
  <c r="V80" i="42" s="1"/>
  <c r="S74" i="42"/>
  <c r="AF89" i="21"/>
  <c r="AA89" i="37"/>
  <c r="AB89" i="37" s="1"/>
  <c r="T26" i="36"/>
  <c r="AG137" i="37"/>
  <c r="AH137" i="37" s="1"/>
  <c r="U10" i="33"/>
  <c r="V10" i="33" s="1"/>
  <c r="AL74" i="42"/>
  <c r="AE120" i="21"/>
  <c r="T74" i="42"/>
  <c r="AF137" i="37"/>
  <c r="AF9" i="21"/>
  <c r="AA121" i="33"/>
  <c r="AB121" i="33" s="1"/>
  <c r="AA31" i="21"/>
  <c r="AB31" i="21" s="1"/>
  <c r="T60" i="36"/>
  <c r="Y38" i="33"/>
  <c r="T125" i="33"/>
  <c r="Y101" i="42"/>
  <c r="T112" i="21"/>
  <c r="AE41" i="43"/>
  <c r="AA11" i="37"/>
  <c r="AB11" i="37" s="1"/>
  <c r="AM46" i="36"/>
  <c r="AN46" i="36" s="1"/>
  <c r="U108" i="33"/>
  <c r="V108" i="33" s="1"/>
  <c r="T120" i="21"/>
  <c r="AL46" i="36"/>
  <c r="Z96" i="21"/>
  <c r="AF41" i="33"/>
  <c r="S24" i="21"/>
  <c r="AG41" i="33"/>
  <c r="AH41" i="33" s="1"/>
  <c r="AK64" i="21"/>
  <c r="AF109" i="43"/>
  <c r="AA144" i="42"/>
  <c r="AB144" i="42" s="1"/>
  <c r="AM107" i="42"/>
  <c r="AN107" i="42" s="1"/>
  <c r="AF58" i="42"/>
  <c r="Z41" i="21"/>
  <c r="T64" i="21"/>
  <c r="AL111" i="42"/>
  <c r="AL42" i="43"/>
  <c r="U24" i="37"/>
  <c r="V24" i="37" s="1"/>
  <c r="U112" i="43"/>
  <c r="V112" i="43" s="1"/>
  <c r="AL141" i="37"/>
  <c r="AL74" i="33"/>
  <c r="AA29" i="42"/>
  <c r="AB29" i="42" s="1"/>
  <c r="AL111" i="33"/>
  <c r="AA29" i="43"/>
  <c r="AB29" i="43" s="1"/>
  <c r="Y144" i="42"/>
  <c r="S110" i="43"/>
  <c r="AK107" i="42"/>
  <c r="T112" i="43"/>
  <c r="AA76" i="33"/>
  <c r="AB76" i="33" s="1"/>
  <c r="AM141" i="37"/>
  <c r="AN141" i="37" s="1"/>
  <c r="T24" i="37"/>
  <c r="AM111" i="42"/>
  <c r="AN111" i="42" s="1"/>
  <c r="Y27" i="33"/>
  <c r="AE54" i="42"/>
  <c r="T46" i="36"/>
  <c r="AF91" i="42"/>
  <c r="S15" i="43"/>
  <c r="AF62" i="43"/>
  <c r="AA106" i="36"/>
  <c r="AB106" i="36" s="1"/>
  <c r="AF126" i="33"/>
  <c r="AG62" i="43"/>
  <c r="AH62" i="43" s="1"/>
  <c r="S12" i="36"/>
  <c r="S31" i="21"/>
  <c r="AG58" i="42"/>
  <c r="AH58" i="42" s="1"/>
  <c r="AG109" i="43"/>
  <c r="AH109" i="43" s="1"/>
  <c r="AA41" i="21"/>
  <c r="AB41" i="21" s="1"/>
  <c r="AG126" i="33"/>
  <c r="AH126" i="33" s="1"/>
  <c r="U123" i="42"/>
  <c r="V123" i="42" s="1"/>
  <c r="U137" i="36"/>
  <c r="V137" i="36" s="1"/>
  <c r="AM42" i="43"/>
  <c r="AN42" i="43" s="1"/>
  <c r="Z29" i="42"/>
  <c r="AM111" i="33"/>
  <c r="AN111" i="33" s="1"/>
  <c r="U64" i="21"/>
  <c r="V64" i="21" s="1"/>
  <c r="AM74" i="33"/>
  <c r="AN74" i="33" s="1"/>
  <c r="AK110" i="21"/>
  <c r="AM91" i="43"/>
  <c r="AN91" i="43" s="1"/>
  <c r="AG145" i="33"/>
  <c r="AH145" i="33" s="1"/>
  <c r="AM64" i="21"/>
  <c r="AN64" i="21" s="1"/>
  <c r="AF111" i="42"/>
  <c r="AE27" i="37"/>
  <c r="T64" i="43"/>
  <c r="AG27" i="37"/>
  <c r="AH27" i="37" s="1"/>
  <c r="T41" i="21"/>
  <c r="Y26" i="36"/>
  <c r="T60" i="42"/>
  <c r="AM10" i="37"/>
  <c r="AN10" i="37" s="1"/>
  <c r="AL10" i="37"/>
  <c r="AA26" i="37"/>
  <c r="AB26" i="37" s="1"/>
  <c r="AG13" i="37"/>
  <c r="AH13" i="37" s="1"/>
  <c r="AM59" i="43"/>
  <c r="AN59" i="43" s="1"/>
  <c r="AK58" i="21"/>
  <c r="AF123" i="42"/>
  <c r="Z29" i="37"/>
  <c r="Y59" i="43"/>
  <c r="Z64" i="36"/>
  <c r="AL61" i="43"/>
  <c r="AM47" i="33"/>
  <c r="AN47" i="33" s="1"/>
  <c r="T89" i="33"/>
  <c r="T28" i="43"/>
  <c r="AA58" i="21"/>
  <c r="AB58" i="21" s="1"/>
  <c r="AF145" i="33"/>
  <c r="AM143" i="42"/>
  <c r="AN143" i="42" s="1"/>
  <c r="Z26" i="37"/>
  <c r="Z107" i="42"/>
  <c r="T126" i="37"/>
  <c r="U64" i="43"/>
  <c r="V64" i="43" s="1"/>
  <c r="U48" i="43"/>
  <c r="V48" i="43" s="1"/>
  <c r="AE65" i="36"/>
  <c r="U41" i="21"/>
  <c r="V41" i="21" s="1"/>
  <c r="AK91" i="43"/>
  <c r="U60" i="42"/>
  <c r="V60" i="42" s="1"/>
  <c r="AA96" i="21"/>
  <c r="AB96" i="21" s="1"/>
  <c r="AL9" i="36"/>
  <c r="Z77" i="37"/>
  <c r="AM24" i="37"/>
  <c r="AN24" i="37" s="1"/>
  <c r="Y21" i="37"/>
  <c r="U139" i="36"/>
  <c r="V139" i="36" s="1"/>
  <c r="U120" i="21"/>
  <c r="V120" i="21" s="1"/>
  <c r="AF144" i="42"/>
  <c r="AG111" i="42"/>
  <c r="AH111" i="42" s="1"/>
  <c r="AF90" i="36"/>
  <c r="AF13" i="37"/>
  <c r="AM9" i="36"/>
  <c r="AN9" i="36" s="1"/>
  <c r="AA62" i="43"/>
  <c r="AB62" i="43" s="1"/>
  <c r="AA77" i="37"/>
  <c r="AB77" i="37" s="1"/>
  <c r="AG121" i="33"/>
  <c r="AH121" i="33" s="1"/>
  <c r="T139" i="36"/>
  <c r="AM14" i="33"/>
  <c r="AN14" i="33" s="1"/>
  <c r="AF12" i="36"/>
  <c r="AF76" i="21"/>
  <c r="AG144" i="42"/>
  <c r="AH144" i="42" s="1"/>
  <c r="AG90" i="36"/>
  <c r="AH90" i="36" s="1"/>
  <c r="AA24" i="33"/>
  <c r="AB24" i="33" s="1"/>
  <c r="AF139" i="36"/>
  <c r="AM28" i="43"/>
  <c r="AN28" i="43" s="1"/>
  <c r="AF121" i="33"/>
  <c r="S9" i="43"/>
  <c r="Z38" i="36"/>
  <c r="AG12" i="36"/>
  <c r="AH12" i="36" s="1"/>
  <c r="AG76" i="21"/>
  <c r="AH76" i="21" s="1"/>
  <c r="Z24" i="33"/>
  <c r="AG139" i="36"/>
  <c r="AH139" i="36" s="1"/>
  <c r="AL28" i="43"/>
  <c r="AM145" i="33"/>
  <c r="AN145" i="33" s="1"/>
  <c r="T24" i="21"/>
  <c r="T105" i="36"/>
  <c r="Z89" i="21"/>
  <c r="U9" i="43"/>
  <c r="V9" i="43" s="1"/>
  <c r="AG26" i="36"/>
  <c r="AH26" i="36" s="1"/>
  <c r="S9" i="21"/>
  <c r="AL145" i="33"/>
  <c r="Z140" i="42"/>
  <c r="U105" i="36"/>
  <c r="V105" i="36" s="1"/>
  <c r="AA89" i="21"/>
  <c r="AB89" i="21" s="1"/>
  <c r="Z123" i="42"/>
  <c r="Z91" i="36"/>
  <c r="S48" i="43"/>
  <c r="U9" i="21"/>
  <c r="V9" i="21" s="1"/>
  <c r="Z62" i="43"/>
  <c r="U89" i="33"/>
  <c r="V89" i="33" s="1"/>
  <c r="U28" i="43"/>
  <c r="V28" i="43" s="1"/>
  <c r="Z58" i="21"/>
  <c r="AL143" i="42"/>
  <c r="Y123" i="42"/>
  <c r="AA140" i="42"/>
  <c r="AB140" i="42" s="1"/>
  <c r="AA107" i="42"/>
  <c r="AB107" i="42" s="1"/>
  <c r="U126" i="37"/>
  <c r="V126" i="37" s="1"/>
  <c r="AA91" i="36"/>
  <c r="AB91" i="36" s="1"/>
  <c r="AM112" i="43"/>
  <c r="AN112" i="43" s="1"/>
  <c r="T62" i="43"/>
  <c r="AK25" i="36"/>
  <c r="T109" i="43"/>
  <c r="AG78" i="33"/>
  <c r="AH78" i="33" s="1"/>
  <c r="Y24" i="21"/>
  <c r="Z9" i="43"/>
  <c r="U109" i="43"/>
  <c r="V109" i="43" s="1"/>
  <c r="AF78" i="33"/>
  <c r="AA24" i="21"/>
  <c r="AB24" i="21" s="1"/>
  <c r="AA9" i="43"/>
  <c r="AB9" i="43" s="1"/>
  <c r="AL112" i="43"/>
  <c r="AF64" i="36"/>
  <c r="S96" i="42"/>
  <c r="AA29" i="37"/>
  <c r="AB29" i="37" s="1"/>
  <c r="AM61" i="43"/>
  <c r="AN61" i="43" s="1"/>
  <c r="AA126" i="21"/>
  <c r="AB126" i="21" s="1"/>
  <c r="AG91" i="43"/>
  <c r="AH91" i="43" s="1"/>
  <c r="T43" i="42"/>
  <c r="AG123" i="42"/>
  <c r="AH123" i="42" s="1"/>
  <c r="AL144" i="42"/>
  <c r="AL124" i="21"/>
  <c r="AL59" i="43"/>
  <c r="AA64" i="36"/>
  <c r="AB64" i="36" s="1"/>
  <c r="Z59" i="43"/>
  <c r="Y125" i="21"/>
  <c r="AL58" i="21"/>
  <c r="AK128" i="33"/>
  <c r="AK124" i="21"/>
  <c r="AM144" i="42"/>
  <c r="AN144" i="42" s="1"/>
  <c r="AA124" i="21"/>
  <c r="AB124" i="21" s="1"/>
  <c r="Z125" i="21"/>
  <c r="AL128" i="33"/>
  <c r="AA58" i="33"/>
  <c r="AB58" i="33" s="1"/>
  <c r="Z124" i="21"/>
  <c r="Z58" i="33"/>
  <c r="T29" i="43"/>
  <c r="T96" i="42"/>
  <c r="AG64" i="36"/>
  <c r="AH64" i="36" s="1"/>
  <c r="U29" i="43"/>
  <c r="V29" i="43" s="1"/>
  <c r="Z126" i="21"/>
  <c r="AF91" i="43"/>
  <c r="AE86" i="33"/>
  <c r="AF60" i="42"/>
  <c r="AM26" i="37"/>
  <c r="AN26" i="37" s="1"/>
  <c r="U78" i="36"/>
  <c r="V78" i="36" s="1"/>
  <c r="AG42" i="43"/>
  <c r="AH42" i="43" s="1"/>
  <c r="AM11" i="36"/>
  <c r="AN11" i="36" s="1"/>
  <c r="AA42" i="43"/>
  <c r="AB42" i="43" s="1"/>
  <c r="AG44" i="33"/>
  <c r="AH44" i="33" s="1"/>
  <c r="AM26" i="21"/>
  <c r="AN26" i="21" s="1"/>
  <c r="AG60" i="42"/>
  <c r="AH60" i="42" s="1"/>
  <c r="Z47" i="33"/>
  <c r="AA109" i="43"/>
  <c r="AB109" i="43" s="1"/>
  <c r="Z78" i="43"/>
  <c r="T78" i="36"/>
  <c r="AM60" i="43"/>
  <c r="AN60" i="43" s="1"/>
  <c r="U149" i="37"/>
  <c r="V149" i="37" s="1"/>
  <c r="AF44" i="33"/>
  <c r="AM48" i="33"/>
  <c r="AN48" i="33" s="1"/>
  <c r="AA47" i="33"/>
  <c r="AB47" i="33" s="1"/>
  <c r="Z43" i="33"/>
  <c r="AF121" i="43"/>
  <c r="Z109" i="43"/>
  <c r="AA78" i="43"/>
  <c r="AB78" i="43" s="1"/>
  <c r="Y76" i="36"/>
  <c r="AF77" i="36"/>
  <c r="Z26" i="33"/>
  <c r="AL60" i="43"/>
  <c r="AA145" i="33"/>
  <c r="AB145" i="33" s="1"/>
  <c r="AL48" i="33"/>
  <c r="AA43" i="33"/>
  <c r="AB43" i="33" s="1"/>
  <c r="AG121" i="43"/>
  <c r="AH121" i="43" s="1"/>
  <c r="AA107" i="33"/>
  <c r="AB107" i="33" s="1"/>
  <c r="U13" i="43"/>
  <c r="V13" i="43" s="1"/>
  <c r="AA26" i="33"/>
  <c r="AB26" i="33" s="1"/>
  <c r="U140" i="21"/>
  <c r="V140" i="21" s="1"/>
  <c r="AA125" i="42"/>
  <c r="AB125" i="42" s="1"/>
  <c r="Z145" i="33"/>
  <c r="U111" i="36"/>
  <c r="V111" i="36" s="1"/>
  <c r="AG43" i="33"/>
  <c r="AH43" i="33" s="1"/>
  <c r="Z107" i="33"/>
  <c r="AA59" i="36"/>
  <c r="AB59" i="36" s="1"/>
  <c r="AM44" i="33"/>
  <c r="AN44" i="33" s="1"/>
  <c r="Y24" i="37"/>
  <c r="T140" i="21"/>
  <c r="Z125" i="42"/>
  <c r="Z76" i="37"/>
  <c r="T109" i="37"/>
  <c r="T111" i="36"/>
  <c r="AF43" i="33"/>
  <c r="Z59" i="36"/>
  <c r="AL44" i="33"/>
  <c r="Z143" i="42"/>
  <c r="AA76" i="37"/>
  <c r="AB76" i="37" s="1"/>
  <c r="AA24" i="37"/>
  <c r="AB24" i="37" s="1"/>
  <c r="Y9" i="36"/>
  <c r="U111" i="33"/>
  <c r="V111" i="33" s="1"/>
  <c r="T111" i="33"/>
  <c r="AG91" i="42"/>
  <c r="AH91" i="42" s="1"/>
  <c r="AA143" i="42"/>
  <c r="AB143" i="42" s="1"/>
  <c r="U11" i="36"/>
  <c r="V11" i="36" s="1"/>
  <c r="AA26" i="43"/>
  <c r="AB26" i="43" s="1"/>
  <c r="AF144" i="37"/>
  <c r="AE26" i="33"/>
  <c r="Z109" i="37"/>
  <c r="U127" i="21"/>
  <c r="V127" i="21" s="1"/>
  <c r="T127" i="21"/>
  <c r="AL75" i="33"/>
  <c r="Z92" i="36"/>
  <c r="T106" i="36"/>
  <c r="AL64" i="36"/>
  <c r="AL77" i="33"/>
  <c r="AE94" i="36"/>
  <c r="AA92" i="36"/>
  <c r="AB92" i="36" s="1"/>
  <c r="Z26" i="43"/>
  <c r="AG144" i="37"/>
  <c r="AH144" i="37" s="1"/>
  <c r="U106" i="36"/>
  <c r="V106" i="36" s="1"/>
  <c r="AM25" i="36"/>
  <c r="AN25" i="36" s="1"/>
  <c r="AM75" i="33"/>
  <c r="AN75" i="33" s="1"/>
  <c r="AK78" i="43"/>
  <c r="AM77" i="33"/>
  <c r="AN77" i="33" s="1"/>
  <c r="AA109" i="37"/>
  <c r="AB109" i="37" s="1"/>
  <c r="AF94" i="36"/>
  <c r="AL48" i="43"/>
  <c r="AG78" i="36"/>
  <c r="AH78" i="36" s="1"/>
  <c r="AM10" i="33"/>
  <c r="AN10" i="33" s="1"/>
  <c r="AG125" i="42"/>
  <c r="AH125" i="42" s="1"/>
  <c r="AA63" i="42"/>
  <c r="AB63" i="42" s="1"/>
  <c r="AL78" i="43"/>
  <c r="S68" i="42"/>
  <c r="AM48" i="43"/>
  <c r="AN48" i="43" s="1"/>
  <c r="AK64" i="36"/>
  <c r="AF78" i="36"/>
  <c r="AL10" i="33"/>
  <c r="AF125" i="42"/>
  <c r="Z63" i="42"/>
  <c r="S63" i="42"/>
  <c r="Y68" i="42"/>
  <c r="AF26" i="33"/>
  <c r="AE112" i="43"/>
  <c r="AA126" i="36"/>
  <c r="AB126" i="36" s="1"/>
  <c r="AG75" i="33"/>
  <c r="AH75" i="33" s="1"/>
  <c r="T63" i="42"/>
  <c r="AE68" i="42"/>
  <c r="AG112" i="43"/>
  <c r="AH112" i="43" s="1"/>
  <c r="AA94" i="36"/>
  <c r="AB94" i="36" s="1"/>
  <c r="AF105" i="42"/>
  <c r="Z126" i="36"/>
  <c r="AF75" i="33"/>
  <c r="Z94" i="36"/>
  <c r="AG105" i="42"/>
  <c r="AH105" i="42" s="1"/>
  <c r="AG80" i="42"/>
  <c r="AH80" i="42" s="1"/>
  <c r="AG47" i="33"/>
  <c r="AH47" i="33" s="1"/>
  <c r="AF80" i="42"/>
  <c r="AF47" i="33"/>
  <c r="AL46" i="43"/>
  <c r="AA128" i="33"/>
  <c r="AB128" i="33" s="1"/>
  <c r="AG24" i="33"/>
  <c r="AH24" i="33" s="1"/>
  <c r="AA15" i="21"/>
  <c r="AB15" i="21" s="1"/>
  <c r="AA48" i="36"/>
  <c r="AB48" i="36" s="1"/>
  <c r="AL63" i="42"/>
  <c r="T27" i="33"/>
  <c r="U60" i="36"/>
  <c r="V60" i="36" s="1"/>
  <c r="S38" i="33"/>
  <c r="Z111" i="33"/>
  <c r="S38" i="21"/>
  <c r="AK101" i="42"/>
  <c r="AG120" i="21"/>
  <c r="AH120" i="21" s="1"/>
  <c r="AG142" i="33"/>
  <c r="AH142" i="33" s="1"/>
  <c r="AG13" i="21"/>
  <c r="AH13" i="21" s="1"/>
  <c r="AA32" i="36"/>
  <c r="AB32" i="36" s="1"/>
  <c r="S70" i="42"/>
  <c r="Y29" i="33"/>
  <c r="T12" i="36"/>
  <c r="AK54" i="42"/>
  <c r="AF41" i="43"/>
  <c r="Z11" i="37"/>
  <c r="AM46" i="43"/>
  <c r="AN46" i="43" s="1"/>
  <c r="T125" i="37"/>
  <c r="Z15" i="21"/>
  <c r="U27" i="33"/>
  <c r="V27" i="33" s="1"/>
  <c r="Z142" i="33"/>
  <c r="AA111" i="33"/>
  <c r="AB111" i="33" s="1"/>
  <c r="Z38" i="21"/>
  <c r="S32" i="36"/>
  <c r="Z70" i="42"/>
  <c r="AA29" i="33"/>
  <c r="AB29" i="33" s="1"/>
  <c r="U125" i="37"/>
  <c r="V125" i="37" s="1"/>
  <c r="AL13" i="37"/>
  <c r="Y9" i="33"/>
  <c r="U75" i="36"/>
  <c r="V75" i="36" s="1"/>
  <c r="AF78" i="42"/>
  <c r="AA142" i="33"/>
  <c r="AB142" i="33" s="1"/>
  <c r="T57" i="43"/>
  <c r="Y46" i="33"/>
  <c r="Y91" i="42"/>
  <c r="AE32" i="36"/>
  <c r="AE70" i="42"/>
  <c r="S101" i="21"/>
  <c r="AE37" i="36"/>
  <c r="Z89" i="37"/>
  <c r="T89" i="43"/>
  <c r="AM13" i="37"/>
  <c r="AN13" i="37" s="1"/>
  <c r="Y33" i="43"/>
  <c r="AF29" i="33"/>
  <c r="T75" i="36"/>
  <c r="AA60" i="21"/>
  <c r="AB60" i="21" s="1"/>
  <c r="U60" i="43"/>
  <c r="V60" i="43" s="1"/>
  <c r="AG78" i="42"/>
  <c r="AH78" i="42" s="1"/>
  <c r="AA120" i="21"/>
  <c r="AB120" i="21" s="1"/>
  <c r="Z60" i="36"/>
  <c r="AE84" i="21"/>
  <c r="U57" i="43"/>
  <c r="V57" i="43" s="1"/>
  <c r="Z46" i="33"/>
  <c r="Z91" i="42"/>
  <c r="Y33" i="37"/>
  <c r="AE27" i="42"/>
  <c r="AK101" i="21"/>
  <c r="Y37" i="36"/>
  <c r="S34" i="33"/>
  <c r="Y95" i="43"/>
  <c r="AA110" i="21"/>
  <c r="AB110" i="21" s="1"/>
  <c r="U89" i="43"/>
  <c r="V89" i="43" s="1"/>
  <c r="AG105" i="36"/>
  <c r="AH105" i="36" s="1"/>
  <c r="AE33" i="43"/>
  <c r="S67" i="36"/>
  <c r="AG29" i="33"/>
  <c r="AH29" i="33" s="1"/>
  <c r="AA41" i="36"/>
  <c r="AB41" i="36" s="1"/>
  <c r="Z60" i="21"/>
  <c r="T60" i="43"/>
  <c r="Z120" i="21"/>
  <c r="AG8" i="33"/>
  <c r="AH8" i="33" s="1"/>
  <c r="AA60" i="36"/>
  <c r="AB60" i="36" s="1"/>
  <c r="Y84" i="21"/>
  <c r="S10" i="21"/>
  <c r="T33" i="37"/>
  <c r="AF27" i="42"/>
  <c r="AG141" i="42"/>
  <c r="AH141" i="42" s="1"/>
  <c r="AE101" i="21"/>
  <c r="V37" i="36"/>
  <c r="Y34" i="33"/>
  <c r="AE143" i="36"/>
  <c r="AA95" i="43"/>
  <c r="AB95" i="43" s="1"/>
  <c r="AM76" i="37"/>
  <c r="AN76" i="37" s="1"/>
  <c r="Z110" i="43"/>
  <c r="AF105" i="36"/>
  <c r="Z46" i="42"/>
  <c r="AK33" i="43"/>
  <c r="AM15" i="21"/>
  <c r="AN15" i="21" s="1"/>
  <c r="Z41" i="36"/>
  <c r="U61" i="43"/>
  <c r="V61" i="43" s="1"/>
  <c r="AE38" i="33"/>
  <c r="AF8" i="33"/>
  <c r="AA46" i="43"/>
  <c r="AB46" i="43" s="1"/>
  <c r="AK84" i="21"/>
  <c r="S101" i="42"/>
  <c r="T10" i="21"/>
  <c r="AK33" i="37"/>
  <c r="AF141" i="42"/>
  <c r="Y54" i="42"/>
  <c r="AE34" i="33"/>
  <c r="AF143" i="36"/>
  <c r="Z110" i="21"/>
  <c r="T76" i="36"/>
  <c r="AL76" i="37"/>
  <c r="AA110" i="43"/>
  <c r="AB110" i="43" s="1"/>
  <c r="AA46" i="42"/>
  <c r="AB46" i="42" s="1"/>
  <c r="AL15" i="21"/>
  <c r="AM74" i="42"/>
  <c r="AN74" i="42" s="1"/>
  <c r="Y46" i="43"/>
  <c r="Z121" i="33"/>
  <c r="AA140" i="21"/>
  <c r="AB140" i="21" s="1"/>
  <c r="T61" i="43"/>
  <c r="T30" i="36"/>
  <c r="U112" i="21"/>
  <c r="V112" i="21" s="1"/>
  <c r="T123" i="42"/>
  <c r="AG41" i="21"/>
  <c r="AH41" i="21" s="1"/>
  <c r="AL106" i="36"/>
  <c r="Z12" i="36"/>
  <c r="Y61" i="43"/>
  <c r="Z106" i="36"/>
  <c r="Z29" i="43"/>
  <c r="AG75" i="36"/>
  <c r="AH75" i="36" s="1"/>
  <c r="AA27" i="33"/>
  <c r="AB27" i="33" s="1"/>
  <c r="T110" i="43"/>
  <c r="AK78" i="42"/>
  <c r="AF92" i="36"/>
  <c r="AF48" i="33"/>
  <c r="Z43" i="42"/>
  <c r="AM92" i="36"/>
  <c r="AN92" i="36" s="1"/>
  <c r="AE76" i="36"/>
  <c r="AA57" i="33"/>
  <c r="AB57" i="33" s="1"/>
  <c r="AG92" i="36"/>
  <c r="AH92" i="36" s="1"/>
  <c r="AG48" i="33"/>
  <c r="AH48" i="33" s="1"/>
  <c r="AA43" i="42"/>
  <c r="AB43" i="42" s="1"/>
  <c r="AF89" i="37"/>
  <c r="AL92" i="36"/>
  <c r="AF76" i="36"/>
  <c r="AE127" i="37"/>
  <c r="Z108" i="33"/>
  <c r="AG89" i="37"/>
  <c r="AH89" i="37" s="1"/>
  <c r="AL126" i="36"/>
  <c r="AM42" i="21"/>
  <c r="AN42" i="21" s="1"/>
  <c r="AL42" i="21"/>
  <c r="AM126" i="36"/>
  <c r="AN126" i="36" s="1"/>
  <c r="AM106" i="36"/>
  <c r="AN106" i="36" s="1"/>
  <c r="AF79" i="42"/>
  <c r="T125" i="42"/>
  <c r="U109" i="37"/>
  <c r="V109" i="37" s="1"/>
  <c r="Y149" i="37"/>
  <c r="AE149" i="37"/>
  <c r="AK140" i="21"/>
  <c r="Z76" i="36"/>
  <c r="AK89" i="43"/>
  <c r="AM140" i="21"/>
  <c r="AN140" i="21" s="1"/>
  <c r="AG77" i="33"/>
  <c r="AH77" i="33" s="1"/>
  <c r="AL89" i="43"/>
  <c r="AE127" i="21"/>
  <c r="AF77" i="33"/>
  <c r="AF127" i="21"/>
  <c r="AG126" i="21"/>
  <c r="AH126" i="21" s="1"/>
  <c r="AF126" i="21"/>
  <c r="T43" i="33"/>
  <c r="AF47" i="43"/>
  <c r="U86" i="21"/>
  <c r="V86" i="21" s="1"/>
  <c r="U43" i="42"/>
  <c r="V43" i="42" s="1"/>
  <c r="AA42" i="21"/>
  <c r="AB42" i="21" s="1"/>
  <c r="S54" i="43"/>
  <c r="Z89" i="43"/>
  <c r="AF109" i="37"/>
  <c r="AA89" i="43"/>
  <c r="AB89" i="43" s="1"/>
  <c r="AM30" i="36"/>
  <c r="AN30" i="36" s="1"/>
  <c r="AG109" i="37"/>
  <c r="AH109" i="37" s="1"/>
  <c r="U38" i="42"/>
  <c r="V38" i="42" s="1"/>
  <c r="Z12" i="43"/>
  <c r="AF93" i="21"/>
  <c r="AF57" i="33"/>
  <c r="AA48" i="43"/>
  <c r="AB48" i="43" s="1"/>
  <c r="S43" i="33"/>
  <c r="AE129" i="36"/>
  <c r="Z44" i="33"/>
  <c r="AE33" i="21"/>
  <c r="AG47" i="43"/>
  <c r="AH47" i="43" s="1"/>
  <c r="Z48" i="43"/>
  <c r="T140" i="42"/>
  <c r="T77" i="36"/>
  <c r="Z48" i="33"/>
  <c r="U29" i="33"/>
  <c r="V29" i="33" s="1"/>
  <c r="T47" i="42"/>
  <c r="T78" i="33"/>
  <c r="AE16" i="43"/>
  <c r="AA74" i="21"/>
  <c r="AB74" i="21" s="1"/>
  <c r="Y111" i="43"/>
  <c r="AM138" i="21"/>
  <c r="AN138" i="21" s="1"/>
  <c r="U46" i="36"/>
  <c r="V46" i="36" s="1"/>
  <c r="AA143" i="33"/>
  <c r="AB143" i="33" s="1"/>
  <c r="Z76" i="33"/>
  <c r="AG42" i="33"/>
  <c r="AH42" i="33" s="1"/>
  <c r="AA76" i="21"/>
  <c r="AB76" i="21" s="1"/>
  <c r="AL80" i="21"/>
  <c r="AG105" i="33"/>
  <c r="AH105" i="33" s="1"/>
  <c r="AF30" i="36"/>
  <c r="AG79" i="42"/>
  <c r="AH79" i="42" s="1"/>
  <c r="U125" i="42"/>
  <c r="V125" i="42" s="1"/>
  <c r="T14" i="33"/>
  <c r="AE75" i="36"/>
  <c r="AE21" i="33"/>
  <c r="U140" i="42"/>
  <c r="V140" i="42" s="1"/>
  <c r="Z57" i="33"/>
  <c r="AF41" i="21"/>
  <c r="AA108" i="33"/>
  <c r="AB108" i="33" s="1"/>
  <c r="AA12" i="36"/>
  <c r="AB12" i="36" s="1"/>
  <c r="AK34" i="36"/>
  <c r="Z61" i="43"/>
  <c r="AF127" i="37"/>
  <c r="AL78" i="42"/>
  <c r="AM95" i="43"/>
  <c r="AN95" i="43" s="1"/>
  <c r="AM31" i="21"/>
  <c r="AN31" i="21" s="1"/>
  <c r="S18" i="36"/>
  <c r="Y135" i="43"/>
  <c r="Y34" i="36"/>
  <c r="AK53" i="33"/>
  <c r="AM13" i="21"/>
  <c r="AN13" i="21" s="1"/>
  <c r="AL13" i="21"/>
  <c r="AF138" i="21"/>
  <c r="AL95" i="43"/>
  <c r="Y49" i="42"/>
  <c r="AF60" i="21"/>
  <c r="AL31" i="21"/>
  <c r="Z121" i="43"/>
  <c r="Y18" i="36"/>
  <c r="AF110" i="21"/>
  <c r="S135" i="43"/>
  <c r="S34" i="36"/>
  <c r="S59" i="36"/>
  <c r="AG138" i="21"/>
  <c r="AH138" i="21" s="1"/>
  <c r="AL121" i="42"/>
  <c r="AK49" i="42"/>
  <c r="AG60" i="21"/>
  <c r="AH60" i="21" s="1"/>
  <c r="AA121" i="43"/>
  <c r="AB121" i="43" s="1"/>
  <c r="AE18" i="36"/>
  <c r="Z105" i="33"/>
  <c r="AG110" i="21"/>
  <c r="AH110" i="21" s="1"/>
  <c r="T107" i="33"/>
  <c r="AK89" i="37"/>
  <c r="AE135" i="43"/>
  <c r="U59" i="36"/>
  <c r="V59" i="36" s="1"/>
  <c r="U106" i="21"/>
  <c r="V106" i="21" s="1"/>
  <c r="S92" i="37"/>
  <c r="AM121" i="42"/>
  <c r="AN121" i="42" s="1"/>
  <c r="S49" i="42"/>
  <c r="AA141" i="42"/>
  <c r="AB141" i="42" s="1"/>
  <c r="T92" i="37"/>
  <c r="AM75" i="36"/>
  <c r="AN75" i="36" s="1"/>
  <c r="AA105" i="33"/>
  <c r="AB105" i="33" s="1"/>
  <c r="U107" i="33"/>
  <c r="V107" i="33" s="1"/>
  <c r="AM89" i="37"/>
  <c r="AN89" i="37" s="1"/>
  <c r="S14" i="33"/>
  <c r="AL138" i="21"/>
  <c r="T106" i="21"/>
  <c r="Z143" i="33"/>
  <c r="AF42" i="33"/>
  <c r="Z76" i="21"/>
  <c r="AM80" i="21"/>
  <c r="AN80" i="21" s="1"/>
  <c r="Z141" i="42"/>
  <c r="AF105" i="33"/>
  <c r="AL75" i="36"/>
  <c r="AG30" i="36"/>
  <c r="AH30" i="36" s="1"/>
  <c r="AL47" i="42"/>
  <c r="AL30" i="36"/>
  <c r="AK129" i="36"/>
  <c r="AE10" i="21"/>
  <c r="AG93" i="21"/>
  <c r="AH93" i="21" s="1"/>
  <c r="AA44" i="33"/>
  <c r="AB44" i="33" s="1"/>
  <c r="U95" i="33"/>
  <c r="V95" i="33" s="1"/>
  <c r="AK33" i="21"/>
  <c r="Y86" i="21"/>
  <c r="Z28" i="43"/>
  <c r="AE54" i="43"/>
  <c r="AE38" i="42"/>
  <c r="U79" i="42"/>
  <c r="V79" i="42" s="1"/>
  <c r="U8" i="21"/>
  <c r="V8" i="21" s="1"/>
  <c r="AM47" i="42"/>
  <c r="AN47" i="42" s="1"/>
  <c r="Y129" i="36"/>
  <c r="T31" i="42"/>
  <c r="AF95" i="33"/>
  <c r="T95" i="33"/>
  <c r="AA28" i="43"/>
  <c r="AB28" i="43" s="1"/>
  <c r="AK54" i="43"/>
  <c r="S117" i="21"/>
  <c r="AK38" i="42"/>
  <c r="Y60" i="43"/>
  <c r="T8" i="21"/>
  <c r="Z79" i="42"/>
  <c r="AE57" i="33"/>
  <c r="AF46" i="36"/>
  <c r="U31" i="42"/>
  <c r="V31" i="42" s="1"/>
  <c r="AG14" i="36"/>
  <c r="AH14" i="36" s="1"/>
  <c r="AA78" i="21"/>
  <c r="AB78" i="21" s="1"/>
  <c r="AG95" i="33"/>
  <c r="AH95" i="33" s="1"/>
  <c r="Y128" i="21"/>
  <c r="AF8" i="21"/>
  <c r="Y117" i="21"/>
  <c r="Y62" i="33"/>
  <c r="S93" i="21"/>
  <c r="T79" i="42"/>
  <c r="Y12" i="43"/>
  <c r="Z142" i="37"/>
  <c r="AA79" i="42"/>
  <c r="AB79" i="42" s="1"/>
  <c r="AM123" i="37"/>
  <c r="AN123" i="37" s="1"/>
  <c r="AE149" i="21"/>
  <c r="AG46" i="36"/>
  <c r="AH46" i="36" s="1"/>
  <c r="AF14" i="36"/>
  <c r="AK148" i="36"/>
  <c r="Z78" i="21"/>
  <c r="S128" i="21"/>
  <c r="AG10" i="21"/>
  <c r="AH10" i="21" s="1"/>
  <c r="AG8" i="21"/>
  <c r="AH8" i="21" s="1"/>
  <c r="U111" i="43"/>
  <c r="V111" i="43" s="1"/>
  <c r="AM13" i="43"/>
  <c r="AN13" i="43" s="1"/>
  <c r="T37" i="33"/>
  <c r="AE117" i="21"/>
  <c r="AA62" i="33"/>
  <c r="AB62" i="33" s="1"/>
  <c r="T93" i="21"/>
  <c r="AF108" i="33"/>
  <c r="AA142" i="37"/>
  <c r="AB142" i="37" s="1"/>
  <c r="AL123" i="37"/>
  <c r="AE148" i="36"/>
  <c r="AE128" i="21"/>
  <c r="AM74" i="21"/>
  <c r="AN74" i="21" s="1"/>
  <c r="Z78" i="42"/>
  <c r="T111" i="43"/>
  <c r="AL13" i="43"/>
  <c r="Z127" i="21"/>
  <c r="AE37" i="33"/>
  <c r="AG108" i="33"/>
  <c r="AH108" i="33" s="1"/>
  <c r="S148" i="36"/>
  <c r="AM57" i="43"/>
  <c r="AN57" i="43" s="1"/>
  <c r="Y127" i="21"/>
  <c r="AL74" i="21"/>
  <c r="Y33" i="21"/>
  <c r="AA78" i="42"/>
  <c r="AB78" i="42" s="1"/>
  <c r="AG86" i="21"/>
  <c r="AH86" i="21" s="1"/>
  <c r="AK37" i="33"/>
  <c r="AL57" i="43"/>
  <c r="AM24" i="42"/>
  <c r="AN24" i="42" s="1"/>
  <c r="S133" i="33"/>
  <c r="Z60" i="43"/>
  <c r="AL111" i="43"/>
  <c r="U47" i="42"/>
  <c r="V47" i="42" s="1"/>
  <c r="U77" i="36"/>
  <c r="V77" i="36" s="1"/>
  <c r="AL106" i="21"/>
  <c r="Z74" i="21"/>
  <c r="S51" i="21"/>
  <c r="AA111" i="43"/>
  <c r="AB111" i="43" s="1"/>
  <c r="Y144" i="37"/>
  <c r="AL24" i="42"/>
  <c r="AM111" i="43"/>
  <c r="AN111" i="43" s="1"/>
  <c r="AF121" i="21"/>
  <c r="AM11" i="37"/>
  <c r="AN11" i="37" s="1"/>
  <c r="S78" i="33"/>
  <c r="T121" i="42"/>
  <c r="AM106" i="21"/>
  <c r="AN106" i="21" s="1"/>
  <c r="AM54" i="21"/>
  <c r="AN54" i="21" s="1"/>
  <c r="AA51" i="21"/>
  <c r="AB51" i="21" s="1"/>
  <c r="Z144" i="37"/>
  <c r="AG121" i="21"/>
  <c r="AH121" i="21" s="1"/>
  <c r="S65" i="42"/>
  <c r="T47" i="43"/>
  <c r="AL11" i="37"/>
  <c r="AL62" i="33"/>
  <c r="U121" i="42"/>
  <c r="V121" i="42" s="1"/>
  <c r="AF123" i="37"/>
  <c r="AL61" i="33"/>
  <c r="S54" i="21"/>
  <c r="AK51" i="21"/>
  <c r="AK127" i="37"/>
  <c r="AE54" i="37"/>
  <c r="AE65" i="42"/>
  <c r="U47" i="43"/>
  <c r="V47" i="43" s="1"/>
  <c r="Y33" i="33"/>
  <c r="AM62" i="33"/>
  <c r="AN62" i="33" s="1"/>
  <c r="Z10" i="21"/>
  <c r="AG123" i="37"/>
  <c r="AH123" i="37" s="1"/>
  <c r="AM61" i="33"/>
  <c r="AN61" i="33" s="1"/>
  <c r="AA54" i="21"/>
  <c r="AB54" i="21" s="1"/>
  <c r="AL127" i="37"/>
  <c r="S54" i="37"/>
  <c r="S48" i="36"/>
  <c r="AK60" i="36"/>
  <c r="AL139" i="37"/>
  <c r="S33" i="33"/>
  <c r="AA10" i="21"/>
  <c r="AB10" i="21" s="1"/>
  <c r="T138" i="36"/>
  <c r="T13" i="21"/>
  <c r="T41" i="43"/>
  <c r="Y54" i="37"/>
  <c r="Y80" i="21"/>
  <c r="AK16" i="43"/>
  <c r="U48" i="36"/>
  <c r="V48" i="36" s="1"/>
  <c r="AL60" i="36"/>
  <c r="AM139" i="37"/>
  <c r="AN139" i="37" s="1"/>
  <c r="AK65" i="42"/>
  <c r="U46" i="42"/>
  <c r="V46" i="42" s="1"/>
  <c r="AK33" i="33"/>
  <c r="AF11" i="37"/>
  <c r="U30" i="33"/>
  <c r="V30" i="33" s="1"/>
  <c r="AG74" i="42"/>
  <c r="AH74" i="42" s="1"/>
  <c r="U138" i="36"/>
  <c r="V138" i="36" s="1"/>
  <c r="AL144" i="37"/>
  <c r="U13" i="21"/>
  <c r="V13" i="21" s="1"/>
  <c r="U41" i="43"/>
  <c r="V41" i="43" s="1"/>
  <c r="Z80" i="21"/>
  <c r="Y16" i="43"/>
  <c r="T46" i="42"/>
  <c r="AG11" i="37"/>
  <c r="AH11" i="37" s="1"/>
  <c r="AA48" i="33"/>
  <c r="AB48" i="33" s="1"/>
  <c r="T30" i="33"/>
  <c r="T29" i="33"/>
  <c r="AF74" i="42"/>
  <c r="AM144" i="37"/>
  <c r="AN144" i="37" s="1"/>
  <c r="AG121" i="42"/>
  <c r="AH121" i="42" s="1"/>
  <c r="AK138" i="36"/>
  <c r="AF57" i="43"/>
  <c r="AL138" i="36"/>
  <c r="AL90" i="36"/>
  <c r="AM90" i="36"/>
  <c r="AN90" i="36" s="1"/>
  <c r="AG46" i="33"/>
  <c r="AH46" i="33" s="1"/>
  <c r="AF46" i="33"/>
  <c r="AG77" i="36"/>
  <c r="AH77" i="36" s="1"/>
  <c r="T13" i="43"/>
  <c r="AG57" i="43"/>
  <c r="AH57" i="43" s="1"/>
  <c r="Z42" i="33"/>
  <c r="AL76" i="33"/>
  <c r="Y132" i="33"/>
  <c r="U143" i="36"/>
  <c r="V143" i="36" s="1"/>
  <c r="T46" i="21"/>
  <c r="AE130" i="21"/>
  <c r="U13" i="37"/>
  <c r="V13" i="37" s="1"/>
  <c r="Z8" i="21"/>
  <c r="AE96" i="21"/>
  <c r="AA62" i="21"/>
  <c r="AB62" i="21" s="1"/>
  <c r="T13" i="37"/>
  <c r="U31" i="21"/>
  <c r="V31" i="21" s="1"/>
  <c r="Y42" i="33"/>
  <c r="AA8" i="21"/>
  <c r="AB8" i="21" s="1"/>
  <c r="S102" i="21"/>
  <c r="AF96" i="21"/>
  <c r="AG24" i="42"/>
  <c r="AH24" i="42" s="1"/>
  <c r="Y53" i="36"/>
  <c r="AM76" i="33"/>
  <c r="AN76" i="33" s="1"/>
  <c r="AL78" i="33"/>
  <c r="Z31" i="42"/>
  <c r="T143" i="36"/>
  <c r="AF24" i="42"/>
  <c r="AF62" i="21"/>
  <c r="U46" i="21"/>
  <c r="V46" i="21" s="1"/>
  <c r="U8" i="33"/>
  <c r="V8" i="33" s="1"/>
  <c r="Y83" i="33"/>
  <c r="AM130" i="21"/>
  <c r="AN130" i="21" s="1"/>
  <c r="S53" i="36"/>
  <c r="AM78" i="33"/>
  <c r="AN78" i="33" s="1"/>
  <c r="AA31" i="42"/>
  <c r="AB31" i="42" s="1"/>
  <c r="Z89" i="33"/>
  <c r="AG62" i="21"/>
  <c r="AH62" i="21" s="1"/>
  <c r="T8" i="33"/>
  <c r="AE83" i="33"/>
  <c r="S130" i="21"/>
  <c r="AA89" i="33"/>
  <c r="AB89" i="33" s="1"/>
  <c r="AE101" i="43"/>
  <c r="AK149" i="33"/>
  <c r="S83" i="33"/>
  <c r="S9" i="33"/>
  <c r="AG143" i="33"/>
  <c r="AH143" i="33" s="1"/>
  <c r="AL8" i="33"/>
  <c r="S101" i="43"/>
  <c r="U149" i="33"/>
  <c r="V149" i="33" s="1"/>
  <c r="AF137" i="36"/>
  <c r="Y38" i="37"/>
  <c r="U9" i="33"/>
  <c r="V9" i="33" s="1"/>
  <c r="AM57" i="33"/>
  <c r="AN57" i="33" s="1"/>
  <c r="AF143" i="33"/>
  <c r="AM8" i="33"/>
  <c r="AN8" i="33" s="1"/>
  <c r="AG14" i="33"/>
  <c r="AH14" i="33" s="1"/>
  <c r="AK101" i="43"/>
  <c r="Y149" i="33"/>
  <c r="AG137" i="36"/>
  <c r="AH137" i="36" s="1"/>
  <c r="Y139" i="37"/>
  <c r="U38" i="37"/>
  <c r="V38" i="37" s="1"/>
  <c r="Y102" i="21"/>
  <c r="AL57" i="33"/>
  <c r="U62" i="33"/>
  <c r="V62" i="33" s="1"/>
  <c r="AF14" i="33"/>
  <c r="AM42" i="42"/>
  <c r="AN42" i="42" s="1"/>
  <c r="AA139" i="37"/>
  <c r="AB139" i="37" s="1"/>
  <c r="AE121" i="42"/>
  <c r="AE38" i="37"/>
  <c r="AE53" i="36"/>
  <c r="AE102" i="21"/>
  <c r="T62" i="33"/>
  <c r="AL42" i="42"/>
  <c r="U143" i="33"/>
  <c r="V143" i="33" s="1"/>
  <c r="S115" i="21"/>
  <c r="S149" i="36"/>
  <c r="AL110" i="21"/>
  <c r="S132" i="33"/>
  <c r="Z62" i="21"/>
  <c r="AL8" i="43"/>
  <c r="AK52" i="21"/>
  <c r="AK50" i="36"/>
  <c r="Y134" i="37"/>
  <c r="AF46" i="21"/>
  <c r="AM8" i="43"/>
  <c r="AN8" i="43" s="1"/>
  <c r="Y52" i="21"/>
  <c r="AA112" i="21"/>
  <c r="AB112" i="21" s="1"/>
  <c r="U18" i="42"/>
  <c r="V18" i="42" s="1"/>
  <c r="AE134" i="37"/>
  <c r="Z112" i="21"/>
  <c r="AG85" i="36"/>
  <c r="AH85" i="36" s="1"/>
  <c r="AE18" i="42"/>
  <c r="AK83" i="36"/>
  <c r="AE83" i="36"/>
  <c r="S37" i="43"/>
  <c r="AE132" i="33"/>
  <c r="AG142" i="37"/>
  <c r="AH142" i="37" s="1"/>
  <c r="AF142" i="37"/>
  <c r="S62" i="21"/>
  <c r="U62" i="21"/>
  <c r="V62" i="21" s="1"/>
  <c r="S21" i="37"/>
  <c r="AL14" i="33"/>
  <c r="S38" i="36"/>
  <c r="AM14" i="36"/>
  <c r="AN14" i="36" s="1"/>
  <c r="S65" i="36"/>
  <c r="AA26" i="36"/>
  <c r="AB26" i="36" s="1"/>
  <c r="AF8" i="43"/>
  <c r="AE146" i="42"/>
  <c r="AE21" i="37"/>
  <c r="AL38" i="36"/>
  <c r="AL14" i="36"/>
  <c r="T14" i="36"/>
  <c r="Y19" i="36"/>
  <c r="AA65" i="36"/>
  <c r="AB65" i="36" s="1"/>
  <c r="AG8" i="43"/>
  <c r="AH8" i="43" s="1"/>
  <c r="Y146" i="42"/>
  <c r="Z47" i="43"/>
  <c r="Y37" i="42"/>
  <c r="U14" i="36"/>
  <c r="V14" i="36" s="1"/>
  <c r="AE19" i="36"/>
  <c r="AA47" i="43"/>
  <c r="AB47" i="43" s="1"/>
  <c r="AL48" i="36"/>
  <c r="S37" i="42"/>
  <c r="S8" i="43"/>
  <c r="T8" i="43"/>
  <c r="AK19" i="36"/>
  <c r="S51" i="36"/>
  <c r="AM48" i="36"/>
  <c r="AN48" i="36" s="1"/>
  <c r="AE37" i="42"/>
  <c r="AK86" i="33"/>
  <c r="Y51" i="36"/>
  <c r="AG92" i="37"/>
  <c r="AH92" i="37" s="1"/>
  <c r="AG42" i="42"/>
  <c r="AH42" i="42" s="1"/>
  <c r="S86" i="33"/>
  <c r="AE51" i="36"/>
  <c r="AE133" i="33"/>
  <c r="AF92" i="37"/>
  <c r="AF42" i="42"/>
  <c r="AF26" i="36"/>
  <c r="AK133" i="33"/>
  <c r="AK81" i="21"/>
  <c r="U142" i="37"/>
  <c r="V142" i="37" s="1"/>
  <c r="AK85" i="33"/>
  <c r="Y81" i="33"/>
  <c r="AK86" i="37"/>
  <c r="AE17" i="21"/>
  <c r="U81" i="21"/>
  <c r="V81" i="21" s="1"/>
  <c r="AE49" i="33"/>
  <c r="T138" i="21"/>
  <c r="S85" i="33"/>
  <c r="AK81" i="33"/>
  <c r="S42" i="42"/>
  <c r="AA86" i="37"/>
  <c r="AB86" i="37" s="1"/>
  <c r="Y17" i="21"/>
  <c r="S49" i="33"/>
  <c r="U138" i="21"/>
  <c r="V138" i="21" s="1"/>
  <c r="U42" i="42"/>
  <c r="V42" i="42" s="1"/>
  <c r="Y49" i="33"/>
  <c r="AE74" i="21"/>
  <c r="AM143" i="36"/>
  <c r="AN143" i="36" s="1"/>
  <c r="AF74" i="21"/>
  <c r="AM46" i="21"/>
  <c r="AN46" i="21" s="1"/>
  <c r="AL143" i="36"/>
  <c r="AG78" i="21"/>
  <c r="AH78" i="21" s="1"/>
  <c r="U76" i="33"/>
  <c r="V76" i="33" s="1"/>
  <c r="AL46" i="21"/>
  <c r="AF78" i="21"/>
  <c r="T76" i="33"/>
  <c r="AG112" i="21"/>
  <c r="AH112" i="21" s="1"/>
  <c r="S21" i="33"/>
  <c r="AK21" i="33"/>
  <c r="AE99" i="37"/>
  <c r="S53" i="33"/>
  <c r="AE17" i="36"/>
  <c r="Y99" i="37"/>
  <c r="AE53" i="33"/>
  <c r="AK17" i="36"/>
  <c r="AK99" i="37"/>
  <c r="S17" i="36"/>
  <c r="Y37" i="21"/>
  <c r="AK37" i="21"/>
  <c r="S134" i="37"/>
  <c r="AG46" i="21"/>
  <c r="AH46" i="21" s="1"/>
  <c r="AE149" i="36"/>
  <c r="U131" i="43"/>
  <c r="V131" i="43" s="1"/>
  <c r="AA85" i="36"/>
  <c r="AB85" i="36" s="1"/>
  <c r="Y50" i="36"/>
  <c r="AK20" i="21"/>
  <c r="Y115" i="21"/>
  <c r="AK149" i="36"/>
  <c r="AK100" i="43"/>
  <c r="AE83" i="37"/>
  <c r="Y18" i="42"/>
  <c r="AE115" i="21"/>
  <c r="S100" i="43"/>
  <c r="Y83" i="37"/>
  <c r="Y100" i="43"/>
  <c r="Y92" i="37"/>
  <c r="S83" i="37"/>
  <c r="Y146" i="33"/>
  <c r="AE131" i="43"/>
  <c r="Z92" i="37"/>
  <c r="S146" i="33"/>
  <c r="Y131" i="43"/>
  <c r="AK85" i="36"/>
  <c r="AG50" i="36"/>
  <c r="AH50" i="36" s="1"/>
  <c r="Y81" i="36"/>
  <c r="AK117" i="37"/>
  <c r="AA133" i="42"/>
  <c r="AB133" i="42" s="1"/>
  <c r="S20" i="21"/>
  <c r="Y115" i="37"/>
  <c r="AE20" i="21"/>
  <c r="Y116" i="37"/>
  <c r="AE52" i="42"/>
  <c r="S115" i="37"/>
  <c r="AK116" i="37"/>
  <c r="AE81" i="36"/>
  <c r="Y117" i="37"/>
  <c r="Y52" i="42"/>
  <c r="AM133" i="42"/>
  <c r="AN133" i="42" s="1"/>
  <c r="AG115" i="37"/>
  <c r="AH115" i="37" s="1"/>
  <c r="AE116" i="37"/>
  <c r="AK81" i="36"/>
  <c r="S117" i="37"/>
  <c r="AK52" i="42"/>
  <c r="S133" i="42"/>
  <c r="Q151" i="36"/>
  <c r="W151" i="36"/>
  <c r="AC151" i="36"/>
  <c r="AI151" i="36"/>
  <c r="AA94" i="42"/>
  <c r="AB94" i="42" s="1"/>
  <c r="Z94" i="42"/>
  <c r="AL90" i="37"/>
  <c r="AM90" i="37"/>
  <c r="AN90" i="37" s="1"/>
  <c r="U11" i="21"/>
  <c r="V11" i="21" s="1"/>
  <c r="T11" i="21"/>
  <c r="AL31" i="37"/>
  <c r="AM31" i="37"/>
  <c r="AN31" i="37" s="1"/>
  <c r="W21" i="33"/>
  <c r="Q21" i="33"/>
  <c r="AI21" i="33"/>
  <c r="AC21" i="33"/>
  <c r="Z92" i="33"/>
  <c r="AA92" i="33"/>
  <c r="AB92" i="33" s="1"/>
  <c r="AF30" i="21"/>
  <c r="AG30" i="21"/>
  <c r="AH30" i="21" s="1"/>
  <c r="S132" i="21"/>
  <c r="Y132" i="21"/>
  <c r="AM80" i="33"/>
  <c r="AN80" i="33" s="1"/>
  <c r="AL80" i="33"/>
  <c r="AI132" i="36"/>
  <c r="Q132" i="36"/>
  <c r="W132" i="36"/>
  <c r="AC132" i="36"/>
  <c r="AI32" i="36"/>
  <c r="Q32" i="36"/>
  <c r="W32" i="36"/>
  <c r="AC32" i="36"/>
  <c r="AG109" i="33"/>
  <c r="AH109" i="33" s="1"/>
  <c r="AF109" i="33"/>
  <c r="AG95" i="21"/>
  <c r="AH95" i="21" s="1"/>
  <c r="AF95" i="21"/>
  <c r="AF140" i="37"/>
  <c r="AG140" i="37"/>
  <c r="AH140" i="37" s="1"/>
  <c r="AF15" i="33"/>
  <c r="AG15" i="33"/>
  <c r="AH15" i="33" s="1"/>
  <c r="AM48" i="21"/>
  <c r="AN48" i="21" s="1"/>
  <c r="AL48" i="21"/>
  <c r="T19" i="36"/>
  <c r="U19" i="36"/>
  <c r="V19" i="36" s="1"/>
  <c r="AF33" i="37"/>
  <c r="AG33" i="37"/>
  <c r="AH33" i="37" s="1"/>
  <c r="Q148" i="33"/>
  <c r="AC148" i="33"/>
  <c r="W148" i="33"/>
  <c r="AI148" i="33"/>
  <c r="U75" i="21"/>
  <c r="V75" i="21" s="1"/>
  <c r="T75" i="21"/>
  <c r="S134" i="43"/>
  <c r="AE134" i="43"/>
  <c r="AK134" i="43"/>
  <c r="Y134" i="43"/>
  <c r="AF86" i="37"/>
  <c r="AG86" i="37"/>
  <c r="AH86" i="37" s="1"/>
  <c r="AG123" i="33"/>
  <c r="AH123" i="33" s="1"/>
  <c r="AF123" i="33"/>
  <c r="AK133" i="36"/>
  <c r="AE133" i="36"/>
  <c r="Y133" i="36"/>
  <c r="S133" i="36"/>
  <c r="AK98" i="36"/>
  <c r="S98" i="36"/>
  <c r="AE98" i="36"/>
  <c r="Y98" i="36"/>
  <c r="Y69" i="42"/>
  <c r="AE69" i="42"/>
  <c r="S69" i="42"/>
  <c r="AK69" i="42"/>
  <c r="AM30" i="37"/>
  <c r="AN30" i="37" s="1"/>
  <c r="AL30" i="37"/>
  <c r="Q151" i="37"/>
  <c r="AI151" i="37"/>
  <c r="AC151" i="37"/>
  <c r="W151" i="37"/>
  <c r="Z11" i="33"/>
  <c r="AA11" i="33"/>
  <c r="AB11" i="33" s="1"/>
  <c r="U96" i="33"/>
  <c r="V96" i="33" s="1"/>
  <c r="T96" i="33"/>
  <c r="AK101" i="33"/>
  <c r="AE101" i="33"/>
  <c r="Z15" i="42"/>
  <c r="AA15" i="42"/>
  <c r="AB15" i="42" s="1"/>
  <c r="U64" i="37"/>
  <c r="V64" i="37" s="1"/>
  <c r="T64" i="37"/>
  <c r="U25" i="43"/>
  <c r="V25" i="43" s="1"/>
  <c r="T25" i="43"/>
  <c r="AG62" i="37"/>
  <c r="AH62" i="37" s="1"/>
  <c r="AF62" i="37"/>
  <c r="AF128" i="43"/>
  <c r="AG128" i="43"/>
  <c r="AH128" i="43" s="1"/>
  <c r="AL106" i="33"/>
  <c r="AM106" i="33"/>
  <c r="AN106" i="33" s="1"/>
  <c r="AG25" i="33"/>
  <c r="AH25" i="33" s="1"/>
  <c r="AF25" i="33"/>
  <c r="S81" i="43"/>
  <c r="AK81" i="43"/>
  <c r="Y81" i="43"/>
  <c r="AE81" i="43"/>
  <c r="AI100" i="42"/>
  <c r="Q100" i="42"/>
  <c r="AC100" i="42"/>
  <c r="W100" i="42"/>
  <c r="AE84" i="36"/>
  <c r="Y84" i="36"/>
  <c r="AK84" i="36"/>
  <c r="Z79" i="33"/>
  <c r="AA79" i="33"/>
  <c r="AB79" i="33" s="1"/>
  <c r="S114" i="43"/>
  <c r="AE114" i="43"/>
  <c r="Y114" i="43"/>
  <c r="AK114" i="43"/>
  <c r="AG77" i="21"/>
  <c r="AH77" i="21" s="1"/>
  <c r="AF77" i="21"/>
  <c r="W67" i="36"/>
  <c r="Q67" i="36"/>
  <c r="AC67" i="36"/>
  <c r="AI67" i="36"/>
  <c r="AC67" i="42"/>
  <c r="W67" i="42"/>
  <c r="Q67" i="42"/>
  <c r="AI67" i="42"/>
  <c r="AG138" i="42"/>
  <c r="AH138" i="42" s="1"/>
  <c r="AF138" i="42"/>
  <c r="AM123" i="21"/>
  <c r="AN123" i="21" s="1"/>
  <c r="AL123" i="21"/>
  <c r="AM129" i="43"/>
  <c r="AN129" i="43" s="1"/>
  <c r="AL129" i="43"/>
  <c r="AF142" i="36"/>
  <c r="AG142" i="36"/>
  <c r="AH142" i="36" s="1"/>
  <c r="AM128" i="37"/>
  <c r="AN128" i="37" s="1"/>
  <c r="AL128" i="37"/>
  <c r="AK116" i="33"/>
  <c r="S116" i="33"/>
  <c r="AE116" i="33"/>
  <c r="W21" i="43"/>
  <c r="AI21" i="43"/>
  <c r="Q21" i="43"/>
  <c r="AC21" i="43"/>
  <c r="AI33" i="42"/>
  <c r="AC33" i="42"/>
  <c r="W33" i="42"/>
  <c r="Q33" i="42"/>
  <c r="AG45" i="36"/>
  <c r="AH45" i="36" s="1"/>
  <c r="AF45" i="36"/>
  <c r="AK67" i="33"/>
  <c r="AE67" i="33"/>
  <c r="S67" i="33"/>
  <c r="Y67" i="33"/>
  <c r="T76" i="42"/>
  <c r="U76" i="42"/>
  <c r="V76" i="42" s="1"/>
  <c r="W37" i="33"/>
  <c r="Q37" i="33"/>
  <c r="AI37" i="33"/>
  <c r="AC37" i="33"/>
  <c r="AA144" i="21"/>
  <c r="AB144" i="21" s="1"/>
  <c r="Z144" i="21"/>
  <c r="S86" i="42"/>
  <c r="AK86" i="42"/>
  <c r="Y86" i="42"/>
  <c r="AE86" i="42"/>
  <c r="AE117" i="43"/>
  <c r="AK117" i="43"/>
  <c r="AC145" i="21"/>
  <c r="Q145" i="21"/>
  <c r="W145" i="21"/>
  <c r="AI145" i="21"/>
  <c r="Z138" i="37"/>
  <c r="AA138" i="37"/>
  <c r="AB138" i="37" s="1"/>
  <c r="Z95" i="37"/>
  <c r="AA95" i="37"/>
  <c r="AB95" i="37" s="1"/>
  <c r="AL77" i="43"/>
  <c r="AM77" i="43"/>
  <c r="AN77" i="43" s="1"/>
  <c r="T25" i="42"/>
  <c r="U25" i="42"/>
  <c r="V25" i="42" s="1"/>
  <c r="W131" i="36"/>
  <c r="Q131" i="36"/>
  <c r="AC131" i="36"/>
  <c r="AI131" i="36"/>
  <c r="Y99" i="21"/>
  <c r="AE99" i="21"/>
  <c r="S99" i="21"/>
  <c r="AK99" i="21"/>
  <c r="W129" i="36"/>
  <c r="AI129" i="36"/>
  <c r="Q129" i="36"/>
  <c r="AC129" i="36"/>
  <c r="AG92" i="33"/>
  <c r="AH92" i="33" s="1"/>
  <c r="AF92" i="33"/>
  <c r="AA47" i="36"/>
  <c r="AB47" i="36" s="1"/>
  <c r="Z47" i="36"/>
  <c r="AK83" i="21"/>
  <c r="AE83" i="21"/>
  <c r="AC116" i="42"/>
  <c r="W116" i="42"/>
  <c r="AI116" i="42"/>
  <c r="Q116" i="42"/>
  <c r="T30" i="21"/>
  <c r="U30" i="21"/>
  <c r="V30" i="21" s="1"/>
  <c r="AF141" i="21"/>
  <c r="AG141" i="21"/>
  <c r="AH141" i="21" s="1"/>
  <c r="AM43" i="36"/>
  <c r="AN43" i="36" s="1"/>
  <c r="AL43" i="36"/>
  <c r="AC18" i="33"/>
  <c r="Q18" i="33"/>
  <c r="W18" i="33"/>
  <c r="AI18" i="33"/>
  <c r="U28" i="36"/>
  <c r="V28" i="36" s="1"/>
  <c r="T28" i="36"/>
  <c r="U44" i="36"/>
  <c r="V44" i="36" s="1"/>
  <c r="T44" i="36"/>
  <c r="AC49" i="36"/>
  <c r="W49" i="36"/>
  <c r="Q49" i="36"/>
  <c r="AI49" i="36"/>
  <c r="AG42" i="37"/>
  <c r="AH42" i="37" s="1"/>
  <c r="AF42" i="37"/>
  <c r="AA79" i="36"/>
  <c r="AB79" i="36" s="1"/>
  <c r="Z79" i="36"/>
  <c r="U138" i="33"/>
  <c r="V138" i="33" s="1"/>
  <c r="T138" i="33"/>
  <c r="W102" i="43"/>
  <c r="AI102" i="43"/>
  <c r="AC102" i="43"/>
  <c r="Q102" i="43"/>
  <c r="Q51" i="37"/>
  <c r="AI51" i="37"/>
  <c r="W51" i="37"/>
  <c r="AC51" i="37"/>
  <c r="AI115" i="42"/>
  <c r="AC115" i="42"/>
  <c r="Q115" i="42"/>
  <c r="W115" i="42"/>
  <c r="T96" i="36"/>
  <c r="U96" i="36"/>
  <c r="V96" i="36" s="1"/>
  <c r="AA80" i="33"/>
  <c r="AB80" i="33" s="1"/>
  <c r="Z80" i="33"/>
  <c r="T124" i="42"/>
  <c r="U124" i="42"/>
  <c r="V124" i="42" s="1"/>
  <c r="AF110" i="33"/>
  <c r="AG110" i="33"/>
  <c r="AH110" i="33" s="1"/>
  <c r="Q86" i="37"/>
  <c r="AC86" i="37"/>
  <c r="AI86" i="37"/>
  <c r="W86" i="37"/>
  <c r="AI86" i="33"/>
  <c r="W86" i="33"/>
  <c r="Q86" i="33"/>
  <c r="AC86" i="33"/>
  <c r="Q114" i="21"/>
  <c r="W114" i="21"/>
  <c r="AC114" i="21"/>
  <c r="AI114" i="21"/>
  <c r="AI113" i="33"/>
  <c r="Q113" i="33"/>
  <c r="AC113" i="33"/>
  <c r="W113" i="33"/>
  <c r="AE51" i="43"/>
  <c r="Y51" i="43"/>
  <c r="AM29" i="36"/>
  <c r="AN29" i="36" s="1"/>
  <c r="AL29" i="36"/>
  <c r="U90" i="43"/>
  <c r="V90" i="43" s="1"/>
  <c r="T90" i="43"/>
  <c r="AK132" i="43"/>
  <c r="AE132" i="43"/>
  <c r="S132" i="43"/>
  <c r="Y132" i="43"/>
  <c r="AA80" i="37"/>
  <c r="AB80" i="37" s="1"/>
  <c r="Z80" i="37"/>
  <c r="U14" i="37"/>
  <c r="V14" i="37" s="1"/>
  <c r="T14" i="37"/>
  <c r="AK101" i="36"/>
  <c r="AE101" i="36"/>
  <c r="Y101" i="36"/>
  <c r="Z73" i="33"/>
  <c r="AA73" i="33"/>
  <c r="AB73" i="33" s="1"/>
  <c r="AK149" i="42"/>
  <c r="Y149" i="42"/>
  <c r="S149" i="42"/>
  <c r="AK53" i="43"/>
  <c r="Y53" i="43"/>
  <c r="AE53" i="43"/>
  <c r="T108" i="37"/>
  <c r="U108" i="37"/>
  <c r="V108" i="37" s="1"/>
  <c r="W97" i="36"/>
  <c r="AC97" i="36"/>
  <c r="Q97" i="36"/>
  <c r="AI97" i="36"/>
  <c r="AM74" i="43"/>
  <c r="AN74" i="43" s="1"/>
  <c r="AL74" i="43"/>
  <c r="T45" i="33"/>
  <c r="U45" i="33"/>
  <c r="V45" i="33" s="1"/>
  <c r="AA28" i="42"/>
  <c r="AB28" i="42" s="1"/>
  <c r="Z28" i="42"/>
  <c r="AK20" i="33"/>
  <c r="S20" i="33"/>
  <c r="AE20" i="33"/>
  <c r="W66" i="42"/>
  <c r="AI66" i="42"/>
  <c r="AC66" i="42"/>
  <c r="Q66" i="42"/>
  <c r="Q32" i="43"/>
  <c r="W32" i="43"/>
  <c r="AI32" i="43"/>
  <c r="AC32" i="43"/>
  <c r="AC32" i="37"/>
  <c r="AI32" i="37"/>
  <c r="W32" i="37"/>
  <c r="Q32" i="37"/>
  <c r="AM108" i="36"/>
  <c r="AN108" i="36" s="1"/>
  <c r="AL108" i="36"/>
  <c r="AK118" i="33"/>
  <c r="Y118" i="33"/>
  <c r="AE118" i="33"/>
  <c r="AG108" i="43"/>
  <c r="AH108" i="43" s="1"/>
  <c r="AF108" i="43"/>
  <c r="AC98" i="21"/>
  <c r="Q98" i="21"/>
  <c r="AI98" i="21"/>
  <c r="W98" i="21"/>
  <c r="AI98" i="42"/>
  <c r="AC98" i="42"/>
  <c r="W98" i="42"/>
  <c r="Q98" i="42"/>
  <c r="AI54" i="36"/>
  <c r="W54" i="36"/>
  <c r="AC54" i="36"/>
  <c r="Q54" i="36"/>
  <c r="U136" i="21"/>
  <c r="V136" i="21" s="1"/>
  <c r="T136" i="21"/>
  <c r="Y67" i="21"/>
  <c r="AK67" i="21"/>
  <c r="AE67" i="21"/>
  <c r="S67" i="21"/>
  <c r="AA12" i="33"/>
  <c r="AB12" i="33" s="1"/>
  <c r="Z12" i="33"/>
  <c r="Q81" i="21"/>
  <c r="W81" i="21"/>
  <c r="AI81" i="21"/>
  <c r="AC81" i="21"/>
  <c r="Z123" i="43"/>
  <c r="AA123" i="43"/>
  <c r="AB123" i="43" s="1"/>
  <c r="AG92" i="21"/>
  <c r="AH92" i="21" s="1"/>
  <c r="AF92" i="21"/>
  <c r="AC20" i="37"/>
  <c r="W20" i="37"/>
  <c r="Q20" i="37"/>
  <c r="AI20" i="37"/>
  <c r="Y16" i="37"/>
  <c r="S16" i="37"/>
  <c r="AK16" i="37"/>
  <c r="AE16" i="37"/>
  <c r="AL107" i="43"/>
  <c r="AM107" i="43"/>
  <c r="AN107" i="43" s="1"/>
  <c r="AC17" i="33"/>
  <c r="Q17" i="33"/>
  <c r="AI17" i="33"/>
  <c r="W17" i="33"/>
  <c r="U44" i="43"/>
  <c r="V44" i="43" s="1"/>
  <c r="T44" i="43"/>
  <c r="AK133" i="37"/>
  <c r="AE133" i="37"/>
  <c r="AG60" i="37"/>
  <c r="AH60" i="37" s="1"/>
  <c r="AF60" i="37"/>
  <c r="AK115" i="36"/>
  <c r="Y115" i="36"/>
  <c r="U15" i="33"/>
  <c r="V15" i="33" s="1"/>
  <c r="T15" i="33"/>
  <c r="W130" i="37"/>
  <c r="AC130" i="37"/>
  <c r="Q130" i="37"/>
  <c r="AI130" i="37"/>
  <c r="AC130" i="33"/>
  <c r="W130" i="33"/>
  <c r="Q130" i="33"/>
  <c r="AI130" i="33"/>
  <c r="AC65" i="33"/>
  <c r="Q65" i="33"/>
  <c r="AI65" i="33"/>
  <c r="W65" i="33"/>
  <c r="AM31" i="36"/>
  <c r="AN31" i="36" s="1"/>
  <c r="AL31" i="36"/>
  <c r="AK17" i="33"/>
  <c r="S17" i="33"/>
  <c r="AE17" i="33"/>
  <c r="Y17" i="33"/>
  <c r="AL127" i="42"/>
  <c r="AM127" i="42"/>
  <c r="AN127" i="42" s="1"/>
  <c r="Z127" i="43"/>
  <c r="AA127" i="43"/>
  <c r="AB127" i="43" s="1"/>
  <c r="AM122" i="21"/>
  <c r="AN122" i="21" s="1"/>
  <c r="AL122" i="21"/>
  <c r="AF101" i="42"/>
  <c r="AG101" i="42"/>
  <c r="AH101" i="42" s="1"/>
  <c r="AA25" i="21"/>
  <c r="AB25" i="21" s="1"/>
  <c r="Z25" i="21"/>
  <c r="AA48" i="21"/>
  <c r="AB48" i="21" s="1"/>
  <c r="Z48" i="21"/>
  <c r="AF94" i="21"/>
  <c r="AG94" i="21"/>
  <c r="AH94" i="21" s="1"/>
  <c r="Q34" i="43"/>
  <c r="AC34" i="43"/>
  <c r="W34" i="43"/>
  <c r="AI34" i="43"/>
  <c r="AM29" i="21"/>
  <c r="AN29" i="21" s="1"/>
  <c r="AL29" i="21"/>
  <c r="AK147" i="42"/>
  <c r="AE147" i="42"/>
  <c r="S147" i="42"/>
  <c r="Y147" i="42"/>
  <c r="AL25" i="37"/>
  <c r="AM25" i="37"/>
  <c r="AN25" i="37" s="1"/>
  <c r="AC19" i="43"/>
  <c r="Q19" i="43"/>
  <c r="W19" i="43"/>
  <c r="AI19" i="43"/>
  <c r="W19" i="42"/>
  <c r="AC19" i="42"/>
  <c r="Q19" i="42"/>
  <c r="AI19" i="42"/>
  <c r="U75" i="43"/>
  <c r="V75" i="43" s="1"/>
  <c r="T75" i="43"/>
  <c r="AC82" i="42"/>
  <c r="AI82" i="42"/>
  <c r="Q82" i="42"/>
  <c r="W82" i="42"/>
  <c r="AC82" i="43"/>
  <c r="AI82" i="43"/>
  <c r="W82" i="43"/>
  <c r="Q82" i="43"/>
  <c r="Z28" i="33"/>
  <c r="AA28" i="33"/>
  <c r="AB28" i="33" s="1"/>
  <c r="AK67" i="37"/>
  <c r="AE67" i="37"/>
  <c r="Y67" i="37"/>
  <c r="S67" i="37"/>
  <c r="S19" i="36"/>
  <c r="AL45" i="43"/>
  <c r="AM45" i="43"/>
  <c r="AN45" i="43" s="1"/>
  <c r="AL24" i="43"/>
  <c r="AM24" i="43"/>
  <c r="AN24" i="43" s="1"/>
  <c r="T106" i="37"/>
  <c r="U106" i="37"/>
  <c r="V106" i="37" s="1"/>
  <c r="Q99" i="43"/>
  <c r="AC99" i="43"/>
  <c r="W99" i="43"/>
  <c r="AI99" i="43"/>
  <c r="AI99" i="37"/>
  <c r="W99" i="37"/>
  <c r="Q99" i="37"/>
  <c r="AC99" i="37"/>
  <c r="Q133" i="21"/>
  <c r="AI133" i="21"/>
  <c r="W133" i="21"/>
  <c r="AC133" i="21"/>
  <c r="AK67" i="42"/>
  <c r="AE67" i="42"/>
  <c r="Y67" i="42"/>
  <c r="U93" i="37"/>
  <c r="V93" i="37" s="1"/>
  <c r="T93" i="37"/>
  <c r="Q70" i="43"/>
  <c r="AC70" i="43"/>
  <c r="AI70" i="43"/>
  <c r="W70" i="43"/>
  <c r="AG75" i="21"/>
  <c r="AH75" i="21" s="1"/>
  <c r="AF75" i="21"/>
  <c r="AF85" i="33"/>
  <c r="AG85" i="33"/>
  <c r="AH85" i="33" s="1"/>
  <c r="U123" i="36"/>
  <c r="V123" i="36" s="1"/>
  <c r="T123" i="36"/>
  <c r="AA31" i="43"/>
  <c r="AB31" i="43" s="1"/>
  <c r="Z31" i="43"/>
  <c r="AA95" i="42"/>
  <c r="AB95" i="42" s="1"/>
  <c r="Z95" i="42"/>
  <c r="AF57" i="21"/>
  <c r="AG57" i="21"/>
  <c r="AH57" i="21" s="1"/>
  <c r="AF133" i="42"/>
  <c r="AG133" i="42"/>
  <c r="AH133" i="42" s="1"/>
  <c r="U99" i="37"/>
  <c r="V99" i="37" s="1"/>
  <c r="T99" i="37"/>
  <c r="AL90" i="33"/>
  <c r="AM90" i="33"/>
  <c r="AN90" i="33" s="1"/>
  <c r="AM68" i="42"/>
  <c r="AN68" i="42" s="1"/>
  <c r="AL68" i="42"/>
  <c r="AA53" i="33"/>
  <c r="AB53" i="33" s="1"/>
  <c r="Z53" i="33"/>
  <c r="AF137" i="21"/>
  <c r="AG137" i="21"/>
  <c r="AH137" i="21" s="1"/>
  <c r="Z14" i="21"/>
  <c r="AA14" i="21"/>
  <c r="AB14" i="21" s="1"/>
  <c r="AM102" i="21"/>
  <c r="AN102" i="21" s="1"/>
  <c r="AL102" i="21"/>
  <c r="U91" i="37"/>
  <c r="V91" i="37" s="1"/>
  <c r="T91" i="37"/>
  <c r="AM94" i="43"/>
  <c r="AN94" i="43" s="1"/>
  <c r="AL94" i="43"/>
  <c r="AA27" i="36"/>
  <c r="AB27" i="36" s="1"/>
  <c r="Z27" i="36"/>
  <c r="T63" i="37"/>
  <c r="U63" i="37"/>
  <c r="V63" i="37" s="1"/>
  <c r="AK19" i="43"/>
  <c r="AE19" i="43"/>
  <c r="S19" i="43"/>
  <c r="AI50" i="43"/>
  <c r="Q50" i="43"/>
  <c r="W50" i="43"/>
  <c r="AC50" i="43"/>
  <c r="AA15" i="36"/>
  <c r="AB15" i="36" s="1"/>
  <c r="Z15" i="36"/>
  <c r="Q149" i="33"/>
  <c r="AC149" i="33"/>
  <c r="AI149" i="33"/>
  <c r="W149" i="33"/>
  <c r="AA28" i="37"/>
  <c r="AB28" i="37" s="1"/>
  <c r="Z28" i="37"/>
  <c r="AM64" i="37"/>
  <c r="AN64" i="37" s="1"/>
  <c r="AL64" i="37"/>
  <c r="AE69" i="43"/>
  <c r="AK69" i="43"/>
  <c r="Y69" i="43"/>
  <c r="S69" i="43"/>
  <c r="AF14" i="42"/>
  <c r="AG14" i="42"/>
  <c r="AH14" i="42" s="1"/>
  <c r="AK85" i="42"/>
  <c r="Y85" i="42"/>
  <c r="S85" i="42"/>
  <c r="AE85" i="42"/>
  <c r="AK129" i="37"/>
  <c r="AE129" i="37"/>
  <c r="S129" i="37"/>
  <c r="Y129" i="37"/>
  <c r="AM126" i="42"/>
  <c r="AN126" i="42" s="1"/>
  <c r="AL126" i="42"/>
  <c r="AC68" i="21"/>
  <c r="W68" i="21"/>
  <c r="Q68" i="21"/>
  <c r="AI68" i="21"/>
  <c r="Z110" i="33"/>
  <c r="AA110" i="33"/>
  <c r="AB110" i="33" s="1"/>
  <c r="Q16" i="33"/>
  <c r="W16" i="33"/>
  <c r="AC16" i="33"/>
  <c r="AI16" i="33"/>
  <c r="AE151" i="42"/>
  <c r="S151" i="42"/>
  <c r="Y151" i="42"/>
  <c r="AK151" i="42"/>
  <c r="AF15" i="37"/>
  <c r="AG15" i="37"/>
  <c r="AH15" i="37" s="1"/>
  <c r="Q81" i="36"/>
  <c r="AI81" i="36"/>
  <c r="W81" i="36"/>
  <c r="AC81" i="36"/>
  <c r="AM38" i="37"/>
  <c r="AN38" i="37" s="1"/>
  <c r="AL38" i="37"/>
  <c r="T112" i="42"/>
  <c r="U112" i="42"/>
  <c r="V112" i="42" s="1"/>
  <c r="AE117" i="36"/>
  <c r="S117" i="36"/>
  <c r="AK117" i="36"/>
  <c r="Z41" i="42"/>
  <c r="AA41" i="42"/>
  <c r="AB41" i="42" s="1"/>
  <c r="AK52" i="36"/>
  <c r="Y52" i="36"/>
  <c r="S52" i="36"/>
  <c r="AE52" i="36"/>
  <c r="Z110" i="42"/>
  <c r="AA110" i="42"/>
  <c r="AB110" i="42" s="1"/>
  <c r="AL41" i="42"/>
  <c r="AM41" i="42"/>
  <c r="AN41" i="42" s="1"/>
  <c r="S52" i="33"/>
  <c r="AL123" i="33"/>
  <c r="AM123" i="33"/>
  <c r="AN123" i="33" s="1"/>
  <c r="AG110" i="42"/>
  <c r="AH110" i="42" s="1"/>
  <c r="AF110" i="42"/>
  <c r="AE84" i="37"/>
  <c r="AK84" i="37"/>
  <c r="S84" i="37"/>
  <c r="Y84" i="37"/>
  <c r="AG30" i="37"/>
  <c r="AH30" i="37" s="1"/>
  <c r="AF30" i="37"/>
  <c r="W150" i="21"/>
  <c r="AI150" i="21"/>
  <c r="AC150" i="21"/>
  <c r="Q150" i="21"/>
  <c r="AK85" i="37"/>
  <c r="AE85" i="37"/>
  <c r="S85" i="37"/>
  <c r="Y85" i="37"/>
  <c r="AG11" i="33"/>
  <c r="AH11" i="33" s="1"/>
  <c r="AF11" i="33"/>
  <c r="AG96" i="33"/>
  <c r="AH96" i="33" s="1"/>
  <c r="AF96" i="33"/>
  <c r="U15" i="42"/>
  <c r="V15" i="42" s="1"/>
  <c r="T15" i="42"/>
  <c r="Z11" i="42"/>
  <c r="AA11" i="42"/>
  <c r="AB11" i="42" s="1"/>
  <c r="AG64" i="37"/>
  <c r="AH64" i="37" s="1"/>
  <c r="AF64" i="37"/>
  <c r="Z25" i="43"/>
  <c r="AA25" i="43"/>
  <c r="AB25" i="43" s="1"/>
  <c r="T111" i="37"/>
  <c r="U111" i="37"/>
  <c r="V111" i="37" s="1"/>
  <c r="Z62" i="37"/>
  <c r="AA62" i="37"/>
  <c r="AB62" i="37" s="1"/>
  <c r="AG106" i="33"/>
  <c r="AH106" i="33" s="1"/>
  <c r="AF106" i="33"/>
  <c r="AM25" i="33"/>
  <c r="AN25" i="33" s="1"/>
  <c r="AL25" i="33"/>
  <c r="AI100" i="21"/>
  <c r="AC100" i="21"/>
  <c r="W100" i="21"/>
  <c r="Q100" i="21"/>
  <c r="S11" i="21"/>
  <c r="AE145" i="21"/>
  <c r="AK145" i="21"/>
  <c r="Y145" i="21"/>
  <c r="S145" i="21"/>
  <c r="T79" i="33"/>
  <c r="U79" i="33"/>
  <c r="V79" i="33" s="1"/>
  <c r="AE130" i="33"/>
  <c r="AK130" i="33"/>
  <c r="Y130" i="33"/>
  <c r="AM77" i="21"/>
  <c r="AN77" i="21" s="1"/>
  <c r="AL77" i="21"/>
  <c r="AL138" i="42"/>
  <c r="AM138" i="42"/>
  <c r="AN138" i="42" s="1"/>
  <c r="AK49" i="36"/>
  <c r="AE49" i="36"/>
  <c r="S49" i="36"/>
  <c r="Y49" i="36"/>
  <c r="AK31" i="37"/>
  <c r="T123" i="21"/>
  <c r="U123" i="21"/>
  <c r="V123" i="21" s="1"/>
  <c r="S65" i="37"/>
  <c r="AE65" i="37"/>
  <c r="AK65" i="37"/>
  <c r="Y65" i="37"/>
  <c r="AM142" i="36"/>
  <c r="AN142" i="36" s="1"/>
  <c r="AL142" i="36"/>
  <c r="AF128" i="37"/>
  <c r="AG128" i="37"/>
  <c r="AH128" i="37" s="1"/>
  <c r="AL139" i="33"/>
  <c r="AM139" i="33"/>
  <c r="AN139" i="33" s="1"/>
  <c r="W21" i="36"/>
  <c r="Q21" i="36"/>
  <c r="AC21" i="36"/>
  <c r="AI21" i="36"/>
  <c r="AM45" i="36"/>
  <c r="AN45" i="36" s="1"/>
  <c r="AL45" i="36"/>
  <c r="AE18" i="33"/>
  <c r="Y18" i="33"/>
  <c r="S18" i="33"/>
  <c r="AK18" i="33"/>
  <c r="AM76" i="42"/>
  <c r="AN76" i="42" s="1"/>
  <c r="AL76" i="42"/>
  <c r="Q37" i="43"/>
  <c r="AF144" i="21"/>
  <c r="AG144" i="21"/>
  <c r="AH144" i="21" s="1"/>
  <c r="AA112" i="37"/>
  <c r="AB112" i="37" s="1"/>
  <c r="Z112" i="37"/>
  <c r="AK81" i="42"/>
  <c r="AE81" i="42"/>
  <c r="Y81" i="42"/>
  <c r="S81" i="42"/>
  <c r="AA60" i="33"/>
  <c r="AB60" i="33" s="1"/>
  <c r="Z60" i="33"/>
  <c r="AE52" i="43"/>
  <c r="S52" i="43"/>
  <c r="Y52" i="43"/>
  <c r="AK52" i="43"/>
  <c r="Y20" i="37"/>
  <c r="S20" i="37"/>
  <c r="AE20" i="37"/>
  <c r="AK20" i="37"/>
  <c r="AF138" i="37"/>
  <c r="AG138" i="37"/>
  <c r="AH138" i="37" s="1"/>
  <c r="T95" i="37"/>
  <c r="U95" i="37"/>
  <c r="V95" i="37" s="1"/>
  <c r="AK151" i="36"/>
  <c r="AE151" i="36"/>
  <c r="S151" i="36"/>
  <c r="Y151" i="36"/>
  <c r="AG92" i="42"/>
  <c r="AH92" i="42" s="1"/>
  <c r="AF92" i="42"/>
  <c r="Z25" i="42"/>
  <c r="AA25" i="42"/>
  <c r="AB25" i="42" s="1"/>
  <c r="Q118" i="36"/>
  <c r="AI118" i="36"/>
  <c r="W118" i="36"/>
  <c r="AC118" i="36"/>
  <c r="Q131" i="33"/>
  <c r="W131" i="33"/>
  <c r="AI131" i="33"/>
  <c r="AC131" i="33"/>
  <c r="AC131" i="37"/>
  <c r="W131" i="37"/>
  <c r="Q131" i="37"/>
  <c r="AI131" i="37"/>
  <c r="AL92" i="33"/>
  <c r="AM92" i="33"/>
  <c r="AN92" i="33" s="1"/>
  <c r="AG47" i="36"/>
  <c r="AH47" i="36" s="1"/>
  <c r="AF47" i="36"/>
  <c r="AI116" i="37"/>
  <c r="Q116" i="37"/>
  <c r="W116" i="37"/>
  <c r="AC116" i="37"/>
  <c r="AK114" i="42"/>
  <c r="AE114" i="42"/>
  <c r="S114" i="42"/>
  <c r="Y114" i="42"/>
  <c r="T43" i="36"/>
  <c r="U43" i="36"/>
  <c r="V43" i="36" s="1"/>
  <c r="Z63" i="21"/>
  <c r="AA63" i="21"/>
  <c r="AB63" i="21" s="1"/>
  <c r="AC18" i="37"/>
  <c r="W18" i="37"/>
  <c r="AI18" i="37"/>
  <c r="Q18" i="37"/>
  <c r="AG28" i="36"/>
  <c r="AH28" i="36" s="1"/>
  <c r="AF28" i="36"/>
  <c r="Z44" i="36"/>
  <c r="AA44" i="36"/>
  <c r="AB44" i="36" s="1"/>
  <c r="AF90" i="42"/>
  <c r="AG90" i="42"/>
  <c r="AH90" i="42" s="1"/>
  <c r="Z145" i="36"/>
  <c r="AA145" i="36"/>
  <c r="AB145" i="36" s="1"/>
  <c r="AF30" i="43"/>
  <c r="AG30" i="43"/>
  <c r="AH30" i="43" s="1"/>
  <c r="AC150" i="42"/>
  <c r="Q150" i="42"/>
  <c r="AI150" i="42"/>
  <c r="W150" i="42"/>
  <c r="Y66" i="36"/>
  <c r="AK66" i="36"/>
  <c r="AE66" i="36"/>
  <c r="AE86" i="43"/>
  <c r="S86" i="43"/>
  <c r="Y86" i="43"/>
  <c r="AK86" i="43"/>
  <c r="AL145" i="37"/>
  <c r="AM145" i="37"/>
  <c r="AN145" i="37" s="1"/>
  <c r="AL138" i="33"/>
  <c r="AM138" i="33"/>
  <c r="AN138" i="33" s="1"/>
  <c r="U43" i="37"/>
  <c r="V43" i="37" s="1"/>
  <c r="T43" i="37"/>
  <c r="W102" i="21"/>
  <c r="AI102" i="21"/>
  <c r="Q102" i="21"/>
  <c r="AC102" i="21"/>
  <c r="W102" i="42"/>
  <c r="Q102" i="42"/>
  <c r="AC102" i="42"/>
  <c r="AI102" i="42"/>
  <c r="Q147" i="37"/>
  <c r="AC147" i="37"/>
  <c r="W147" i="37"/>
  <c r="AI147" i="37"/>
  <c r="AE98" i="43"/>
  <c r="Y98" i="43"/>
  <c r="AF96" i="36"/>
  <c r="AG96" i="36"/>
  <c r="AH96" i="36" s="1"/>
  <c r="AF80" i="33"/>
  <c r="AG80" i="33"/>
  <c r="AH80" i="33" s="1"/>
  <c r="AF124" i="42"/>
  <c r="AG124" i="42"/>
  <c r="AH124" i="42" s="1"/>
  <c r="T110" i="33"/>
  <c r="U110" i="33"/>
  <c r="V110" i="33" s="1"/>
  <c r="AI86" i="36"/>
  <c r="AC86" i="36"/>
  <c r="W86" i="36"/>
  <c r="Q86" i="36"/>
  <c r="AI114" i="37"/>
  <c r="W114" i="37"/>
  <c r="AC114" i="37"/>
  <c r="Q114" i="37"/>
  <c r="AI38" i="36"/>
  <c r="AC38" i="36"/>
  <c r="Q38" i="36"/>
  <c r="W38" i="36"/>
  <c r="AI38" i="43"/>
  <c r="Q38" i="43"/>
  <c r="W38" i="43"/>
  <c r="AC38" i="43"/>
  <c r="W113" i="36"/>
  <c r="Q113" i="36"/>
  <c r="AI113" i="36"/>
  <c r="AC113" i="36"/>
  <c r="AA90" i="43"/>
  <c r="AB90" i="43" s="1"/>
  <c r="Z90" i="43"/>
  <c r="AC16" i="43"/>
  <c r="AI16" i="43"/>
  <c r="Q16" i="43"/>
  <c r="W16" i="43"/>
  <c r="Z128" i="36"/>
  <c r="AA128" i="36"/>
  <c r="AB128" i="36" s="1"/>
  <c r="AC84" i="21"/>
  <c r="W84" i="21"/>
  <c r="AI84" i="21"/>
  <c r="Q84" i="21"/>
  <c r="AG80" i="37"/>
  <c r="AH80" i="37" s="1"/>
  <c r="AF80" i="37"/>
  <c r="AA14" i="37"/>
  <c r="AB14" i="37" s="1"/>
  <c r="Z14" i="37"/>
  <c r="AG73" i="33"/>
  <c r="AH73" i="33" s="1"/>
  <c r="AF73" i="33"/>
  <c r="W132" i="42"/>
  <c r="AC132" i="42"/>
  <c r="Q132" i="42"/>
  <c r="AI132" i="42"/>
  <c r="AA108" i="37"/>
  <c r="AB108" i="37" s="1"/>
  <c r="Z108" i="37"/>
  <c r="AC97" i="37"/>
  <c r="Q97" i="37"/>
  <c r="W97" i="37"/>
  <c r="AI97" i="37"/>
  <c r="AE51" i="33"/>
  <c r="Y51" i="33"/>
  <c r="AK51" i="33"/>
  <c r="Z74" i="43"/>
  <c r="AA74" i="43"/>
  <c r="AB74" i="43" s="1"/>
  <c r="Y20" i="42"/>
  <c r="AK20" i="42"/>
  <c r="AE20" i="42"/>
  <c r="AK146" i="36"/>
  <c r="AE146" i="36"/>
  <c r="AA112" i="33"/>
  <c r="AB112" i="33" s="1"/>
  <c r="Z112" i="33"/>
  <c r="AL38" i="33"/>
  <c r="AM38" i="33"/>
  <c r="AN38" i="33" s="1"/>
  <c r="AA45" i="21"/>
  <c r="AB45" i="21" s="1"/>
  <c r="Z45" i="21"/>
  <c r="Q66" i="33"/>
  <c r="AC66" i="33"/>
  <c r="AI66" i="33"/>
  <c r="W66" i="33"/>
  <c r="U108" i="36"/>
  <c r="V108" i="36" s="1"/>
  <c r="T108" i="36"/>
  <c r="AA108" i="43"/>
  <c r="AB108" i="43" s="1"/>
  <c r="Z108" i="43"/>
  <c r="AA110" i="37"/>
  <c r="AB110" i="37" s="1"/>
  <c r="Z110" i="37"/>
  <c r="W98" i="37"/>
  <c r="AI98" i="37"/>
  <c r="Q98" i="37"/>
  <c r="AC98" i="37"/>
  <c r="Q83" i="36"/>
  <c r="AC83" i="36"/>
  <c r="AI83" i="36"/>
  <c r="W83" i="36"/>
  <c r="Z136" i="21"/>
  <c r="AA136" i="21"/>
  <c r="AB136" i="21" s="1"/>
  <c r="AL12" i="33"/>
  <c r="AM12" i="33"/>
  <c r="AN12" i="33" s="1"/>
  <c r="W85" i="21"/>
  <c r="Q85" i="21"/>
  <c r="AI85" i="21"/>
  <c r="AC85" i="21"/>
  <c r="AF123" i="43"/>
  <c r="AG123" i="43"/>
  <c r="AH123" i="43" s="1"/>
  <c r="U81" i="36"/>
  <c r="V81" i="36" s="1"/>
  <c r="T81" i="36"/>
  <c r="AI20" i="36"/>
  <c r="Q20" i="36"/>
  <c r="W20" i="36"/>
  <c r="AC20" i="36"/>
  <c r="U107" i="37"/>
  <c r="V107" i="37" s="1"/>
  <c r="T107" i="37"/>
  <c r="Z75" i="42"/>
  <c r="AA75" i="42"/>
  <c r="AB75" i="42" s="1"/>
  <c r="Z127" i="33"/>
  <c r="AA127" i="33"/>
  <c r="AB127" i="33" s="1"/>
  <c r="AL63" i="36"/>
  <c r="AM63" i="36"/>
  <c r="AN63" i="36" s="1"/>
  <c r="AE16" i="33"/>
  <c r="Y16" i="33"/>
  <c r="T107" i="43"/>
  <c r="U107" i="43"/>
  <c r="V107" i="43" s="1"/>
  <c r="AC17" i="37"/>
  <c r="W17" i="37"/>
  <c r="Q17" i="37"/>
  <c r="AI17" i="37"/>
  <c r="AF44" i="43"/>
  <c r="AG44" i="43"/>
  <c r="AH44" i="43" s="1"/>
  <c r="AK20" i="36"/>
  <c r="AE20" i="36"/>
  <c r="S20" i="36"/>
  <c r="Y20" i="36"/>
  <c r="Z60" i="37"/>
  <c r="AA60" i="37"/>
  <c r="AB60" i="37" s="1"/>
  <c r="AC130" i="42"/>
  <c r="AI130" i="42"/>
  <c r="W130" i="42"/>
  <c r="Q130" i="42"/>
  <c r="AI65" i="37"/>
  <c r="W65" i="37"/>
  <c r="Q65" i="37"/>
  <c r="AC65" i="37"/>
  <c r="U31" i="36"/>
  <c r="V31" i="36" s="1"/>
  <c r="T31" i="36"/>
  <c r="T127" i="43"/>
  <c r="U127" i="43"/>
  <c r="V127" i="43" s="1"/>
  <c r="AF25" i="21"/>
  <c r="AG25" i="21"/>
  <c r="AH25" i="21" s="1"/>
  <c r="AF54" i="21"/>
  <c r="AG54" i="21"/>
  <c r="AH54" i="21" s="1"/>
  <c r="AM94" i="21"/>
  <c r="AN94" i="21" s="1"/>
  <c r="AL94" i="21"/>
  <c r="AK53" i="42"/>
  <c r="S53" i="42"/>
  <c r="AE53" i="42"/>
  <c r="Y53" i="42"/>
  <c r="Z29" i="21"/>
  <c r="AA29" i="21"/>
  <c r="AB29" i="21" s="1"/>
  <c r="W19" i="21"/>
  <c r="Q19" i="21"/>
  <c r="AI19" i="21"/>
  <c r="AC19" i="21"/>
  <c r="W19" i="33"/>
  <c r="Q19" i="33"/>
  <c r="AI19" i="33"/>
  <c r="AC19" i="33"/>
  <c r="Z89" i="36"/>
  <c r="AA89" i="36"/>
  <c r="AB89" i="36" s="1"/>
  <c r="AG75" i="43"/>
  <c r="AH75" i="43" s="1"/>
  <c r="AF75" i="43"/>
  <c r="AA73" i="21"/>
  <c r="AB73" i="21" s="1"/>
  <c r="Z73" i="21"/>
  <c r="Z37" i="33"/>
  <c r="AA37" i="33"/>
  <c r="AB37" i="33" s="1"/>
  <c r="AI82" i="21"/>
  <c r="W82" i="21"/>
  <c r="Q82" i="21"/>
  <c r="AC82" i="21"/>
  <c r="AG28" i="33"/>
  <c r="AH28" i="33" s="1"/>
  <c r="AF28" i="33"/>
  <c r="U24" i="43"/>
  <c r="V24" i="43" s="1"/>
  <c r="T24" i="43"/>
  <c r="T16" i="43"/>
  <c r="U16" i="43"/>
  <c r="V16" i="43" s="1"/>
  <c r="AA139" i="42"/>
  <c r="AB139" i="42" s="1"/>
  <c r="Z139" i="42"/>
  <c r="Z106" i="37"/>
  <c r="AA106" i="37"/>
  <c r="AB106" i="37" s="1"/>
  <c r="AK38" i="37"/>
  <c r="AC148" i="36"/>
  <c r="AI148" i="36"/>
  <c r="W148" i="36"/>
  <c r="Q148" i="36"/>
  <c r="AF93" i="37"/>
  <c r="AG93" i="37"/>
  <c r="AH93" i="37" s="1"/>
  <c r="AC70" i="21"/>
  <c r="W70" i="21"/>
  <c r="AI70" i="21"/>
  <c r="Q70" i="21"/>
  <c r="AL75" i="21"/>
  <c r="AM75" i="21"/>
  <c r="AN75" i="21" s="1"/>
  <c r="AM32" i="36"/>
  <c r="AN32" i="36" s="1"/>
  <c r="AL32" i="36"/>
  <c r="AG123" i="36"/>
  <c r="AH123" i="36" s="1"/>
  <c r="AF123" i="36"/>
  <c r="AG31" i="43"/>
  <c r="AH31" i="43" s="1"/>
  <c r="AF31" i="43"/>
  <c r="AG95" i="42"/>
  <c r="AH95" i="42" s="1"/>
  <c r="AF95" i="42"/>
  <c r="U10" i="36"/>
  <c r="V10" i="36" s="1"/>
  <c r="T10" i="36"/>
  <c r="S150" i="36"/>
  <c r="AK150" i="36"/>
  <c r="Y114" i="36"/>
  <c r="AE114" i="36"/>
  <c r="AK114" i="36"/>
  <c r="S114" i="36"/>
  <c r="Z59" i="21"/>
  <c r="AA59" i="21"/>
  <c r="AB59" i="21" s="1"/>
  <c r="Z137" i="21"/>
  <c r="AA137" i="21"/>
  <c r="AB137" i="21" s="1"/>
  <c r="U94" i="43"/>
  <c r="V94" i="43" s="1"/>
  <c r="T94" i="43"/>
  <c r="U47" i="21"/>
  <c r="V47" i="21" s="1"/>
  <c r="T47" i="21"/>
  <c r="AA63" i="37"/>
  <c r="AB63" i="37" s="1"/>
  <c r="Z63" i="37"/>
  <c r="AL15" i="36"/>
  <c r="AM15" i="36"/>
  <c r="AN15" i="36" s="1"/>
  <c r="AL132" i="33"/>
  <c r="AM132" i="33"/>
  <c r="AN132" i="33" s="1"/>
  <c r="T28" i="37"/>
  <c r="U28" i="37"/>
  <c r="V28" i="37" s="1"/>
  <c r="AA133" i="33"/>
  <c r="AB133" i="33" s="1"/>
  <c r="Z133" i="33"/>
  <c r="AM127" i="36"/>
  <c r="AN127" i="36" s="1"/>
  <c r="AL127" i="36"/>
  <c r="Q100" i="43"/>
  <c r="AI100" i="43"/>
  <c r="W100" i="43"/>
  <c r="AC100" i="43"/>
  <c r="AG48" i="42"/>
  <c r="AH48" i="42" s="1"/>
  <c r="AF48" i="42"/>
  <c r="AL112" i="36"/>
  <c r="AM112" i="36"/>
  <c r="AN112" i="36" s="1"/>
  <c r="T45" i="36"/>
  <c r="U45" i="36"/>
  <c r="V45" i="36" s="1"/>
  <c r="AG46" i="37"/>
  <c r="AH46" i="37" s="1"/>
  <c r="AF46" i="37"/>
  <c r="AI130" i="43"/>
  <c r="Q130" i="43"/>
  <c r="AC130" i="43"/>
  <c r="W130" i="43"/>
  <c r="AE113" i="33"/>
  <c r="Y113" i="33"/>
  <c r="S113" i="33"/>
  <c r="T42" i="37"/>
  <c r="U42" i="37"/>
  <c r="V42" i="37" s="1"/>
  <c r="Q131" i="43"/>
  <c r="W131" i="43"/>
  <c r="AI131" i="43"/>
  <c r="AC131" i="43"/>
  <c r="AE17" i="42"/>
  <c r="S17" i="42"/>
  <c r="AK17" i="42"/>
  <c r="Y17" i="42"/>
  <c r="T79" i="37"/>
  <c r="U79" i="37"/>
  <c r="V79" i="37" s="1"/>
  <c r="Z105" i="21"/>
  <c r="AA105" i="21"/>
  <c r="AB105" i="21" s="1"/>
  <c r="AF13" i="42"/>
  <c r="AG13" i="42"/>
  <c r="AH13" i="42" s="1"/>
  <c r="Y148" i="33"/>
  <c r="S148" i="33"/>
  <c r="AK148" i="33"/>
  <c r="AE148" i="33"/>
  <c r="AM58" i="37"/>
  <c r="AN58" i="37" s="1"/>
  <c r="AL58" i="37"/>
  <c r="AI85" i="43"/>
  <c r="AC85" i="43"/>
  <c r="Q85" i="43"/>
  <c r="W85" i="43"/>
  <c r="AK147" i="36"/>
  <c r="AE147" i="36"/>
  <c r="Y147" i="36"/>
  <c r="S147" i="36"/>
  <c r="Z127" i="42"/>
  <c r="AA127" i="42"/>
  <c r="AB127" i="42" s="1"/>
  <c r="AL145" i="42"/>
  <c r="AM145" i="42"/>
  <c r="AN145" i="42" s="1"/>
  <c r="U76" i="43"/>
  <c r="V76" i="43" s="1"/>
  <c r="T76" i="43"/>
  <c r="AL73" i="42"/>
  <c r="AM73" i="42"/>
  <c r="AN73" i="42" s="1"/>
  <c r="AG141" i="36"/>
  <c r="AH141" i="36" s="1"/>
  <c r="AF141" i="36"/>
  <c r="AI118" i="43"/>
  <c r="AC118" i="43"/>
  <c r="W118" i="43"/>
  <c r="Q118" i="43"/>
  <c r="AM93" i="37"/>
  <c r="AN93" i="37" s="1"/>
  <c r="AL93" i="37"/>
  <c r="U75" i="37"/>
  <c r="V75" i="37" s="1"/>
  <c r="T75" i="37"/>
  <c r="AG94" i="33"/>
  <c r="AH94" i="33" s="1"/>
  <c r="AF94" i="33"/>
  <c r="U41" i="42"/>
  <c r="V41" i="42" s="1"/>
  <c r="T41" i="42"/>
  <c r="AM110" i="42"/>
  <c r="AN110" i="42" s="1"/>
  <c r="AL110" i="42"/>
  <c r="T63" i="43"/>
  <c r="U63" i="43"/>
  <c r="V63" i="43" s="1"/>
  <c r="AA61" i="36"/>
  <c r="AB61" i="36" s="1"/>
  <c r="Z61" i="36"/>
  <c r="U30" i="37"/>
  <c r="V30" i="37" s="1"/>
  <c r="T30" i="37"/>
  <c r="AK127" i="36"/>
  <c r="AA63" i="33"/>
  <c r="AB63" i="33" s="1"/>
  <c r="Z63" i="33"/>
  <c r="AG92" i="43"/>
  <c r="AH92" i="43" s="1"/>
  <c r="AF92" i="43"/>
  <c r="AK49" i="43"/>
  <c r="AE49" i="43"/>
  <c r="S49" i="43"/>
  <c r="AG139" i="21"/>
  <c r="AH139" i="21" s="1"/>
  <c r="AF139" i="21"/>
  <c r="U74" i="36"/>
  <c r="V74" i="36" s="1"/>
  <c r="T74" i="36"/>
  <c r="AL11" i="33"/>
  <c r="AM11" i="33"/>
  <c r="AN11" i="33" s="1"/>
  <c r="T108" i="21"/>
  <c r="U108" i="21"/>
  <c r="V108" i="21" s="1"/>
  <c r="AM15" i="42"/>
  <c r="AN15" i="42" s="1"/>
  <c r="AL15" i="42"/>
  <c r="U11" i="42"/>
  <c r="V11" i="42" s="1"/>
  <c r="T11" i="42"/>
  <c r="AF25" i="43"/>
  <c r="AG25" i="43"/>
  <c r="AH25" i="43" s="1"/>
  <c r="AM18" i="42"/>
  <c r="AN18" i="42" s="1"/>
  <c r="AL18" i="42"/>
  <c r="AA111" i="37"/>
  <c r="AB111" i="37" s="1"/>
  <c r="Z111" i="37"/>
  <c r="AM62" i="37"/>
  <c r="AN62" i="37" s="1"/>
  <c r="AL62" i="37"/>
  <c r="AE21" i="36"/>
  <c r="U106" i="33"/>
  <c r="V106" i="33" s="1"/>
  <c r="T106" i="33"/>
  <c r="AK90" i="37"/>
  <c r="AG79" i="33"/>
  <c r="AH79" i="33" s="1"/>
  <c r="AF79" i="33"/>
  <c r="AE14" i="42"/>
  <c r="Q67" i="37"/>
  <c r="W67" i="37"/>
  <c r="AC67" i="37"/>
  <c r="AI67" i="37"/>
  <c r="U138" i="42"/>
  <c r="V138" i="42" s="1"/>
  <c r="T138" i="42"/>
  <c r="AA123" i="21"/>
  <c r="AB123" i="21" s="1"/>
  <c r="Z123" i="21"/>
  <c r="U142" i="36"/>
  <c r="V142" i="36" s="1"/>
  <c r="T142" i="36"/>
  <c r="Z59" i="37"/>
  <c r="AA59" i="37"/>
  <c r="AB59" i="37" s="1"/>
  <c r="S97" i="21"/>
  <c r="AK97" i="21"/>
  <c r="AE97" i="21"/>
  <c r="Y97" i="21"/>
  <c r="Z128" i="37"/>
  <c r="AA128" i="37"/>
  <c r="AB128" i="37" s="1"/>
  <c r="U139" i="33"/>
  <c r="V139" i="33" s="1"/>
  <c r="T139" i="33"/>
  <c r="W33" i="37"/>
  <c r="Q33" i="37"/>
  <c r="AC33" i="37"/>
  <c r="AI33" i="37"/>
  <c r="S45" i="36"/>
  <c r="AA57" i="37"/>
  <c r="AB57" i="37" s="1"/>
  <c r="Z57" i="37"/>
  <c r="AI37" i="36"/>
  <c r="AC37" i="36"/>
  <c r="Q37" i="36"/>
  <c r="W37" i="36"/>
  <c r="AE46" i="37"/>
  <c r="AL144" i="21"/>
  <c r="AM144" i="21"/>
  <c r="AN144" i="21" s="1"/>
  <c r="AF149" i="33"/>
  <c r="AG149" i="33"/>
  <c r="AH149" i="33" s="1"/>
  <c r="AL8" i="36"/>
  <c r="AM8" i="36"/>
  <c r="AN8" i="36" s="1"/>
  <c r="AL21" i="37"/>
  <c r="AM21" i="37"/>
  <c r="AN21" i="37" s="1"/>
  <c r="AA45" i="37"/>
  <c r="AB45" i="37" s="1"/>
  <c r="Z45" i="37"/>
  <c r="AF112" i="37"/>
  <c r="AG112" i="37"/>
  <c r="AH112" i="37" s="1"/>
  <c r="T60" i="33"/>
  <c r="U60" i="33"/>
  <c r="V60" i="33" s="1"/>
  <c r="AL138" i="37"/>
  <c r="AM138" i="37"/>
  <c r="AN138" i="37" s="1"/>
  <c r="AG95" i="37"/>
  <c r="AH95" i="37" s="1"/>
  <c r="AF95" i="37"/>
  <c r="AE151" i="37"/>
  <c r="Y151" i="37"/>
  <c r="S151" i="37"/>
  <c r="AK151" i="37"/>
  <c r="AL92" i="42"/>
  <c r="AM92" i="42"/>
  <c r="AN92" i="42" s="1"/>
  <c r="AF25" i="42"/>
  <c r="AG25" i="42"/>
  <c r="AH25" i="42" s="1"/>
  <c r="Q118" i="42"/>
  <c r="W118" i="42"/>
  <c r="AI118" i="42"/>
  <c r="AC118" i="42"/>
  <c r="AF49" i="42"/>
  <c r="AG49" i="42"/>
  <c r="AH49" i="42" s="1"/>
  <c r="AL49" i="33"/>
  <c r="AM49" i="33"/>
  <c r="AN49" i="33" s="1"/>
  <c r="AI129" i="37"/>
  <c r="AC129" i="37"/>
  <c r="W129" i="37"/>
  <c r="Q129" i="37"/>
  <c r="AK51" i="42"/>
  <c r="AE51" i="42"/>
  <c r="Y51" i="42"/>
  <c r="S51" i="42"/>
  <c r="U79" i="21"/>
  <c r="V79" i="21" s="1"/>
  <c r="T79" i="21"/>
  <c r="Z142" i="42"/>
  <c r="AA142" i="42"/>
  <c r="AB142" i="42" s="1"/>
  <c r="Y92" i="33"/>
  <c r="AK82" i="21"/>
  <c r="Y82" i="21"/>
  <c r="AE82" i="21"/>
  <c r="Z148" i="36"/>
  <c r="AA148" i="36"/>
  <c r="AB148" i="36" s="1"/>
  <c r="AM47" i="36"/>
  <c r="AN47" i="36" s="1"/>
  <c r="AL47" i="36"/>
  <c r="S30" i="21"/>
  <c r="AA43" i="36"/>
  <c r="AB43" i="36" s="1"/>
  <c r="Z43" i="36"/>
  <c r="AF63" i="21"/>
  <c r="AG63" i="21"/>
  <c r="AH63" i="21" s="1"/>
  <c r="AC18" i="36"/>
  <c r="AI18" i="36"/>
  <c r="W18" i="36"/>
  <c r="Q18" i="36"/>
  <c r="AK54" i="36"/>
  <c r="AE54" i="36"/>
  <c r="S54" i="36"/>
  <c r="Y54" i="36"/>
  <c r="Z28" i="36"/>
  <c r="AA28" i="36"/>
  <c r="AB28" i="36" s="1"/>
  <c r="AL44" i="36"/>
  <c r="AM44" i="36"/>
  <c r="AN44" i="36" s="1"/>
  <c r="T90" i="42"/>
  <c r="U90" i="42"/>
  <c r="V90" i="42" s="1"/>
  <c r="AF145" i="36"/>
  <c r="AG145" i="36"/>
  <c r="AH145" i="36" s="1"/>
  <c r="AL30" i="43"/>
  <c r="AM30" i="43"/>
  <c r="AN30" i="43" s="1"/>
  <c r="AI49" i="33"/>
  <c r="W49" i="33"/>
  <c r="Q49" i="33"/>
  <c r="AC49" i="33"/>
  <c r="S42" i="37"/>
  <c r="AF140" i="36"/>
  <c r="AG140" i="36"/>
  <c r="AH140" i="36" s="1"/>
  <c r="U145" i="37"/>
  <c r="V145" i="37" s="1"/>
  <c r="T145" i="37"/>
  <c r="Q68" i="43"/>
  <c r="W68" i="43"/>
  <c r="AI68" i="43"/>
  <c r="AC68" i="43"/>
  <c r="Y79" i="36"/>
  <c r="S138" i="33"/>
  <c r="AK113" i="42"/>
  <c r="AE113" i="42"/>
  <c r="S113" i="42"/>
  <c r="Y113" i="42"/>
  <c r="AA43" i="37"/>
  <c r="AB43" i="37" s="1"/>
  <c r="Z43" i="37"/>
  <c r="AI147" i="36"/>
  <c r="W147" i="36"/>
  <c r="Q147" i="36"/>
  <c r="AC147" i="36"/>
  <c r="Q51" i="42"/>
  <c r="AI51" i="42"/>
  <c r="AC51" i="42"/>
  <c r="W51" i="42"/>
  <c r="AK100" i="37"/>
  <c r="AE100" i="37"/>
  <c r="AA95" i="36"/>
  <c r="AB95" i="36" s="1"/>
  <c r="Z95" i="36"/>
  <c r="AK98" i="33"/>
  <c r="AE98" i="33"/>
  <c r="S98" i="33"/>
  <c r="Y98" i="33"/>
  <c r="AL96" i="36"/>
  <c r="AM96" i="36"/>
  <c r="AN96" i="36" s="1"/>
  <c r="AL124" i="42"/>
  <c r="AM124" i="42"/>
  <c r="AN124" i="42" s="1"/>
  <c r="S110" i="33"/>
  <c r="AE130" i="42"/>
  <c r="AI86" i="43"/>
  <c r="W86" i="43"/>
  <c r="Q86" i="43"/>
  <c r="AC86" i="43"/>
  <c r="Q86" i="42"/>
  <c r="AI86" i="42"/>
  <c r="AC86" i="42"/>
  <c r="W86" i="42"/>
  <c r="AC38" i="33"/>
  <c r="AI38" i="33"/>
  <c r="W38" i="33"/>
  <c r="Q38" i="33"/>
  <c r="AI113" i="42"/>
  <c r="Q113" i="42"/>
  <c r="AC113" i="42"/>
  <c r="W113" i="42"/>
  <c r="AF90" i="43"/>
  <c r="AG90" i="43"/>
  <c r="AH90" i="43" s="1"/>
  <c r="S50" i="37"/>
  <c r="AE50" i="37"/>
  <c r="AK50" i="37"/>
  <c r="Y50" i="37"/>
  <c r="AI16" i="37"/>
  <c r="AC16" i="37"/>
  <c r="Q16" i="37"/>
  <c r="W16" i="37"/>
  <c r="U128" i="36"/>
  <c r="V128" i="36" s="1"/>
  <c r="T128" i="36"/>
  <c r="AK117" i="33"/>
  <c r="AE117" i="33"/>
  <c r="Y117" i="33"/>
  <c r="S117" i="33"/>
  <c r="Z124" i="33"/>
  <c r="AA124" i="33"/>
  <c r="AB124" i="33" s="1"/>
  <c r="AG94" i="37"/>
  <c r="AH94" i="37" s="1"/>
  <c r="AF94" i="37"/>
  <c r="AE70" i="37"/>
  <c r="AK70" i="37"/>
  <c r="Y70" i="37"/>
  <c r="S70" i="37"/>
  <c r="S114" i="37"/>
  <c r="AK114" i="37"/>
  <c r="Y114" i="37"/>
  <c r="AE114" i="37"/>
  <c r="Y80" i="37"/>
  <c r="S14" i="37"/>
  <c r="AK33" i="42"/>
  <c r="AE33" i="42"/>
  <c r="AM73" i="33"/>
  <c r="AN73" i="33" s="1"/>
  <c r="AL73" i="33"/>
  <c r="S18" i="43"/>
  <c r="AK18" i="43"/>
  <c r="AE18" i="43"/>
  <c r="Y18" i="43"/>
  <c r="W52" i="42"/>
  <c r="Q52" i="42"/>
  <c r="AC52" i="42"/>
  <c r="AI52" i="42"/>
  <c r="AC52" i="33"/>
  <c r="W52" i="33"/>
  <c r="Q52" i="33"/>
  <c r="AI52" i="33"/>
  <c r="AC131" i="21"/>
  <c r="AI131" i="21"/>
  <c r="W131" i="21"/>
  <c r="Q131" i="21"/>
  <c r="AC132" i="33"/>
  <c r="AI132" i="33"/>
  <c r="Q132" i="33"/>
  <c r="W132" i="33"/>
  <c r="T105" i="43"/>
  <c r="U105" i="43"/>
  <c r="V105" i="43" s="1"/>
  <c r="AA44" i="42"/>
  <c r="AB44" i="42" s="1"/>
  <c r="Z44" i="42"/>
  <c r="AM108" i="37"/>
  <c r="AN108" i="37" s="1"/>
  <c r="AL108" i="37"/>
  <c r="AE102" i="43"/>
  <c r="AK102" i="43"/>
  <c r="Z122" i="43"/>
  <c r="AA122" i="43"/>
  <c r="AB122" i="43" s="1"/>
  <c r="AF44" i="21"/>
  <c r="AG44" i="21"/>
  <c r="AH44" i="21" s="1"/>
  <c r="T74" i="43"/>
  <c r="U74" i="43"/>
  <c r="V74" i="43" s="1"/>
  <c r="S45" i="33"/>
  <c r="Y28" i="42"/>
  <c r="AG112" i="33"/>
  <c r="AH112" i="33" s="1"/>
  <c r="AF112" i="33"/>
  <c r="AM44" i="37"/>
  <c r="AN44" i="37" s="1"/>
  <c r="AL44" i="37"/>
  <c r="U45" i="21"/>
  <c r="V45" i="21" s="1"/>
  <c r="T45" i="21"/>
  <c r="AG108" i="36"/>
  <c r="AH108" i="36" s="1"/>
  <c r="AF108" i="36"/>
  <c r="AE109" i="33"/>
  <c r="AM108" i="43"/>
  <c r="AN108" i="43" s="1"/>
  <c r="AL108" i="43"/>
  <c r="AM110" i="37"/>
  <c r="AN110" i="37" s="1"/>
  <c r="AL110" i="37"/>
  <c r="AI98" i="43"/>
  <c r="Q98" i="43"/>
  <c r="AC98" i="43"/>
  <c r="W98" i="43"/>
  <c r="Q98" i="36"/>
  <c r="AC98" i="36"/>
  <c r="W98" i="36"/>
  <c r="AI98" i="36"/>
  <c r="S97" i="36"/>
  <c r="AC54" i="21"/>
  <c r="W54" i="21"/>
  <c r="AI54" i="21"/>
  <c r="Q54" i="21"/>
  <c r="AF136" i="21"/>
  <c r="AG136" i="21"/>
  <c r="AH136" i="21" s="1"/>
  <c r="AE95" i="21"/>
  <c r="T12" i="33"/>
  <c r="U12" i="33"/>
  <c r="V12" i="33" s="1"/>
  <c r="W81" i="37"/>
  <c r="AI81" i="37"/>
  <c r="Q81" i="37"/>
  <c r="AC81" i="37"/>
  <c r="T123" i="43"/>
  <c r="U123" i="43"/>
  <c r="V123" i="43" s="1"/>
  <c r="AA107" i="37"/>
  <c r="AB107" i="37" s="1"/>
  <c r="Z107" i="37"/>
  <c r="AL75" i="42"/>
  <c r="AM75" i="42"/>
  <c r="AN75" i="42" s="1"/>
  <c r="T127" i="33"/>
  <c r="U127" i="33"/>
  <c r="V127" i="33" s="1"/>
  <c r="Z63" i="36"/>
  <c r="AA63" i="36"/>
  <c r="AB63" i="36" s="1"/>
  <c r="Z122" i="42"/>
  <c r="AA122" i="42"/>
  <c r="AB122" i="42" s="1"/>
  <c r="Z107" i="43"/>
  <c r="AA107" i="43"/>
  <c r="AB107" i="43" s="1"/>
  <c r="AC17" i="36"/>
  <c r="AI17" i="36"/>
  <c r="Q17" i="36"/>
  <c r="W17" i="36"/>
  <c r="S44" i="43"/>
  <c r="U60" i="37"/>
  <c r="V60" i="37" s="1"/>
  <c r="T60" i="37"/>
  <c r="S15" i="33"/>
  <c r="Y32" i="21"/>
  <c r="AK32" i="21"/>
  <c r="AE32" i="21"/>
  <c r="S32" i="21"/>
  <c r="S31" i="36"/>
  <c r="AF127" i="43"/>
  <c r="AG127" i="43"/>
  <c r="AH127" i="43" s="1"/>
  <c r="AF124" i="36"/>
  <c r="AG124" i="36"/>
  <c r="AH124" i="36" s="1"/>
  <c r="AL25" i="21"/>
  <c r="AM25" i="21"/>
  <c r="AN25" i="21" s="1"/>
  <c r="Y48" i="21"/>
  <c r="AL43" i="43"/>
  <c r="AM43" i="43"/>
  <c r="AN43" i="43" s="1"/>
  <c r="AE115" i="43"/>
  <c r="Y115" i="43"/>
  <c r="S115" i="43"/>
  <c r="AE34" i="43"/>
  <c r="Y34" i="43"/>
  <c r="AK34" i="43"/>
  <c r="S34" i="43"/>
  <c r="AK145" i="42"/>
  <c r="AM89" i="36"/>
  <c r="AN89" i="36" s="1"/>
  <c r="AL89" i="36"/>
  <c r="AF73" i="21"/>
  <c r="AG73" i="21"/>
  <c r="AH73" i="21" s="1"/>
  <c r="T28" i="33"/>
  <c r="U28" i="33"/>
  <c r="V28" i="33" s="1"/>
  <c r="AM83" i="33"/>
  <c r="AN83" i="33" s="1"/>
  <c r="AL83" i="33"/>
  <c r="AE33" i="37"/>
  <c r="Z24" i="43"/>
  <c r="AA24" i="43"/>
  <c r="AB24" i="43" s="1"/>
  <c r="AE141" i="36"/>
  <c r="T139" i="42"/>
  <c r="U139" i="42"/>
  <c r="V139" i="42" s="1"/>
  <c r="AL106" i="37"/>
  <c r="AM106" i="37"/>
  <c r="AN106" i="37" s="1"/>
  <c r="AC134" i="36"/>
  <c r="Q134" i="36"/>
  <c r="W134" i="36"/>
  <c r="AI134" i="36"/>
  <c r="AC147" i="21"/>
  <c r="Q147" i="21"/>
  <c r="AI147" i="21"/>
  <c r="W147" i="21"/>
  <c r="S75" i="21"/>
  <c r="S123" i="36"/>
  <c r="AM31" i="43"/>
  <c r="AN31" i="43" s="1"/>
  <c r="AL31" i="43"/>
  <c r="AL95" i="42"/>
  <c r="AM95" i="42"/>
  <c r="AN95" i="42" s="1"/>
  <c r="Z10" i="36"/>
  <c r="AA10" i="36"/>
  <c r="AB10" i="36" s="1"/>
  <c r="Z31" i="33"/>
  <c r="AA31" i="33"/>
  <c r="AB31" i="33" s="1"/>
  <c r="AF144" i="36"/>
  <c r="AG144" i="36"/>
  <c r="AH144" i="36" s="1"/>
  <c r="U125" i="43"/>
  <c r="V125" i="43" s="1"/>
  <c r="T125" i="43"/>
  <c r="T59" i="21"/>
  <c r="U59" i="21"/>
  <c r="V59" i="21" s="1"/>
  <c r="AL143" i="37"/>
  <c r="AM143" i="37"/>
  <c r="AN143" i="37" s="1"/>
  <c r="AL68" i="21"/>
  <c r="AM137" i="21"/>
  <c r="AN137" i="21" s="1"/>
  <c r="AL137" i="21"/>
  <c r="AE86" i="37"/>
  <c r="AE94" i="33"/>
  <c r="T57" i="42"/>
  <c r="U57" i="42"/>
  <c r="V57" i="42" s="1"/>
  <c r="Z94" i="43"/>
  <c r="AA94" i="43"/>
  <c r="AB94" i="43" s="1"/>
  <c r="AG47" i="21"/>
  <c r="AH47" i="21" s="1"/>
  <c r="AF47" i="21"/>
  <c r="AM34" i="33"/>
  <c r="AN34" i="33" s="1"/>
  <c r="AL34" i="33"/>
  <c r="U140" i="33"/>
  <c r="V140" i="33" s="1"/>
  <c r="T140" i="33"/>
  <c r="AE84" i="43"/>
  <c r="S84" i="43"/>
  <c r="AG63" i="37"/>
  <c r="AH63" i="37" s="1"/>
  <c r="AF63" i="37"/>
  <c r="T15" i="36"/>
  <c r="U15" i="36"/>
  <c r="V15" i="36" s="1"/>
  <c r="AG37" i="21"/>
  <c r="AH37" i="21" s="1"/>
  <c r="AF28" i="37"/>
  <c r="AG28" i="37"/>
  <c r="AH28" i="37" s="1"/>
  <c r="Q33" i="43"/>
  <c r="W33" i="43"/>
  <c r="AI33" i="43"/>
  <c r="AC33" i="43"/>
  <c r="U83" i="36"/>
  <c r="V83" i="36" s="1"/>
  <c r="T83" i="36"/>
  <c r="T12" i="42"/>
  <c r="U12" i="42"/>
  <c r="V12" i="42" s="1"/>
  <c r="AG29" i="36"/>
  <c r="AH29" i="36" s="1"/>
  <c r="AF29" i="36"/>
  <c r="AE82" i="33"/>
  <c r="Y82" i="33"/>
  <c r="S82" i="33"/>
  <c r="AK82" i="33"/>
  <c r="W52" i="21"/>
  <c r="AC52" i="21"/>
  <c r="AI52" i="21"/>
  <c r="Q52" i="21"/>
  <c r="AK54" i="33"/>
  <c r="AE54" i="33"/>
  <c r="Y54" i="33"/>
  <c r="S54" i="33"/>
  <c r="AF108" i="42"/>
  <c r="AG108" i="42"/>
  <c r="AH108" i="42" s="1"/>
  <c r="AG109" i="42"/>
  <c r="AH109" i="42" s="1"/>
  <c r="AF109" i="42"/>
  <c r="AK129" i="42"/>
  <c r="AE129" i="42"/>
  <c r="Y129" i="42"/>
  <c r="AF11" i="43"/>
  <c r="AG11" i="43"/>
  <c r="AH11" i="43" s="1"/>
  <c r="W130" i="36"/>
  <c r="AC130" i="36"/>
  <c r="AI130" i="36"/>
  <c r="Q130" i="36"/>
  <c r="AG31" i="36"/>
  <c r="AH31" i="36" s="1"/>
  <c r="AF31" i="36"/>
  <c r="AA122" i="21"/>
  <c r="AB122" i="21" s="1"/>
  <c r="Z122" i="21"/>
  <c r="AK134" i="36"/>
  <c r="AE134" i="36"/>
  <c r="AM89" i="42"/>
  <c r="AN89" i="42" s="1"/>
  <c r="AL89" i="42"/>
  <c r="T30" i="42"/>
  <c r="U30" i="42"/>
  <c r="V30" i="42" s="1"/>
  <c r="U43" i="21"/>
  <c r="V43" i="21" s="1"/>
  <c r="T43" i="21"/>
  <c r="AK66" i="43"/>
  <c r="AE66" i="43"/>
  <c r="Y66" i="43"/>
  <c r="S66" i="43"/>
  <c r="T110" i="42"/>
  <c r="U110" i="42"/>
  <c r="V110" i="42" s="1"/>
  <c r="Z63" i="43"/>
  <c r="AA63" i="43"/>
  <c r="AB63" i="43" s="1"/>
  <c r="Z59" i="33"/>
  <c r="AA59" i="33"/>
  <c r="AB59" i="33" s="1"/>
  <c r="AA61" i="37"/>
  <c r="AB61" i="37" s="1"/>
  <c r="Z61" i="37"/>
  <c r="AI151" i="42"/>
  <c r="W151" i="42"/>
  <c r="Q151" i="42"/>
  <c r="AC151" i="42"/>
  <c r="AG63" i="33"/>
  <c r="AH63" i="33" s="1"/>
  <c r="AF63" i="33"/>
  <c r="AM92" i="43"/>
  <c r="AN92" i="43" s="1"/>
  <c r="AL92" i="43"/>
  <c r="Y49" i="21"/>
  <c r="T139" i="21"/>
  <c r="U139" i="21"/>
  <c r="V139" i="21" s="1"/>
  <c r="AA74" i="36"/>
  <c r="AB74" i="36" s="1"/>
  <c r="Z74" i="36"/>
  <c r="AK148" i="37"/>
  <c r="AE148" i="37"/>
  <c r="Z108" i="21"/>
  <c r="AA108" i="21"/>
  <c r="AB108" i="21" s="1"/>
  <c r="S96" i="33"/>
  <c r="AF15" i="42"/>
  <c r="AG15" i="42"/>
  <c r="AH15" i="42" s="1"/>
  <c r="AG11" i="42"/>
  <c r="AH11" i="42" s="1"/>
  <c r="AF11" i="42"/>
  <c r="S64" i="37"/>
  <c r="AF111" i="37"/>
  <c r="AG111" i="37"/>
  <c r="AH111" i="37" s="1"/>
  <c r="U62" i="37"/>
  <c r="V62" i="37" s="1"/>
  <c r="T62" i="37"/>
  <c r="AF94" i="42"/>
  <c r="AG94" i="42"/>
  <c r="AH94" i="42" s="1"/>
  <c r="AE48" i="42"/>
  <c r="AA90" i="37"/>
  <c r="AB90" i="37" s="1"/>
  <c r="Z90" i="37"/>
  <c r="AK82" i="37"/>
  <c r="AG90" i="21"/>
  <c r="AH90" i="21" s="1"/>
  <c r="AF90" i="21"/>
  <c r="AM79" i="33"/>
  <c r="AN79" i="33" s="1"/>
  <c r="AL79" i="33"/>
  <c r="AC67" i="43"/>
  <c r="W67" i="43"/>
  <c r="Q67" i="43"/>
  <c r="AI67" i="43"/>
  <c r="AK32" i="37"/>
  <c r="S32" i="37"/>
  <c r="Y32" i="37"/>
  <c r="AE32" i="37"/>
  <c r="AA31" i="37"/>
  <c r="AB31" i="37" s="1"/>
  <c r="Z31" i="37"/>
  <c r="AG110" i="36"/>
  <c r="AH110" i="36" s="1"/>
  <c r="AF110" i="36"/>
  <c r="Z142" i="36"/>
  <c r="AA142" i="36"/>
  <c r="AB142" i="36" s="1"/>
  <c r="AE117" i="42"/>
  <c r="AK117" i="42"/>
  <c r="U59" i="37"/>
  <c r="V59" i="37" s="1"/>
  <c r="T59" i="37"/>
  <c r="U128" i="37"/>
  <c r="V128" i="37" s="1"/>
  <c r="T128" i="37"/>
  <c r="AA139" i="33"/>
  <c r="AB139" i="33" s="1"/>
  <c r="Z139" i="33"/>
  <c r="T112" i="36"/>
  <c r="U112" i="36"/>
  <c r="V112" i="36" s="1"/>
  <c r="AL124" i="43"/>
  <c r="AM124" i="43"/>
  <c r="AN124" i="43" s="1"/>
  <c r="AI21" i="37"/>
  <c r="W21" i="37"/>
  <c r="Q21" i="37"/>
  <c r="AC21" i="37"/>
  <c r="AG57" i="37"/>
  <c r="AH57" i="37" s="1"/>
  <c r="AF57" i="37"/>
  <c r="AK126" i="42"/>
  <c r="U8" i="36"/>
  <c r="V8" i="36" s="1"/>
  <c r="T8" i="36"/>
  <c r="Z106" i="42"/>
  <c r="AA106" i="42"/>
  <c r="AB106" i="42" s="1"/>
  <c r="S34" i="42"/>
  <c r="AE34" i="42"/>
  <c r="AK34" i="42"/>
  <c r="AL45" i="37"/>
  <c r="AM45" i="37"/>
  <c r="AN45" i="37" s="1"/>
  <c r="AL112" i="37"/>
  <c r="AM112" i="37"/>
  <c r="AN112" i="37" s="1"/>
  <c r="AM60" i="33"/>
  <c r="AN60" i="33" s="1"/>
  <c r="AL60" i="33"/>
  <c r="AI146" i="33"/>
  <c r="AC146" i="33"/>
  <c r="W146" i="33"/>
  <c r="Q146" i="33"/>
  <c r="Q146" i="42"/>
  <c r="AC146" i="42"/>
  <c r="AI146" i="42"/>
  <c r="W146" i="42"/>
  <c r="Z91" i="33"/>
  <c r="AA91" i="33"/>
  <c r="AB91" i="33" s="1"/>
  <c r="U138" i="37"/>
  <c r="V138" i="37" s="1"/>
  <c r="T138" i="37"/>
  <c r="AL115" i="21"/>
  <c r="AM115" i="21"/>
  <c r="AN115" i="21" s="1"/>
  <c r="AM95" i="37"/>
  <c r="AN95" i="37" s="1"/>
  <c r="AL95" i="37"/>
  <c r="T92" i="42"/>
  <c r="U92" i="42"/>
  <c r="V92" i="42" s="1"/>
  <c r="AM25" i="42"/>
  <c r="AN25" i="42" s="1"/>
  <c r="AL25" i="42"/>
  <c r="AA79" i="21"/>
  <c r="AB79" i="21" s="1"/>
  <c r="Z79" i="21"/>
  <c r="U142" i="42"/>
  <c r="V142" i="42" s="1"/>
  <c r="T142" i="42"/>
  <c r="AG43" i="36"/>
  <c r="AH43" i="36" s="1"/>
  <c r="AF43" i="36"/>
  <c r="AL63" i="21"/>
  <c r="AM63" i="21"/>
  <c r="AN63" i="21" s="1"/>
  <c r="AC18" i="43"/>
  <c r="Q18" i="43"/>
  <c r="W18" i="43"/>
  <c r="AI18" i="43"/>
  <c r="AL90" i="42"/>
  <c r="AM90" i="42"/>
  <c r="AN90" i="42" s="1"/>
  <c r="S18" i="37"/>
  <c r="AK18" i="37"/>
  <c r="Y18" i="37"/>
  <c r="AE18" i="37"/>
  <c r="AM145" i="36"/>
  <c r="AN145" i="36" s="1"/>
  <c r="AL145" i="36"/>
  <c r="T30" i="43"/>
  <c r="U30" i="43"/>
  <c r="V30" i="43" s="1"/>
  <c r="AC150" i="33"/>
  <c r="AI150" i="33"/>
  <c r="Q150" i="33"/>
  <c r="W150" i="33"/>
  <c r="AI49" i="42"/>
  <c r="W49" i="42"/>
  <c r="Q49" i="42"/>
  <c r="AC49" i="42"/>
  <c r="AA140" i="36"/>
  <c r="AB140" i="36" s="1"/>
  <c r="Z140" i="36"/>
  <c r="AA145" i="37"/>
  <c r="AB145" i="37" s="1"/>
  <c r="Z145" i="37"/>
  <c r="AE113" i="21"/>
  <c r="AG43" i="37"/>
  <c r="AH43" i="37" s="1"/>
  <c r="AF43" i="37"/>
  <c r="W102" i="37"/>
  <c r="Q102" i="37"/>
  <c r="AI102" i="37"/>
  <c r="AC102" i="37"/>
  <c r="AI146" i="21"/>
  <c r="AC146" i="21"/>
  <c r="W146" i="21"/>
  <c r="Q146" i="21"/>
  <c r="AC51" i="21"/>
  <c r="AI51" i="21"/>
  <c r="W51" i="21"/>
  <c r="Q51" i="21"/>
  <c r="AK100" i="33"/>
  <c r="AE100" i="33"/>
  <c r="S100" i="33"/>
  <c r="Y100" i="33"/>
  <c r="AL95" i="36"/>
  <c r="AM95" i="36"/>
  <c r="AN95" i="36" s="1"/>
  <c r="S16" i="21"/>
  <c r="AK16" i="21"/>
  <c r="AE16" i="21"/>
  <c r="Y16" i="21"/>
  <c r="AK82" i="43"/>
  <c r="AE82" i="43"/>
  <c r="S82" i="43"/>
  <c r="Y82" i="43"/>
  <c r="AA12" i="42"/>
  <c r="AB12" i="42" s="1"/>
  <c r="Z12" i="42"/>
  <c r="AA124" i="42"/>
  <c r="AB124" i="42" s="1"/>
  <c r="Z124" i="42"/>
  <c r="Y110" i="33"/>
  <c r="AC86" i="21"/>
  <c r="AI86" i="21"/>
  <c r="W86" i="21"/>
  <c r="Q86" i="21"/>
  <c r="AC114" i="33"/>
  <c r="Q114" i="33"/>
  <c r="AI114" i="33"/>
  <c r="W114" i="33"/>
  <c r="Q38" i="21"/>
  <c r="AI38" i="21"/>
  <c r="W38" i="21"/>
  <c r="AC38" i="21"/>
  <c r="W38" i="42"/>
  <c r="Q38" i="42"/>
  <c r="AI38" i="42"/>
  <c r="AC38" i="42"/>
  <c r="AI113" i="37"/>
  <c r="Q113" i="37"/>
  <c r="AC113" i="37"/>
  <c r="W113" i="37"/>
  <c r="AE29" i="36"/>
  <c r="Q16" i="21"/>
  <c r="AC16" i="21"/>
  <c r="AI16" i="21"/>
  <c r="W16" i="21"/>
  <c r="AG128" i="36"/>
  <c r="AH128" i="36" s="1"/>
  <c r="AF128" i="36"/>
  <c r="AE118" i="36"/>
  <c r="Y118" i="36"/>
  <c r="S118" i="36"/>
  <c r="U124" i="33"/>
  <c r="V124" i="33" s="1"/>
  <c r="T124" i="33"/>
  <c r="Z94" i="37"/>
  <c r="AA94" i="37"/>
  <c r="AB94" i="37" s="1"/>
  <c r="AE114" i="33"/>
  <c r="AK114" i="33"/>
  <c r="Y114" i="33"/>
  <c r="Y67" i="43"/>
  <c r="AK67" i="43"/>
  <c r="AE18" i="21"/>
  <c r="AK18" i="21"/>
  <c r="Y18" i="21"/>
  <c r="W52" i="37"/>
  <c r="AC52" i="37"/>
  <c r="Q52" i="37"/>
  <c r="AI52" i="37"/>
  <c r="AC132" i="37"/>
  <c r="AI132" i="37"/>
  <c r="W132" i="37"/>
  <c r="Q132" i="37"/>
  <c r="W116" i="43"/>
  <c r="AC116" i="43"/>
  <c r="Q116" i="43"/>
  <c r="AI116" i="43"/>
  <c r="AM124" i="37"/>
  <c r="AN124" i="37" s="1"/>
  <c r="AL124" i="37"/>
  <c r="Z105" i="43"/>
  <c r="AA105" i="43"/>
  <c r="AB105" i="43" s="1"/>
  <c r="AM44" i="42"/>
  <c r="AN44" i="42" s="1"/>
  <c r="AL44" i="42"/>
  <c r="AF108" i="37"/>
  <c r="AG108" i="37"/>
  <c r="AH108" i="37" s="1"/>
  <c r="AC97" i="43"/>
  <c r="Q97" i="43"/>
  <c r="AI97" i="43"/>
  <c r="W97" i="43"/>
  <c r="AM122" i="43"/>
  <c r="AN122" i="43" s="1"/>
  <c r="AL122" i="43"/>
  <c r="AM44" i="21"/>
  <c r="AN44" i="21" s="1"/>
  <c r="AL44" i="21"/>
  <c r="AF74" i="43"/>
  <c r="AG74" i="43"/>
  <c r="AH74" i="43" s="1"/>
  <c r="AE108" i="42"/>
  <c r="AL112" i="33"/>
  <c r="AM112" i="33"/>
  <c r="AN112" i="33" s="1"/>
  <c r="T44" i="37"/>
  <c r="U44" i="37"/>
  <c r="V44" i="37" s="1"/>
  <c r="AE15" i="37"/>
  <c r="AK38" i="43"/>
  <c r="AE38" i="43"/>
  <c r="S38" i="43"/>
  <c r="Y38" i="43"/>
  <c r="AM45" i="21"/>
  <c r="AN45" i="21" s="1"/>
  <c r="AL45" i="21"/>
  <c r="AE13" i="42"/>
  <c r="AE51" i="37"/>
  <c r="Y51" i="37"/>
  <c r="T108" i="43"/>
  <c r="U108" i="43"/>
  <c r="V108" i="43" s="1"/>
  <c r="AF110" i="37"/>
  <c r="AG110" i="37"/>
  <c r="AH110" i="37" s="1"/>
  <c r="AC83" i="21"/>
  <c r="W83" i="21"/>
  <c r="Q83" i="21"/>
  <c r="AI83" i="21"/>
  <c r="Q54" i="43"/>
  <c r="W54" i="43"/>
  <c r="AC54" i="43"/>
  <c r="AI54" i="43"/>
  <c r="AI54" i="42"/>
  <c r="Q54" i="42"/>
  <c r="W54" i="42"/>
  <c r="AC54" i="42"/>
  <c r="AE83" i="42"/>
  <c r="S83" i="42"/>
  <c r="Y83" i="42"/>
  <c r="AK83" i="42"/>
  <c r="AA58" i="37"/>
  <c r="AB58" i="37" s="1"/>
  <c r="Z58" i="37"/>
  <c r="AA109" i="42"/>
  <c r="AB109" i="42" s="1"/>
  <c r="Z109" i="42"/>
  <c r="AM95" i="21"/>
  <c r="AN95" i="21" s="1"/>
  <c r="AL95" i="21"/>
  <c r="Y101" i="37"/>
  <c r="AK101" i="37"/>
  <c r="S101" i="37"/>
  <c r="AE101" i="37"/>
  <c r="AM121" i="36"/>
  <c r="AN121" i="36" s="1"/>
  <c r="AL121" i="36"/>
  <c r="S21" i="21"/>
  <c r="AK21" i="21"/>
  <c r="AE21" i="21"/>
  <c r="AF12" i="33"/>
  <c r="AG12" i="33"/>
  <c r="AH12" i="33" s="1"/>
  <c r="AI85" i="33"/>
  <c r="Q85" i="33"/>
  <c r="W85" i="33"/>
  <c r="AC85" i="33"/>
  <c r="W81" i="42"/>
  <c r="AC81" i="42"/>
  <c r="Q81" i="42"/>
  <c r="AI81" i="42"/>
  <c r="AM123" i="43"/>
  <c r="AN123" i="43" s="1"/>
  <c r="AL123" i="43"/>
  <c r="AM11" i="43"/>
  <c r="AN11" i="43" s="1"/>
  <c r="AL11" i="43"/>
  <c r="AI20" i="42"/>
  <c r="AC20" i="42"/>
  <c r="Q20" i="42"/>
  <c r="W20" i="42"/>
  <c r="AF107" i="37"/>
  <c r="AG107" i="37"/>
  <c r="AH107" i="37" s="1"/>
  <c r="U75" i="42"/>
  <c r="V75" i="42" s="1"/>
  <c r="T75" i="42"/>
  <c r="AG127" i="33"/>
  <c r="AH127" i="33" s="1"/>
  <c r="AF127" i="33"/>
  <c r="T63" i="36"/>
  <c r="U63" i="36"/>
  <c r="V63" i="36" s="1"/>
  <c r="T122" i="42"/>
  <c r="U122" i="42"/>
  <c r="V122" i="42" s="1"/>
  <c r="AG107" i="43"/>
  <c r="AH107" i="43" s="1"/>
  <c r="AF107" i="43"/>
  <c r="AC17" i="21"/>
  <c r="W17" i="21"/>
  <c r="AI17" i="21"/>
  <c r="Q17" i="21"/>
  <c r="AL60" i="37"/>
  <c r="AM60" i="37"/>
  <c r="AN60" i="37" s="1"/>
  <c r="AE140" i="37"/>
  <c r="AE15" i="33"/>
  <c r="AI114" i="43"/>
  <c r="W114" i="43"/>
  <c r="AC114" i="43"/>
  <c r="Q114" i="43"/>
  <c r="S32" i="42"/>
  <c r="AE32" i="42"/>
  <c r="AM73" i="36"/>
  <c r="AN73" i="36" s="1"/>
  <c r="AL73" i="36"/>
  <c r="AK70" i="43"/>
  <c r="AE70" i="43"/>
  <c r="AK116" i="36"/>
  <c r="AE116" i="36"/>
  <c r="Z124" i="36"/>
  <c r="AA124" i="36"/>
  <c r="AB124" i="36" s="1"/>
  <c r="Z43" i="43"/>
  <c r="AA43" i="43"/>
  <c r="AB43" i="43" s="1"/>
  <c r="S131" i="33"/>
  <c r="AK131" i="33"/>
  <c r="AE131" i="33"/>
  <c r="Q34" i="42"/>
  <c r="AI34" i="42"/>
  <c r="W34" i="42"/>
  <c r="AC34" i="42"/>
  <c r="Z145" i="42"/>
  <c r="AA145" i="42"/>
  <c r="AB145" i="42" s="1"/>
  <c r="U89" i="36"/>
  <c r="V89" i="36" s="1"/>
  <c r="T89" i="36"/>
  <c r="U73" i="21"/>
  <c r="V73" i="21" s="1"/>
  <c r="T73" i="21"/>
  <c r="AL54" i="37"/>
  <c r="AM54" i="37"/>
  <c r="AN54" i="37" s="1"/>
  <c r="W82" i="33"/>
  <c r="AI82" i="33"/>
  <c r="Q82" i="33"/>
  <c r="AC82" i="33"/>
  <c r="AL28" i="33"/>
  <c r="AM28" i="33"/>
  <c r="AN28" i="33" s="1"/>
  <c r="AG47" i="37"/>
  <c r="AH47" i="37" s="1"/>
  <c r="AF47" i="37"/>
  <c r="S131" i="21"/>
  <c r="AG24" i="43"/>
  <c r="AH24" i="43" s="1"/>
  <c r="AF24" i="43"/>
  <c r="AK73" i="42"/>
  <c r="AG139" i="42"/>
  <c r="AH139" i="42" s="1"/>
  <c r="AF139" i="42"/>
  <c r="AF106" i="37"/>
  <c r="AG106" i="37"/>
  <c r="AH106" i="37" s="1"/>
  <c r="AM135" i="43"/>
  <c r="AN135" i="43" s="1"/>
  <c r="AL135" i="43"/>
  <c r="W99" i="33"/>
  <c r="AC99" i="33"/>
  <c r="AI99" i="33"/>
  <c r="Q99" i="33"/>
  <c r="Z38" i="42"/>
  <c r="AA38" i="42"/>
  <c r="AB38" i="42" s="1"/>
  <c r="AM65" i="36"/>
  <c r="AN65" i="36" s="1"/>
  <c r="AL65" i="36"/>
  <c r="U79" i="43"/>
  <c r="V79" i="43" s="1"/>
  <c r="T79" i="43"/>
  <c r="AE17" i="43"/>
  <c r="S17" i="43"/>
  <c r="AK17" i="43"/>
  <c r="Y17" i="43"/>
  <c r="AC148" i="37"/>
  <c r="AI148" i="37"/>
  <c r="Q148" i="37"/>
  <c r="W148" i="37"/>
  <c r="AI70" i="36"/>
  <c r="AC70" i="36"/>
  <c r="W70" i="36"/>
  <c r="Q70" i="36"/>
  <c r="T31" i="43"/>
  <c r="U31" i="43"/>
  <c r="V31" i="43" s="1"/>
  <c r="T89" i="42"/>
  <c r="U89" i="42"/>
  <c r="V89" i="42" s="1"/>
  <c r="AG10" i="36"/>
  <c r="AH10" i="36" s="1"/>
  <c r="AF10" i="36"/>
  <c r="T31" i="33"/>
  <c r="U31" i="33"/>
  <c r="V31" i="33" s="1"/>
  <c r="AM144" i="36"/>
  <c r="AN144" i="36" s="1"/>
  <c r="AL144" i="36"/>
  <c r="AM66" i="33"/>
  <c r="AN66" i="33" s="1"/>
  <c r="AA125" i="43"/>
  <c r="AB125" i="43" s="1"/>
  <c r="Z125" i="43"/>
  <c r="AF59" i="21"/>
  <c r="AG59" i="21"/>
  <c r="AH59" i="21" s="1"/>
  <c r="U143" i="37"/>
  <c r="V143" i="37" s="1"/>
  <c r="T143" i="37"/>
  <c r="AA112" i="42"/>
  <c r="AB112" i="42" s="1"/>
  <c r="Z112" i="42"/>
  <c r="Z94" i="33"/>
  <c r="AA94" i="33"/>
  <c r="AB94" i="33" s="1"/>
  <c r="Y151" i="33"/>
  <c r="S151" i="33"/>
  <c r="AK151" i="33"/>
  <c r="AE151" i="33"/>
  <c r="AF57" i="42"/>
  <c r="AG57" i="42"/>
  <c r="AH57" i="42" s="1"/>
  <c r="AL47" i="21"/>
  <c r="AM47" i="21"/>
  <c r="AN47" i="21" s="1"/>
  <c r="AA140" i="33"/>
  <c r="AB140" i="33" s="1"/>
  <c r="Z140" i="33"/>
  <c r="AL63" i="37"/>
  <c r="AM63" i="37"/>
  <c r="AN63" i="37" s="1"/>
  <c r="W50" i="42"/>
  <c r="AI50" i="42"/>
  <c r="AC50" i="42"/>
  <c r="Q50" i="42"/>
  <c r="S32" i="33"/>
  <c r="Y32" i="33"/>
  <c r="AK32" i="33"/>
  <c r="AE32" i="33"/>
  <c r="AM121" i="37"/>
  <c r="AN121" i="37" s="1"/>
  <c r="AL121" i="37"/>
  <c r="S15" i="36"/>
  <c r="Y132" i="37"/>
  <c r="S132" i="37"/>
  <c r="AE132" i="37"/>
  <c r="AI133" i="43"/>
  <c r="W133" i="43"/>
  <c r="Q133" i="43"/>
  <c r="AC133" i="43"/>
  <c r="AA20" i="21"/>
  <c r="AB20" i="21" s="1"/>
  <c r="Z20" i="21"/>
  <c r="AA123" i="33"/>
  <c r="AB123" i="33" s="1"/>
  <c r="Z123" i="33"/>
  <c r="AK100" i="42"/>
  <c r="AL61" i="37"/>
  <c r="AM61" i="37"/>
  <c r="AN61" i="37" s="1"/>
  <c r="Z90" i="21"/>
  <c r="AA90" i="21"/>
  <c r="AB90" i="21" s="1"/>
  <c r="T126" i="43"/>
  <c r="U126" i="43"/>
  <c r="V126" i="43" s="1"/>
  <c r="Z110" i="36"/>
  <c r="AA110" i="36"/>
  <c r="AB110" i="36" s="1"/>
  <c r="AA129" i="43"/>
  <c r="AB129" i="43" s="1"/>
  <c r="Z129" i="43"/>
  <c r="AF124" i="43"/>
  <c r="AG124" i="43"/>
  <c r="AH124" i="43" s="1"/>
  <c r="U109" i="36"/>
  <c r="V109" i="36" s="1"/>
  <c r="T109" i="36"/>
  <c r="U77" i="43"/>
  <c r="V77" i="43" s="1"/>
  <c r="T77" i="43"/>
  <c r="W118" i="37"/>
  <c r="AC118" i="37"/>
  <c r="AI118" i="37"/>
  <c r="Q118" i="37"/>
  <c r="AA141" i="21"/>
  <c r="AB141" i="21" s="1"/>
  <c r="Z141" i="21"/>
  <c r="AF79" i="36"/>
  <c r="AG79" i="36"/>
  <c r="AH79" i="36" s="1"/>
  <c r="Z138" i="33"/>
  <c r="AA138" i="33"/>
  <c r="AB138" i="33" s="1"/>
  <c r="W51" i="36"/>
  <c r="Q51" i="36"/>
  <c r="AC51" i="36"/>
  <c r="AI51" i="36"/>
  <c r="AK85" i="43"/>
  <c r="W84" i="33"/>
  <c r="AI84" i="33"/>
  <c r="Q84" i="33"/>
  <c r="AC84" i="33"/>
  <c r="AG124" i="37"/>
  <c r="AH124" i="37" s="1"/>
  <c r="AF124" i="37"/>
  <c r="AL45" i="33"/>
  <c r="AM45" i="33"/>
  <c r="AN45" i="33" s="1"/>
  <c r="AG80" i="43"/>
  <c r="AH80" i="43" s="1"/>
  <c r="AF80" i="43"/>
  <c r="AF121" i="36"/>
  <c r="AG121" i="36"/>
  <c r="AH121" i="36" s="1"/>
  <c r="U92" i="21"/>
  <c r="V92" i="21" s="1"/>
  <c r="T92" i="21"/>
  <c r="AG45" i="42"/>
  <c r="AH45" i="42" s="1"/>
  <c r="AF45" i="42"/>
  <c r="AK19" i="33"/>
  <c r="AE19" i="33"/>
  <c r="Y19" i="33"/>
  <c r="AA73" i="36"/>
  <c r="AB73" i="36" s="1"/>
  <c r="Z73" i="36"/>
  <c r="T29" i="21"/>
  <c r="U29" i="21"/>
  <c r="V29" i="21" s="1"/>
  <c r="AL75" i="43"/>
  <c r="AM75" i="43"/>
  <c r="AN75" i="43" s="1"/>
  <c r="U123" i="33"/>
  <c r="V123" i="33" s="1"/>
  <c r="T123" i="33"/>
  <c r="AF41" i="42"/>
  <c r="AG41" i="42"/>
  <c r="AH41" i="42" s="1"/>
  <c r="AL61" i="36"/>
  <c r="AM61" i="36"/>
  <c r="AN61" i="36" s="1"/>
  <c r="AK146" i="37"/>
  <c r="S146" i="37"/>
  <c r="Y146" i="37"/>
  <c r="AE146" i="37"/>
  <c r="T127" i="36"/>
  <c r="U127" i="36"/>
  <c r="V127" i="36" s="1"/>
  <c r="S41" i="42"/>
  <c r="AE123" i="33"/>
  <c r="Y110" i="42"/>
  <c r="AL63" i="43"/>
  <c r="AM63" i="43"/>
  <c r="AN63" i="43" s="1"/>
  <c r="U61" i="36"/>
  <c r="V61" i="36" s="1"/>
  <c r="T61" i="36"/>
  <c r="U59" i="33"/>
  <c r="V59" i="33" s="1"/>
  <c r="T59" i="33"/>
  <c r="T61" i="37"/>
  <c r="U61" i="37"/>
  <c r="V61" i="37" s="1"/>
  <c r="AL57" i="36"/>
  <c r="AM57" i="36"/>
  <c r="AN57" i="36" s="1"/>
  <c r="Y115" i="33"/>
  <c r="S115" i="33"/>
  <c r="AK115" i="33"/>
  <c r="AE115" i="33"/>
  <c r="Z127" i="36"/>
  <c r="AA127" i="36"/>
  <c r="AB127" i="36" s="1"/>
  <c r="AI151" i="33"/>
  <c r="AC151" i="33"/>
  <c r="W151" i="33"/>
  <c r="Q151" i="33"/>
  <c r="U63" i="33"/>
  <c r="V63" i="33" s="1"/>
  <c r="T63" i="33"/>
  <c r="T92" i="43"/>
  <c r="U92" i="43"/>
  <c r="V92" i="43" s="1"/>
  <c r="AE99" i="33"/>
  <c r="Y99" i="33"/>
  <c r="S99" i="33"/>
  <c r="AK99" i="33"/>
  <c r="AA65" i="42"/>
  <c r="AB65" i="42" s="1"/>
  <c r="Z65" i="42"/>
  <c r="AA139" i="21"/>
  <c r="AB139" i="21" s="1"/>
  <c r="Z139" i="21"/>
  <c r="AF74" i="36"/>
  <c r="AG74" i="36"/>
  <c r="AH74" i="36" s="1"/>
  <c r="Y11" i="33"/>
  <c r="AE147" i="21"/>
  <c r="AK147" i="21"/>
  <c r="Y147" i="21"/>
  <c r="S147" i="21"/>
  <c r="AG108" i="21"/>
  <c r="AH108" i="21" s="1"/>
  <c r="AF108" i="21"/>
  <c r="S15" i="42"/>
  <c r="AL11" i="42"/>
  <c r="AM11" i="42"/>
  <c r="AN11" i="42" s="1"/>
  <c r="AE64" i="37"/>
  <c r="Y25" i="43"/>
  <c r="AL111" i="37"/>
  <c r="AM111" i="37"/>
  <c r="AN111" i="37" s="1"/>
  <c r="Y62" i="37"/>
  <c r="AM134" i="37"/>
  <c r="AN134" i="37" s="1"/>
  <c r="AL134" i="37"/>
  <c r="S106" i="33"/>
  <c r="AL94" i="42"/>
  <c r="AM94" i="42"/>
  <c r="AN94" i="42" s="1"/>
  <c r="AK25" i="33"/>
  <c r="Z48" i="42"/>
  <c r="AA48" i="42"/>
  <c r="AB48" i="42" s="1"/>
  <c r="U90" i="37"/>
  <c r="V90" i="37" s="1"/>
  <c r="T90" i="37"/>
  <c r="AG11" i="21"/>
  <c r="AH11" i="21" s="1"/>
  <c r="AF11" i="21"/>
  <c r="AG28" i="21"/>
  <c r="AH28" i="21" s="1"/>
  <c r="AF28" i="21"/>
  <c r="Y19" i="21"/>
  <c r="S19" i="21"/>
  <c r="AE19" i="21"/>
  <c r="AK19" i="21"/>
  <c r="AM90" i="21"/>
  <c r="AN90" i="21" s="1"/>
  <c r="AL90" i="21"/>
  <c r="Y79" i="33"/>
  <c r="AM126" i="43"/>
  <c r="AN126" i="43" s="1"/>
  <c r="AL126" i="43"/>
  <c r="AA14" i="42"/>
  <c r="AB14" i="42" s="1"/>
  <c r="Z14" i="42"/>
  <c r="AE77" i="21"/>
  <c r="U31" i="37"/>
  <c r="V31" i="37" s="1"/>
  <c r="T31" i="37"/>
  <c r="S123" i="21"/>
  <c r="AL110" i="36"/>
  <c r="AM110" i="36"/>
  <c r="AN110" i="36" s="1"/>
  <c r="S142" i="36"/>
  <c r="AF59" i="37"/>
  <c r="AG59" i="37"/>
  <c r="AH59" i="37" s="1"/>
  <c r="S128" i="37"/>
  <c r="AF139" i="33"/>
  <c r="AG139" i="33"/>
  <c r="AH139" i="33" s="1"/>
  <c r="AA112" i="36"/>
  <c r="AB112" i="36" s="1"/>
  <c r="Z112" i="36"/>
  <c r="Z124" i="43"/>
  <c r="AA124" i="43"/>
  <c r="AB124" i="43" s="1"/>
  <c r="Q21" i="21"/>
  <c r="AC21" i="21"/>
  <c r="AI21" i="21"/>
  <c r="W21" i="21"/>
  <c r="Q33" i="33"/>
  <c r="AI33" i="33"/>
  <c r="AC33" i="33"/>
  <c r="W33" i="33"/>
  <c r="AE45" i="36"/>
  <c r="AL57" i="37"/>
  <c r="AM57" i="37"/>
  <c r="AN57" i="37" s="1"/>
  <c r="Q37" i="42"/>
  <c r="W37" i="42"/>
  <c r="AC37" i="42"/>
  <c r="AI37" i="42"/>
  <c r="T46" i="37"/>
  <c r="U46" i="37"/>
  <c r="V46" i="37" s="1"/>
  <c r="U126" i="42"/>
  <c r="V126" i="42" s="1"/>
  <c r="T126" i="42"/>
  <c r="Y144" i="21"/>
  <c r="AL109" i="36"/>
  <c r="AM109" i="36"/>
  <c r="AN109" i="36" s="1"/>
  <c r="Z8" i="36"/>
  <c r="AA8" i="36"/>
  <c r="AB8" i="36" s="1"/>
  <c r="U106" i="42"/>
  <c r="V106" i="42" s="1"/>
  <c r="T106" i="42"/>
  <c r="AG45" i="37"/>
  <c r="AH45" i="37" s="1"/>
  <c r="AF45" i="37"/>
  <c r="U112" i="37"/>
  <c r="V112" i="37" s="1"/>
  <c r="T112" i="37"/>
  <c r="AK66" i="42"/>
  <c r="AE66" i="42"/>
  <c r="Y66" i="42"/>
  <c r="S66" i="42"/>
  <c r="AF60" i="33"/>
  <c r="AG60" i="33"/>
  <c r="AH60" i="33" s="1"/>
  <c r="W146" i="36"/>
  <c r="Q146" i="36"/>
  <c r="AI146" i="36"/>
  <c r="AC146" i="36"/>
  <c r="AG91" i="33"/>
  <c r="AH91" i="33" s="1"/>
  <c r="AF91" i="33"/>
  <c r="Y138" i="37"/>
  <c r="AE115" i="42"/>
  <c r="S115" i="42"/>
  <c r="Y115" i="42"/>
  <c r="AE130" i="37"/>
  <c r="S130" i="37"/>
  <c r="AK130" i="37"/>
  <c r="Y130" i="37"/>
  <c r="Z92" i="42"/>
  <c r="AA92" i="42"/>
  <c r="AB92" i="42" s="1"/>
  <c r="S25" i="42"/>
  <c r="AK85" i="21"/>
  <c r="Y85" i="21"/>
  <c r="AE85" i="21"/>
  <c r="Q113" i="43"/>
  <c r="W113" i="43"/>
  <c r="AC113" i="43"/>
  <c r="AI113" i="43"/>
  <c r="AF79" i="21"/>
  <c r="AG79" i="21"/>
  <c r="AH79" i="21" s="1"/>
  <c r="AF142" i="42"/>
  <c r="AG142" i="42"/>
  <c r="AH142" i="42" s="1"/>
  <c r="AE92" i="33"/>
  <c r="Y47" i="36"/>
  <c r="AI116" i="21"/>
  <c r="Q116" i="21"/>
  <c r="W116" i="21"/>
  <c r="AC116" i="21"/>
  <c r="AE30" i="21"/>
  <c r="U63" i="21"/>
  <c r="V63" i="21" s="1"/>
  <c r="T63" i="21"/>
  <c r="T33" i="43"/>
  <c r="U33" i="43"/>
  <c r="V33" i="43" s="1"/>
  <c r="Z90" i="42"/>
  <c r="AA90" i="42"/>
  <c r="AB90" i="42" s="1"/>
  <c r="T145" i="36"/>
  <c r="U145" i="36"/>
  <c r="V145" i="36" s="1"/>
  <c r="AA30" i="43"/>
  <c r="AB30" i="43" s="1"/>
  <c r="Z30" i="43"/>
  <c r="AI150" i="36"/>
  <c r="Q150" i="36"/>
  <c r="W150" i="36"/>
  <c r="AC150" i="36"/>
  <c r="AC49" i="43"/>
  <c r="W49" i="43"/>
  <c r="AI49" i="43"/>
  <c r="Q49" i="43"/>
  <c r="AM140" i="36"/>
  <c r="AN140" i="36" s="1"/>
  <c r="AL140" i="36"/>
  <c r="AK102" i="37"/>
  <c r="S102" i="37"/>
  <c r="AE102" i="37"/>
  <c r="Y102" i="37"/>
  <c r="AF145" i="37"/>
  <c r="AG145" i="37"/>
  <c r="AH145" i="37" s="1"/>
  <c r="Q68" i="42"/>
  <c r="AC68" i="42"/>
  <c r="W68" i="42"/>
  <c r="AI68" i="42"/>
  <c r="AM43" i="37"/>
  <c r="AN43" i="37" s="1"/>
  <c r="AL43" i="37"/>
  <c r="AI102" i="36"/>
  <c r="W102" i="36"/>
  <c r="Q102" i="36"/>
  <c r="AC102" i="36"/>
  <c r="AI147" i="42"/>
  <c r="W147" i="42"/>
  <c r="Q147" i="42"/>
  <c r="AC147" i="42"/>
  <c r="U95" i="36"/>
  <c r="V95" i="36" s="1"/>
  <c r="T95" i="36"/>
  <c r="W115" i="36"/>
  <c r="Q115" i="36"/>
  <c r="AC115" i="36"/>
  <c r="AI115" i="36"/>
  <c r="AF12" i="42"/>
  <c r="AG12" i="42"/>
  <c r="AH12" i="42" s="1"/>
  <c r="AK19" i="42"/>
  <c r="AE19" i="42"/>
  <c r="Y19" i="42"/>
  <c r="S96" i="36"/>
  <c r="S124" i="42"/>
  <c r="W114" i="42"/>
  <c r="AC114" i="42"/>
  <c r="AI114" i="42"/>
  <c r="Q114" i="42"/>
  <c r="Q38" i="37"/>
  <c r="AC38" i="37"/>
  <c r="AI38" i="37"/>
  <c r="W38" i="37"/>
  <c r="AK29" i="36"/>
  <c r="S90" i="43"/>
  <c r="AI16" i="36"/>
  <c r="W16" i="36"/>
  <c r="AC16" i="36"/>
  <c r="Q16" i="36"/>
  <c r="AM128" i="36"/>
  <c r="AN128" i="36" s="1"/>
  <c r="AL128" i="36"/>
  <c r="AK118" i="37"/>
  <c r="Y118" i="37"/>
  <c r="AE118" i="37"/>
  <c r="AG124" i="33"/>
  <c r="AH124" i="33" s="1"/>
  <c r="AF124" i="33"/>
  <c r="U94" i="37"/>
  <c r="V94" i="37" s="1"/>
  <c r="T94" i="37"/>
  <c r="AK83" i="43"/>
  <c r="AE83" i="43"/>
  <c r="Y83" i="43"/>
  <c r="AM79" i="37"/>
  <c r="AN79" i="37" s="1"/>
  <c r="AL79" i="37"/>
  <c r="Y73" i="33"/>
  <c r="AC52" i="36"/>
  <c r="W52" i="36"/>
  <c r="AI52" i="36"/>
  <c r="Q52" i="36"/>
  <c r="AA124" i="37"/>
  <c r="AB124" i="37" s="1"/>
  <c r="Z124" i="37"/>
  <c r="AF105" i="43"/>
  <c r="AG105" i="43"/>
  <c r="AH105" i="43" s="1"/>
  <c r="AG44" i="42"/>
  <c r="AH44" i="42" s="1"/>
  <c r="AF44" i="42"/>
  <c r="AM105" i="21"/>
  <c r="AN105" i="21" s="1"/>
  <c r="AL105" i="21"/>
  <c r="W97" i="42"/>
  <c r="AI97" i="42"/>
  <c r="Q97" i="42"/>
  <c r="AC97" i="42"/>
  <c r="U122" i="43"/>
  <c r="V122" i="43" s="1"/>
  <c r="T122" i="43"/>
  <c r="U44" i="21"/>
  <c r="V44" i="21" s="1"/>
  <c r="T44" i="21"/>
  <c r="AK84" i="42"/>
  <c r="AE84" i="42"/>
  <c r="S84" i="42"/>
  <c r="Y84" i="42"/>
  <c r="S19" i="37"/>
  <c r="AE19" i="37"/>
  <c r="Y19" i="37"/>
  <c r="AA108" i="42"/>
  <c r="AB108" i="42" s="1"/>
  <c r="Z108" i="42"/>
  <c r="U112" i="33"/>
  <c r="V112" i="33" s="1"/>
  <c r="T112" i="33"/>
  <c r="Z80" i="43"/>
  <c r="AA80" i="43"/>
  <c r="AB80" i="43" s="1"/>
  <c r="AA44" i="37"/>
  <c r="AB44" i="37" s="1"/>
  <c r="Z44" i="37"/>
  <c r="U15" i="37"/>
  <c r="V15" i="37" s="1"/>
  <c r="T15" i="37"/>
  <c r="AF45" i="21"/>
  <c r="AG45" i="21"/>
  <c r="AH45" i="21" s="1"/>
  <c r="AI66" i="37"/>
  <c r="AC66" i="37"/>
  <c r="Q66" i="37"/>
  <c r="W66" i="37"/>
  <c r="AA13" i="42"/>
  <c r="AB13" i="42" s="1"/>
  <c r="Z13" i="42"/>
  <c r="AC32" i="42"/>
  <c r="AI32" i="42"/>
  <c r="Q32" i="42"/>
  <c r="W32" i="42"/>
  <c r="T109" i="33"/>
  <c r="U109" i="33"/>
  <c r="V109" i="33" s="1"/>
  <c r="T110" i="37"/>
  <c r="U110" i="37"/>
  <c r="V110" i="37" s="1"/>
  <c r="AC83" i="37"/>
  <c r="W83" i="37"/>
  <c r="Q83" i="37"/>
  <c r="AI83" i="37"/>
  <c r="U58" i="37"/>
  <c r="V58" i="37" s="1"/>
  <c r="T58" i="37"/>
  <c r="AL109" i="42"/>
  <c r="AM109" i="42"/>
  <c r="AN109" i="42" s="1"/>
  <c r="Z95" i="21"/>
  <c r="AA95" i="21"/>
  <c r="AB95" i="21" s="1"/>
  <c r="AA121" i="36"/>
  <c r="AB121" i="36" s="1"/>
  <c r="Z121" i="36"/>
  <c r="Z73" i="37"/>
  <c r="AA73" i="37"/>
  <c r="AB73" i="37" s="1"/>
  <c r="AK102" i="33"/>
  <c r="AE102" i="33"/>
  <c r="Y102" i="33"/>
  <c r="Q85" i="42"/>
  <c r="AI85" i="42"/>
  <c r="W85" i="42"/>
  <c r="AC85" i="42"/>
  <c r="AK133" i="43"/>
  <c r="AE133" i="43"/>
  <c r="Y133" i="43"/>
  <c r="AE21" i="43"/>
  <c r="S21" i="43"/>
  <c r="Y21" i="43"/>
  <c r="AK21" i="43"/>
  <c r="AE68" i="37"/>
  <c r="AA11" i="43"/>
  <c r="AB11" i="43" s="1"/>
  <c r="Z11" i="43"/>
  <c r="AI20" i="21"/>
  <c r="AC20" i="21"/>
  <c r="Q20" i="21"/>
  <c r="W20" i="21"/>
  <c r="AL107" i="37"/>
  <c r="AM107" i="37"/>
  <c r="AN107" i="37" s="1"/>
  <c r="AG75" i="42"/>
  <c r="AH75" i="42" s="1"/>
  <c r="AF75" i="42"/>
  <c r="AM127" i="33"/>
  <c r="AN127" i="33" s="1"/>
  <c r="AL127" i="33"/>
  <c r="AF63" i="36"/>
  <c r="AG63" i="36"/>
  <c r="AH63" i="36" s="1"/>
  <c r="AA45" i="42"/>
  <c r="AB45" i="42" s="1"/>
  <c r="Z45" i="42"/>
  <c r="AG122" i="42"/>
  <c r="AH122" i="42" s="1"/>
  <c r="AF122" i="42"/>
  <c r="W17" i="43"/>
  <c r="AI17" i="43"/>
  <c r="Q17" i="43"/>
  <c r="AC17" i="43"/>
  <c r="T140" i="37"/>
  <c r="U140" i="37"/>
  <c r="V140" i="37" s="1"/>
  <c r="AK129" i="21"/>
  <c r="AE129" i="21"/>
  <c r="Q129" i="21"/>
  <c r="W129" i="21"/>
  <c r="AI129" i="21"/>
  <c r="AC129" i="21"/>
  <c r="AK99" i="36"/>
  <c r="AE99" i="36"/>
  <c r="S99" i="36"/>
  <c r="Y99" i="36"/>
  <c r="Q65" i="43"/>
  <c r="AI65" i="43"/>
  <c r="W65" i="43"/>
  <c r="AC65" i="43"/>
  <c r="AG73" i="36"/>
  <c r="AH73" i="36" s="1"/>
  <c r="AF73" i="36"/>
  <c r="U124" i="36"/>
  <c r="V124" i="36" s="1"/>
  <c r="T124" i="36"/>
  <c r="AK48" i="21"/>
  <c r="U43" i="43"/>
  <c r="V43" i="43" s="1"/>
  <c r="T43" i="43"/>
  <c r="AC34" i="36"/>
  <c r="Q34" i="36"/>
  <c r="AI34" i="36"/>
  <c r="W34" i="36"/>
  <c r="U85" i="36"/>
  <c r="V85" i="36" s="1"/>
  <c r="T85" i="36"/>
  <c r="U145" i="42"/>
  <c r="V145" i="42" s="1"/>
  <c r="T145" i="42"/>
  <c r="Q19" i="37"/>
  <c r="W19" i="37"/>
  <c r="AI19" i="37"/>
  <c r="AC19" i="37"/>
  <c r="AF89" i="36"/>
  <c r="AG89" i="36"/>
  <c r="AH89" i="36" s="1"/>
  <c r="AK75" i="43"/>
  <c r="AL73" i="21"/>
  <c r="AM73" i="21"/>
  <c r="AN73" i="21" s="1"/>
  <c r="W82" i="37"/>
  <c r="AC82" i="37"/>
  <c r="Q82" i="37"/>
  <c r="AI82" i="37"/>
  <c r="AF76" i="43"/>
  <c r="AG76" i="43"/>
  <c r="AH76" i="43" s="1"/>
  <c r="Y69" i="37"/>
  <c r="S69" i="37"/>
  <c r="AK69" i="37"/>
  <c r="AE69" i="37"/>
  <c r="AA47" i="37"/>
  <c r="AB47" i="37" s="1"/>
  <c r="Z47" i="37"/>
  <c r="Z130" i="21"/>
  <c r="AA130" i="21"/>
  <c r="AB130" i="21" s="1"/>
  <c r="AA73" i="42"/>
  <c r="AB73" i="42" s="1"/>
  <c r="Z73" i="42"/>
  <c r="AA141" i="36"/>
  <c r="AB141" i="36" s="1"/>
  <c r="Z141" i="36"/>
  <c r="AL139" i="42"/>
  <c r="AM139" i="42"/>
  <c r="AN139" i="42" s="1"/>
  <c r="Z79" i="43"/>
  <c r="AA79" i="43"/>
  <c r="AB79" i="43" s="1"/>
  <c r="S65" i="33"/>
  <c r="AK65" i="33"/>
  <c r="AE65" i="33"/>
  <c r="Y65" i="33"/>
  <c r="AM75" i="37"/>
  <c r="AN75" i="37" s="1"/>
  <c r="AL75" i="37"/>
  <c r="Z89" i="42"/>
  <c r="AA89" i="42"/>
  <c r="AB89" i="42" s="1"/>
  <c r="AL10" i="36"/>
  <c r="AM10" i="36"/>
  <c r="AN10" i="36" s="1"/>
  <c r="AF31" i="33"/>
  <c r="AG31" i="33"/>
  <c r="AH31" i="33" s="1"/>
  <c r="AM53" i="36"/>
  <c r="AN53" i="36" s="1"/>
  <c r="AL53" i="36"/>
  <c r="T144" i="36"/>
  <c r="U144" i="36"/>
  <c r="V144" i="36" s="1"/>
  <c r="AG125" i="43"/>
  <c r="AH125" i="43" s="1"/>
  <c r="AF125" i="43"/>
  <c r="AL59" i="21"/>
  <c r="AM59" i="21"/>
  <c r="AN59" i="21" s="1"/>
  <c r="AF30" i="42"/>
  <c r="AG30" i="42"/>
  <c r="AH30" i="42" s="1"/>
  <c r="AA143" i="37"/>
  <c r="AB143" i="37" s="1"/>
  <c r="Z143" i="37"/>
  <c r="AG134" i="33"/>
  <c r="AH134" i="33" s="1"/>
  <c r="AF134" i="33"/>
  <c r="AG112" i="42"/>
  <c r="AH112" i="42" s="1"/>
  <c r="AF112" i="42"/>
  <c r="T94" i="33"/>
  <c r="U94" i="33"/>
  <c r="V94" i="33" s="1"/>
  <c r="Z73" i="43"/>
  <c r="AA73" i="43"/>
  <c r="AB73" i="43" s="1"/>
  <c r="AL43" i="21"/>
  <c r="AM43" i="21"/>
  <c r="AN43" i="21" s="1"/>
  <c r="T109" i="21"/>
  <c r="U109" i="21"/>
  <c r="V109" i="21" s="1"/>
  <c r="AM57" i="42"/>
  <c r="AN57" i="42" s="1"/>
  <c r="AL57" i="42"/>
  <c r="AA17" i="36"/>
  <c r="AB17" i="36" s="1"/>
  <c r="Z17" i="36"/>
  <c r="U17" i="21"/>
  <c r="T17" i="21"/>
  <c r="Z101" i="21"/>
  <c r="AA101" i="21"/>
  <c r="AB101" i="21" s="1"/>
  <c r="T54" i="42"/>
  <c r="U54" i="42"/>
  <c r="V54" i="42" s="1"/>
  <c r="Z47" i="21"/>
  <c r="AA47" i="21"/>
  <c r="AB47" i="21" s="1"/>
  <c r="AF140" i="33"/>
  <c r="AG140" i="33"/>
  <c r="AH140" i="33" s="1"/>
  <c r="Q50" i="37"/>
  <c r="AI50" i="37"/>
  <c r="AC50" i="37"/>
  <c r="W50" i="37"/>
  <c r="Z64" i="33"/>
  <c r="AA64" i="33"/>
  <c r="AB64" i="33" s="1"/>
  <c r="AA121" i="37"/>
  <c r="AB121" i="37" s="1"/>
  <c r="Z121" i="37"/>
  <c r="AI149" i="42"/>
  <c r="W149" i="42"/>
  <c r="AC149" i="42"/>
  <c r="Q149" i="42"/>
  <c r="T57" i="36"/>
  <c r="U57" i="36"/>
  <c r="V57" i="36" s="1"/>
  <c r="S118" i="42"/>
  <c r="Y118" i="42"/>
  <c r="AK118" i="42"/>
  <c r="AL106" i="42"/>
  <c r="AM106" i="42"/>
  <c r="AN106" i="42" s="1"/>
  <c r="T91" i="33"/>
  <c r="U91" i="33"/>
  <c r="V91" i="33" s="1"/>
  <c r="AG67" i="36"/>
  <c r="AH67" i="36" s="1"/>
  <c r="AF67" i="36"/>
  <c r="AG14" i="37"/>
  <c r="AH14" i="37" s="1"/>
  <c r="AF14" i="37"/>
  <c r="AK16" i="42"/>
  <c r="AE16" i="42"/>
  <c r="S16" i="42"/>
  <c r="Y16" i="42"/>
  <c r="AC66" i="36"/>
  <c r="AI66" i="36"/>
  <c r="W66" i="36"/>
  <c r="Q66" i="36"/>
  <c r="W98" i="33"/>
  <c r="AI98" i="33"/>
  <c r="AC98" i="33"/>
  <c r="Q98" i="33"/>
  <c r="AI81" i="43"/>
  <c r="AC81" i="43"/>
  <c r="W81" i="43"/>
  <c r="Q81" i="43"/>
  <c r="W20" i="43"/>
  <c r="Q20" i="43"/>
  <c r="AI20" i="43"/>
  <c r="AC20" i="43"/>
  <c r="U84" i="21"/>
  <c r="V84" i="21" s="1"/>
  <c r="T84" i="21"/>
  <c r="Z54" i="43"/>
  <c r="AA54" i="43"/>
  <c r="AB54" i="43" s="1"/>
  <c r="U94" i="21"/>
  <c r="V94" i="21" s="1"/>
  <c r="T94" i="21"/>
  <c r="AA25" i="37"/>
  <c r="AB25" i="37" s="1"/>
  <c r="Z25" i="37"/>
  <c r="T47" i="37"/>
  <c r="U47" i="37"/>
  <c r="V47" i="37" s="1"/>
  <c r="AM79" i="43"/>
  <c r="AN79" i="43" s="1"/>
  <c r="AL79" i="43"/>
  <c r="U57" i="21"/>
  <c r="V57" i="21" s="1"/>
  <c r="T57" i="21"/>
  <c r="AF73" i="43"/>
  <c r="AG73" i="43"/>
  <c r="AH73" i="43" s="1"/>
  <c r="AM14" i="21"/>
  <c r="AN14" i="21" s="1"/>
  <c r="AL14" i="21"/>
  <c r="AC50" i="36"/>
  <c r="Q50" i="36"/>
  <c r="AI50" i="36"/>
  <c r="W50" i="36"/>
  <c r="S34" i="21"/>
  <c r="AK34" i="21"/>
  <c r="AG63" i="43"/>
  <c r="AH63" i="43" s="1"/>
  <c r="AF63" i="43"/>
  <c r="AG61" i="36"/>
  <c r="AH61" i="36" s="1"/>
  <c r="AF61" i="36"/>
  <c r="AF59" i="33"/>
  <c r="AG59" i="33"/>
  <c r="AH59" i="33" s="1"/>
  <c r="AG61" i="37"/>
  <c r="AH61" i="37" s="1"/>
  <c r="AF61" i="37"/>
  <c r="Z57" i="36"/>
  <c r="AA57" i="36"/>
  <c r="AB57" i="36" s="1"/>
  <c r="AG127" i="36"/>
  <c r="AH127" i="36" s="1"/>
  <c r="AF127" i="36"/>
  <c r="AM63" i="33"/>
  <c r="AN63" i="33" s="1"/>
  <c r="AL63" i="33"/>
  <c r="Z92" i="43"/>
  <c r="AA92" i="43"/>
  <c r="AB92" i="43" s="1"/>
  <c r="AE84" i="33"/>
  <c r="Y84" i="33"/>
  <c r="AK84" i="33"/>
  <c r="AL139" i="21"/>
  <c r="AM139" i="21"/>
  <c r="AN139" i="21" s="1"/>
  <c r="AE17" i="37"/>
  <c r="S17" i="37"/>
  <c r="AM74" i="36"/>
  <c r="AN74" i="36" s="1"/>
  <c r="AL74" i="36"/>
  <c r="AM108" i="21"/>
  <c r="AN108" i="21" s="1"/>
  <c r="AL108" i="21"/>
  <c r="AK33" i="36"/>
  <c r="AE33" i="36"/>
  <c r="AK64" i="37"/>
  <c r="Z81" i="21"/>
  <c r="AA81" i="21"/>
  <c r="AB81" i="21" s="1"/>
  <c r="Z128" i="43"/>
  <c r="AA128" i="43"/>
  <c r="AB128" i="43" s="1"/>
  <c r="T94" i="42"/>
  <c r="U94" i="42"/>
  <c r="V94" i="42" s="1"/>
  <c r="AC100" i="37"/>
  <c r="W100" i="37"/>
  <c r="Q100" i="37"/>
  <c r="AI100" i="37"/>
  <c r="T48" i="42"/>
  <c r="U48" i="42"/>
  <c r="V48" i="42" s="1"/>
  <c r="AF90" i="37"/>
  <c r="AG90" i="37"/>
  <c r="AH90" i="37" s="1"/>
  <c r="AL11" i="21"/>
  <c r="AM11" i="21"/>
  <c r="AN11" i="21" s="1"/>
  <c r="AA28" i="21"/>
  <c r="AB28" i="21" s="1"/>
  <c r="Z28" i="21"/>
  <c r="AK98" i="37"/>
  <c r="T90" i="21"/>
  <c r="U90" i="21"/>
  <c r="V90" i="21" s="1"/>
  <c r="Z126" i="43"/>
  <c r="AA126" i="43"/>
  <c r="AB126" i="43" s="1"/>
  <c r="T14" i="42"/>
  <c r="U14" i="42"/>
  <c r="V14" i="42" s="1"/>
  <c r="AC67" i="21"/>
  <c r="W67" i="21"/>
  <c r="AI67" i="21"/>
  <c r="Q67" i="21"/>
  <c r="AG31" i="37"/>
  <c r="AH31" i="37" s="1"/>
  <c r="AF31" i="37"/>
  <c r="U110" i="36"/>
  <c r="V110" i="36" s="1"/>
  <c r="T110" i="36"/>
  <c r="U129" i="43"/>
  <c r="V129" i="43" s="1"/>
  <c r="T129" i="43"/>
  <c r="AM59" i="37"/>
  <c r="AN59" i="37" s="1"/>
  <c r="AL59" i="37"/>
  <c r="AK148" i="42"/>
  <c r="AE148" i="42"/>
  <c r="S148" i="42"/>
  <c r="AG112" i="36"/>
  <c r="AH112" i="36" s="1"/>
  <c r="AF112" i="36"/>
  <c r="T124" i="43"/>
  <c r="U124" i="43"/>
  <c r="V124" i="43" s="1"/>
  <c r="Z101" i="43"/>
  <c r="AA101" i="43"/>
  <c r="AB101" i="43" s="1"/>
  <c r="AF33" i="33"/>
  <c r="AG33" i="33"/>
  <c r="AH33" i="33" s="1"/>
  <c r="Q33" i="36"/>
  <c r="AC33" i="36"/>
  <c r="W33" i="36"/>
  <c r="AI33" i="36"/>
  <c r="U57" i="37"/>
  <c r="V57" i="37" s="1"/>
  <c r="T57" i="37"/>
  <c r="W37" i="21"/>
  <c r="AC37" i="21"/>
  <c r="AI37" i="21"/>
  <c r="Q37" i="21"/>
  <c r="AA46" i="37"/>
  <c r="AB46" i="37" s="1"/>
  <c r="Z46" i="37"/>
  <c r="AF126" i="42"/>
  <c r="AG126" i="42"/>
  <c r="AH126" i="42" s="1"/>
  <c r="AF109" i="36"/>
  <c r="AG109" i="36"/>
  <c r="AH109" i="36" s="1"/>
  <c r="AF8" i="36"/>
  <c r="AG8" i="36"/>
  <c r="AH8" i="36" s="1"/>
  <c r="AG106" i="42"/>
  <c r="AH106" i="42" s="1"/>
  <c r="AF106" i="42"/>
  <c r="U45" i="37"/>
  <c r="V45" i="37" s="1"/>
  <c r="T45" i="37"/>
  <c r="T53" i="21"/>
  <c r="AL37" i="42"/>
  <c r="AM37" i="42"/>
  <c r="AN37" i="42" s="1"/>
  <c r="Y113" i="36"/>
  <c r="S113" i="36"/>
  <c r="AK113" i="36"/>
  <c r="Y147" i="33"/>
  <c r="AK147" i="33"/>
  <c r="S147" i="33"/>
  <c r="S98" i="21"/>
  <c r="W146" i="37"/>
  <c r="AI146" i="37"/>
  <c r="Q146" i="37"/>
  <c r="AC146" i="37"/>
  <c r="AL91" i="33"/>
  <c r="AM91" i="33"/>
  <c r="AN91" i="33" s="1"/>
  <c r="AA77" i="43"/>
  <c r="AB77" i="43" s="1"/>
  <c r="Z77" i="43"/>
  <c r="AI117" i="21"/>
  <c r="W117" i="21"/>
  <c r="Q117" i="21"/>
  <c r="AC117" i="21"/>
  <c r="AI118" i="33"/>
  <c r="W118" i="33"/>
  <c r="AC118" i="33"/>
  <c r="Q118" i="33"/>
  <c r="Q129" i="42"/>
  <c r="AI129" i="42"/>
  <c r="W129" i="42"/>
  <c r="AC129" i="42"/>
  <c r="W129" i="33"/>
  <c r="AC129" i="33"/>
  <c r="AI129" i="33"/>
  <c r="Q129" i="33"/>
  <c r="AM79" i="21"/>
  <c r="AN79" i="21" s="1"/>
  <c r="AL79" i="21"/>
  <c r="AM142" i="42"/>
  <c r="AN142" i="42" s="1"/>
  <c r="AL142" i="42"/>
  <c r="AA30" i="21"/>
  <c r="AB30" i="21" s="1"/>
  <c r="Z30" i="21"/>
  <c r="T141" i="21"/>
  <c r="U141" i="21"/>
  <c r="V141" i="21" s="1"/>
  <c r="AI18" i="21"/>
  <c r="W18" i="21"/>
  <c r="AC18" i="21"/>
  <c r="Q18" i="21"/>
  <c r="W134" i="43"/>
  <c r="AI134" i="43"/>
  <c r="AC134" i="43"/>
  <c r="Q134" i="43"/>
  <c r="Q49" i="21"/>
  <c r="AI49" i="21"/>
  <c r="AC49" i="21"/>
  <c r="W49" i="21"/>
  <c r="AM42" i="37"/>
  <c r="AN42" i="37" s="1"/>
  <c r="AL42" i="37"/>
  <c r="U140" i="36"/>
  <c r="V140" i="36" s="1"/>
  <c r="T140" i="36"/>
  <c r="AC68" i="37"/>
  <c r="W68" i="37"/>
  <c r="Q68" i="37"/>
  <c r="AI68" i="37"/>
  <c r="AM79" i="36"/>
  <c r="AN79" i="36" s="1"/>
  <c r="AL79" i="36"/>
  <c r="AI147" i="33"/>
  <c r="W147" i="33"/>
  <c r="AC147" i="33"/>
  <c r="Q147" i="33"/>
  <c r="AF95" i="36"/>
  <c r="AG95" i="36"/>
  <c r="AH95" i="36" s="1"/>
  <c r="AI115" i="37"/>
  <c r="AC115" i="37"/>
  <c r="Q115" i="37"/>
  <c r="W115" i="37"/>
  <c r="W115" i="33"/>
  <c r="AC115" i="33"/>
  <c r="Q115" i="33"/>
  <c r="AI115" i="33"/>
  <c r="AL12" i="42"/>
  <c r="AM12" i="42"/>
  <c r="AN12" i="42" s="1"/>
  <c r="Y69" i="36"/>
  <c r="AE69" i="36"/>
  <c r="AK69" i="36"/>
  <c r="AK80" i="33"/>
  <c r="AG38" i="36"/>
  <c r="AH38" i="36" s="1"/>
  <c r="AF38" i="36"/>
  <c r="AC113" i="21"/>
  <c r="W113" i="21"/>
  <c r="AI113" i="21"/>
  <c r="Q113" i="21"/>
  <c r="AE32" i="43"/>
  <c r="Y32" i="43"/>
  <c r="S32" i="43"/>
  <c r="AK32" i="43"/>
  <c r="AA29" i="36"/>
  <c r="AB29" i="36" s="1"/>
  <c r="Z29" i="36"/>
  <c r="AC16" i="42"/>
  <c r="Q16" i="42"/>
  <c r="W16" i="42"/>
  <c r="AI16" i="42"/>
  <c r="W84" i="36"/>
  <c r="AI84" i="36"/>
  <c r="Q84" i="36"/>
  <c r="AC84" i="36"/>
  <c r="AI84" i="43"/>
  <c r="AC84" i="43"/>
  <c r="Q84" i="43"/>
  <c r="W84" i="43"/>
  <c r="AL124" i="33"/>
  <c r="AM124" i="33"/>
  <c r="AN124" i="33" s="1"/>
  <c r="AL94" i="37"/>
  <c r="AM94" i="37"/>
  <c r="AN94" i="37" s="1"/>
  <c r="AG79" i="37"/>
  <c r="AH79" i="37" s="1"/>
  <c r="AF79" i="37"/>
  <c r="S116" i="21"/>
  <c r="AK116" i="21"/>
  <c r="AE116" i="21"/>
  <c r="AE14" i="37"/>
  <c r="Q52" i="43"/>
  <c r="W52" i="43"/>
  <c r="AI52" i="43"/>
  <c r="AC52" i="43"/>
  <c r="S150" i="37"/>
  <c r="AE150" i="37"/>
  <c r="AK150" i="37"/>
  <c r="T124" i="37"/>
  <c r="U124" i="37"/>
  <c r="V124" i="37" s="1"/>
  <c r="AL105" i="43"/>
  <c r="AM105" i="43"/>
  <c r="AN105" i="43" s="1"/>
  <c r="AE34" i="37"/>
  <c r="T44" i="42"/>
  <c r="U44" i="42"/>
  <c r="V44" i="42" s="1"/>
  <c r="AK66" i="37"/>
  <c r="S66" i="37"/>
  <c r="AE66" i="37"/>
  <c r="Y66" i="37"/>
  <c r="AK86" i="36"/>
  <c r="AE86" i="36"/>
  <c r="S86" i="36"/>
  <c r="Y86" i="36"/>
  <c r="T105" i="21"/>
  <c r="U105" i="21"/>
  <c r="V105" i="21" s="1"/>
  <c r="AI97" i="21"/>
  <c r="Q97" i="21"/>
  <c r="W97" i="21"/>
  <c r="AC97" i="21"/>
  <c r="AG122" i="43"/>
  <c r="AH122" i="43" s="1"/>
  <c r="AF122" i="43"/>
  <c r="AA44" i="21"/>
  <c r="AB44" i="21" s="1"/>
  <c r="Z44" i="21"/>
  <c r="Z45" i="33"/>
  <c r="AA45" i="33"/>
  <c r="AB45" i="33" s="1"/>
  <c r="AM28" i="42"/>
  <c r="AN28" i="42" s="1"/>
  <c r="AL28" i="42"/>
  <c r="AK69" i="33"/>
  <c r="S69" i="33"/>
  <c r="Y69" i="33"/>
  <c r="AE69" i="33"/>
  <c r="T108" i="42"/>
  <c r="U108" i="42"/>
  <c r="V108" i="42" s="1"/>
  <c r="U80" i="43"/>
  <c r="V80" i="43" s="1"/>
  <c r="T80" i="43"/>
  <c r="AG44" i="37"/>
  <c r="AH44" i="37" s="1"/>
  <c r="AF44" i="37"/>
  <c r="AA15" i="37"/>
  <c r="AB15" i="37" s="1"/>
  <c r="Z15" i="37"/>
  <c r="AK99" i="42"/>
  <c r="AE99" i="42"/>
  <c r="Y99" i="42"/>
  <c r="S99" i="42"/>
  <c r="T13" i="42"/>
  <c r="U13" i="42"/>
  <c r="V13" i="42" s="1"/>
  <c r="S49" i="37"/>
  <c r="AK49" i="37"/>
  <c r="Y49" i="37"/>
  <c r="AE49" i="37"/>
  <c r="AI32" i="21"/>
  <c r="Q32" i="21"/>
  <c r="AC32" i="21"/>
  <c r="W32" i="21"/>
  <c r="Z109" i="33"/>
  <c r="AA109" i="33"/>
  <c r="AB109" i="33" s="1"/>
  <c r="Q83" i="43"/>
  <c r="W83" i="43"/>
  <c r="AI83" i="43"/>
  <c r="AC83" i="43"/>
  <c r="AG58" i="37"/>
  <c r="AH58" i="37" s="1"/>
  <c r="AF58" i="37"/>
  <c r="T109" i="42"/>
  <c r="U109" i="42"/>
  <c r="V109" i="42" s="1"/>
  <c r="U95" i="21"/>
  <c r="V95" i="21" s="1"/>
  <c r="T95" i="21"/>
  <c r="T121" i="36"/>
  <c r="U121" i="36"/>
  <c r="V121" i="36" s="1"/>
  <c r="U33" i="21"/>
  <c r="V33" i="21" s="1"/>
  <c r="T33" i="21"/>
  <c r="AG73" i="37"/>
  <c r="AH73" i="37" s="1"/>
  <c r="AF73" i="37"/>
  <c r="AM18" i="36"/>
  <c r="AN18" i="36" s="1"/>
  <c r="AL18" i="36"/>
  <c r="W85" i="36"/>
  <c r="AC85" i="36"/>
  <c r="AI85" i="36"/>
  <c r="Q85" i="36"/>
  <c r="AC81" i="33"/>
  <c r="AI81" i="33"/>
  <c r="Q81" i="33"/>
  <c r="W81" i="33"/>
  <c r="AK150" i="33"/>
  <c r="AE150" i="33"/>
  <c r="AE131" i="37"/>
  <c r="T11" i="43"/>
  <c r="U11" i="43"/>
  <c r="V11" i="43" s="1"/>
  <c r="AL92" i="21"/>
  <c r="AM92" i="21"/>
  <c r="AN92" i="21" s="1"/>
  <c r="Y102" i="42"/>
  <c r="AE102" i="42"/>
  <c r="S102" i="42"/>
  <c r="S52" i="37"/>
  <c r="Y52" i="37"/>
  <c r="Y147" i="37"/>
  <c r="AK147" i="37"/>
  <c r="S147" i="37"/>
  <c r="T45" i="42"/>
  <c r="U45" i="42"/>
  <c r="V45" i="42" s="1"/>
  <c r="AM122" i="42"/>
  <c r="AN122" i="42" s="1"/>
  <c r="AL122" i="42"/>
  <c r="W17" i="42"/>
  <c r="AI17" i="42"/>
  <c r="Q17" i="42"/>
  <c r="AC17" i="42"/>
  <c r="AE130" i="43"/>
  <c r="S130" i="43"/>
  <c r="AK130" i="43"/>
  <c r="Z140" i="37"/>
  <c r="AA140" i="37"/>
  <c r="AB140" i="37" s="1"/>
  <c r="Z15" i="33"/>
  <c r="AA15" i="33"/>
  <c r="AB15" i="33" s="1"/>
  <c r="AF38" i="21"/>
  <c r="AG38" i="21"/>
  <c r="AH38" i="21" s="1"/>
  <c r="AC65" i="21"/>
  <c r="Q65" i="21"/>
  <c r="AI65" i="21"/>
  <c r="W65" i="21"/>
  <c r="AE31" i="36"/>
  <c r="U127" i="42"/>
  <c r="V127" i="42" s="1"/>
  <c r="T127" i="42"/>
  <c r="T73" i="36"/>
  <c r="U73" i="36"/>
  <c r="V73" i="36" s="1"/>
  <c r="AL124" i="36"/>
  <c r="AM124" i="36"/>
  <c r="AN124" i="36" s="1"/>
  <c r="T122" i="21"/>
  <c r="U122" i="21"/>
  <c r="V122" i="21" s="1"/>
  <c r="Y113" i="43"/>
  <c r="S113" i="43"/>
  <c r="AF48" i="21"/>
  <c r="AG48" i="21"/>
  <c r="AH48" i="21" s="1"/>
  <c r="Z149" i="36"/>
  <c r="AA149" i="36"/>
  <c r="AB149" i="36" s="1"/>
  <c r="AL149" i="37"/>
  <c r="AM149" i="37"/>
  <c r="AN149" i="37" s="1"/>
  <c r="AK150" i="42"/>
  <c r="AE150" i="42"/>
  <c r="Y150" i="42"/>
  <c r="S150" i="42"/>
  <c r="AG43" i="43"/>
  <c r="AH43" i="43" s="1"/>
  <c r="AF43" i="43"/>
  <c r="AC34" i="33"/>
  <c r="Q34" i="33"/>
  <c r="AI34" i="33"/>
  <c r="W34" i="33"/>
  <c r="AG25" i="37"/>
  <c r="AH25" i="37" s="1"/>
  <c r="AF25" i="37"/>
  <c r="AK82" i="42"/>
  <c r="AE82" i="42"/>
  <c r="Y82" i="42"/>
  <c r="AG145" i="42"/>
  <c r="AH145" i="42" s="1"/>
  <c r="AF145" i="42"/>
  <c r="AA76" i="43"/>
  <c r="AB76" i="43" s="1"/>
  <c r="Z76" i="43"/>
  <c r="AA45" i="43"/>
  <c r="AB45" i="43" s="1"/>
  <c r="Z45" i="43"/>
  <c r="AL47" i="37"/>
  <c r="AM47" i="37"/>
  <c r="AN47" i="37" s="1"/>
  <c r="T73" i="42"/>
  <c r="U73" i="42"/>
  <c r="V73" i="42" s="1"/>
  <c r="AG131" i="42"/>
  <c r="AH131" i="42" s="1"/>
  <c r="AF131" i="42"/>
  <c r="U141" i="36"/>
  <c r="V141" i="36" s="1"/>
  <c r="T141" i="36"/>
  <c r="AI99" i="36"/>
  <c r="AC99" i="36"/>
  <c r="W99" i="36"/>
  <c r="Q99" i="36"/>
  <c r="AF79" i="43"/>
  <c r="AG79" i="43"/>
  <c r="AH79" i="43" s="1"/>
  <c r="AI134" i="37"/>
  <c r="Q134" i="37"/>
  <c r="AC134" i="37"/>
  <c r="W134" i="37"/>
  <c r="W148" i="42"/>
  <c r="AI148" i="42"/>
  <c r="Q148" i="42"/>
  <c r="AC148" i="42"/>
  <c r="AK93" i="37"/>
  <c r="Q70" i="37"/>
  <c r="W70" i="37"/>
  <c r="AI70" i="37"/>
  <c r="AC70" i="37"/>
  <c r="W70" i="33"/>
  <c r="AC70" i="33"/>
  <c r="Q70" i="33"/>
  <c r="AI70" i="33"/>
  <c r="AG117" i="37"/>
  <c r="AH117" i="37" s="1"/>
  <c r="AF117" i="37"/>
  <c r="Z75" i="37"/>
  <c r="AA75" i="37"/>
  <c r="AB75" i="37" s="1"/>
  <c r="AG89" i="42"/>
  <c r="AH89" i="42" s="1"/>
  <c r="AF89" i="42"/>
  <c r="T81" i="33"/>
  <c r="U81" i="33"/>
  <c r="V81" i="33" s="1"/>
  <c r="Z57" i="21"/>
  <c r="AA57" i="21"/>
  <c r="AB57" i="21" s="1"/>
  <c r="AL31" i="33"/>
  <c r="AM31" i="33"/>
  <c r="AN31" i="33" s="1"/>
  <c r="AA144" i="36"/>
  <c r="AB144" i="36" s="1"/>
  <c r="Z144" i="36"/>
  <c r="AA90" i="33"/>
  <c r="AB90" i="33" s="1"/>
  <c r="Z90" i="33"/>
  <c r="AM125" i="43"/>
  <c r="AN125" i="43" s="1"/>
  <c r="AL125" i="43"/>
  <c r="AL30" i="42"/>
  <c r="AM30" i="42"/>
  <c r="AN30" i="42" s="1"/>
  <c r="AG143" i="37"/>
  <c r="AH143" i="37" s="1"/>
  <c r="AF143" i="37"/>
  <c r="AM51" i="36"/>
  <c r="AN51" i="36" s="1"/>
  <c r="AL51" i="36"/>
  <c r="AL112" i="42"/>
  <c r="AM112" i="42"/>
  <c r="AN112" i="42" s="1"/>
  <c r="AM94" i="33"/>
  <c r="AN94" i="33" s="1"/>
  <c r="AL94" i="33"/>
  <c r="AL73" i="43"/>
  <c r="AM73" i="43"/>
  <c r="AN73" i="43" s="1"/>
  <c r="AG43" i="21"/>
  <c r="AH43" i="21" s="1"/>
  <c r="AF43" i="21"/>
  <c r="Z109" i="21"/>
  <c r="AA109" i="21"/>
  <c r="AB109" i="21" s="1"/>
  <c r="Z57" i="42"/>
  <c r="AA57" i="42"/>
  <c r="AB57" i="42" s="1"/>
  <c r="AF14" i="21"/>
  <c r="AG14" i="21"/>
  <c r="AH14" i="21" s="1"/>
  <c r="Z91" i="37"/>
  <c r="AA91" i="37"/>
  <c r="AB91" i="37" s="1"/>
  <c r="U27" i="36"/>
  <c r="V27" i="36" s="1"/>
  <c r="T27" i="36"/>
  <c r="AN37" i="36"/>
  <c r="AL140" i="33"/>
  <c r="AM140" i="33"/>
  <c r="AN140" i="33" s="1"/>
  <c r="AC50" i="21"/>
  <c r="AI50" i="21"/>
  <c r="Q50" i="21"/>
  <c r="W50" i="21"/>
  <c r="T64" i="33"/>
  <c r="U64" i="33"/>
  <c r="V64" i="33" s="1"/>
  <c r="T121" i="37"/>
  <c r="U121" i="37"/>
  <c r="V121" i="37" s="1"/>
  <c r="AM83" i="37"/>
  <c r="AN83" i="37" s="1"/>
  <c r="AL83" i="37"/>
  <c r="Q149" i="37"/>
  <c r="W149" i="37"/>
  <c r="AC149" i="37"/>
  <c r="AI149" i="37"/>
  <c r="AF121" i="37"/>
  <c r="AG121" i="37"/>
  <c r="AH121" i="37" s="1"/>
  <c r="Q148" i="21"/>
  <c r="AC148" i="21"/>
  <c r="W148" i="21"/>
  <c r="AI148" i="21"/>
  <c r="W149" i="36"/>
  <c r="Q149" i="36"/>
  <c r="AC149" i="36"/>
  <c r="AI149" i="36"/>
  <c r="AG146" i="33"/>
  <c r="AH146" i="33" s="1"/>
  <c r="AF146" i="33"/>
  <c r="AL59" i="33"/>
  <c r="AM59" i="33"/>
  <c r="AN59" i="33" s="1"/>
  <c r="Z96" i="33"/>
  <c r="AA96" i="33"/>
  <c r="AB96" i="33" s="1"/>
  <c r="U128" i="43"/>
  <c r="V128" i="43" s="1"/>
  <c r="T128" i="43"/>
  <c r="Z25" i="33"/>
  <c r="AA25" i="33"/>
  <c r="AB25" i="33" s="1"/>
  <c r="U28" i="21"/>
  <c r="V28" i="21" s="1"/>
  <c r="T28" i="21"/>
  <c r="Z77" i="21"/>
  <c r="AA77" i="21"/>
  <c r="AB77" i="21" s="1"/>
  <c r="AA76" i="42"/>
  <c r="AB76" i="42" s="1"/>
  <c r="Z76" i="42"/>
  <c r="Q115" i="43"/>
  <c r="AI115" i="43"/>
  <c r="W115" i="43"/>
  <c r="AC115" i="43"/>
  <c r="W116" i="33"/>
  <c r="Q116" i="33"/>
  <c r="AC116" i="33"/>
  <c r="AI116" i="33"/>
  <c r="AI150" i="37"/>
  <c r="W150" i="37"/>
  <c r="AC150" i="37"/>
  <c r="Q150" i="37"/>
  <c r="AK81" i="37"/>
  <c r="Y81" i="37"/>
  <c r="AE81" i="37"/>
  <c r="S81" i="37"/>
  <c r="AE68" i="36"/>
  <c r="AK68" i="36"/>
  <c r="S68" i="36"/>
  <c r="Y68" i="36"/>
  <c r="Q84" i="42"/>
  <c r="AI84" i="42"/>
  <c r="AC84" i="42"/>
  <c r="W84" i="42"/>
  <c r="AM80" i="37"/>
  <c r="AN80" i="37" s="1"/>
  <c r="AL80" i="37"/>
  <c r="AG28" i="42"/>
  <c r="AH28" i="42" s="1"/>
  <c r="AF28" i="42"/>
  <c r="AC54" i="37"/>
  <c r="AI54" i="37"/>
  <c r="W54" i="37"/>
  <c r="Q54" i="37"/>
  <c r="AL73" i="37"/>
  <c r="AM73" i="37"/>
  <c r="AN73" i="37" s="1"/>
  <c r="AK134" i="42"/>
  <c r="S134" i="42"/>
  <c r="AE134" i="42"/>
  <c r="Z44" i="43"/>
  <c r="AA44" i="43"/>
  <c r="AB44" i="43" s="1"/>
  <c r="W65" i="36"/>
  <c r="Q65" i="36"/>
  <c r="AC65" i="36"/>
  <c r="AI65" i="36"/>
  <c r="W34" i="37"/>
  <c r="AI34" i="37"/>
  <c r="AC34" i="37"/>
  <c r="Q34" i="37"/>
  <c r="U45" i="43"/>
  <c r="V45" i="43" s="1"/>
  <c r="T45" i="43"/>
  <c r="AI99" i="42"/>
  <c r="W99" i="42"/>
  <c r="AC99" i="42"/>
  <c r="Q99" i="42"/>
  <c r="Z123" i="36"/>
  <c r="AA123" i="36"/>
  <c r="AB123" i="36" s="1"/>
  <c r="AL70" i="42"/>
  <c r="AM70" i="42"/>
  <c r="AN70" i="42" s="1"/>
  <c r="T90" i="33"/>
  <c r="U90" i="33"/>
  <c r="V90" i="33" s="1"/>
  <c r="AG109" i="21"/>
  <c r="AH109" i="21" s="1"/>
  <c r="AF109" i="21"/>
  <c r="AG91" i="37"/>
  <c r="AH91" i="37" s="1"/>
  <c r="AF91" i="37"/>
  <c r="AF27" i="36"/>
  <c r="AG27" i="36"/>
  <c r="AH27" i="36" s="1"/>
  <c r="AK130" i="36"/>
  <c r="Y130" i="36"/>
  <c r="AG64" i="33"/>
  <c r="AH64" i="33" s="1"/>
  <c r="AF64" i="33"/>
  <c r="AE146" i="21"/>
  <c r="AK146" i="21"/>
  <c r="S146" i="21"/>
  <c r="AG57" i="36"/>
  <c r="AH57" i="36" s="1"/>
  <c r="AF57" i="36"/>
  <c r="Z30" i="37"/>
  <c r="AA30" i="37"/>
  <c r="AB30" i="37" s="1"/>
  <c r="AI135" i="43"/>
  <c r="Q135" i="43"/>
  <c r="AC135" i="43"/>
  <c r="W135" i="43"/>
  <c r="AK150" i="21"/>
  <c r="AE150" i="21"/>
  <c r="Y150" i="21"/>
  <c r="S150" i="21"/>
  <c r="Y66" i="21"/>
  <c r="S66" i="21"/>
  <c r="AE66" i="21"/>
  <c r="T11" i="33"/>
  <c r="U11" i="33"/>
  <c r="V11" i="33" s="1"/>
  <c r="AM96" i="33"/>
  <c r="AN96" i="33" s="1"/>
  <c r="AL96" i="33"/>
  <c r="AK132" i="42"/>
  <c r="S132" i="42"/>
  <c r="AA64" i="37"/>
  <c r="AB64" i="37" s="1"/>
  <c r="Z64" i="37"/>
  <c r="AM25" i="43"/>
  <c r="AN25" i="43" s="1"/>
  <c r="AL25" i="43"/>
  <c r="AM128" i="43"/>
  <c r="AN128" i="43" s="1"/>
  <c r="AL128" i="43"/>
  <c r="Z106" i="33"/>
  <c r="AA106" i="33"/>
  <c r="AB106" i="33" s="1"/>
  <c r="Y94" i="42"/>
  <c r="T25" i="33"/>
  <c r="U25" i="33"/>
  <c r="V25" i="33" s="1"/>
  <c r="W100" i="36"/>
  <c r="AC100" i="36"/>
  <c r="Q100" i="36"/>
  <c r="AI100" i="36"/>
  <c r="W100" i="33"/>
  <c r="AI100" i="33"/>
  <c r="Q100" i="33"/>
  <c r="AC100" i="33"/>
  <c r="AL48" i="42"/>
  <c r="AM48" i="42"/>
  <c r="AN48" i="42" s="1"/>
  <c r="AA11" i="21"/>
  <c r="AB11" i="21" s="1"/>
  <c r="Z11" i="21"/>
  <c r="AM28" i="21"/>
  <c r="AN28" i="21" s="1"/>
  <c r="AL28" i="21"/>
  <c r="AK100" i="36"/>
  <c r="AE100" i="36"/>
  <c r="Y90" i="21"/>
  <c r="AG126" i="43"/>
  <c r="AH126" i="43" s="1"/>
  <c r="AF126" i="43"/>
  <c r="AL14" i="42"/>
  <c r="AM14" i="42"/>
  <c r="AN14" i="42" s="1"/>
  <c r="U77" i="21"/>
  <c r="V77" i="21" s="1"/>
  <c r="T77" i="21"/>
  <c r="W67" i="33"/>
  <c r="Q67" i="33"/>
  <c r="AC67" i="33"/>
  <c r="AI67" i="33"/>
  <c r="Z138" i="42"/>
  <c r="AA138" i="42"/>
  <c r="AB138" i="42" s="1"/>
  <c r="AE65" i="21"/>
  <c r="S65" i="21"/>
  <c r="AK65" i="21"/>
  <c r="AG123" i="21"/>
  <c r="AH123" i="21" s="1"/>
  <c r="AF123" i="21"/>
  <c r="Y110" i="36"/>
  <c r="Y50" i="21"/>
  <c r="S50" i="21"/>
  <c r="AK50" i="21"/>
  <c r="AG129" i="43"/>
  <c r="AH129" i="43" s="1"/>
  <c r="AF129" i="43"/>
  <c r="Y129" i="33"/>
  <c r="AK129" i="33"/>
  <c r="AE129" i="33"/>
  <c r="Q21" i="42"/>
  <c r="AC21" i="42"/>
  <c r="AI21" i="42"/>
  <c r="W21" i="42"/>
  <c r="AI33" i="21"/>
  <c r="Q33" i="21"/>
  <c r="W33" i="21"/>
  <c r="AC33" i="21"/>
  <c r="Z45" i="36"/>
  <c r="AA45" i="36"/>
  <c r="AB45" i="36" s="1"/>
  <c r="AF76" i="42"/>
  <c r="AG76" i="42"/>
  <c r="AH76" i="42" s="1"/>
  <c r="S57" i="37"/>
  <c r="Q37" i="37"/>
  <c r="AI37" i="37"/>
  <c r="AM46" i="37"/>
  <c r="AN46" i="37" s="1"/>
  <c r="AL46" i="37"/>
  <c r="Z126" i="42"/>
  <c r="AA126" i="42"/>
  <c r="AB126" i="42" s="1"/>
  <c r="U144" i="21"/>
  <c r="V144" i="21" s="1"/>
  <c r="T144" i="21"/>
  <c r="Z109" i="36"/>
  <c r="AA109" i="36"/>
  <c r="AB109" i="36" s="1"/>
  <c r="S45" i="37"/>
  <c r="S91" i="33"/>
  <c r="AG77" i="43"/>
  <c r="AH77" i="43" s="1"/>
  <c r="AF77" i="43"/>
  <c r="AC130" i="21"/>
  <c r="Q130" i="21"/>
  <c r="W130" i="21"/>
  <c r="AI130" i="21"/>
  <c r="W131" i="42"/>
  <c r="AC131" i="42"/>
  <c r="Q131" i="42"/>
  <c r="AI131" i="42"/>
  <c r="AK99" i="43"/>
  <c r="S99" i="43"/>
  <c r="Y99" i="43"/>
  <c r="AE99" i="43"/>
  <c r="Q128" i="21"/>
  <c r="W128" i="21"/>
  <c r="AI128" i="21"/>
  <c r="AC128" i="21"/>
  <c r="AK50" i="42"/>
  <c r="AE50" i="42"/>
  <c r="Y50" i="42"/>
  <c r="S50" i="42"/>
  <c r="T92" i="33"/>
  <c r="U92" i="33"/>
  <c r="V92" i="33" s="1"/>
  <c r="U47" i="36"/>
  <c r="V47" i="36" s="1"/>
  <c r="T47" i="36"/>
  <c r="Q116" i="36"/>
  <c r="AI116" i="36"/>
  <c r="AC116" i="36"/>
  <c r="W116" i="36"/>
  <c r="AL30" i="21"/>
  <c r="AM30" i="21"/>
  <c r="AN30" i="21" s="1"/>
  <c r="AL141" i="21"/>
  <c r="AM141" i="21"/>
  <c r="AN141" i="21" s="1"/>
  <c r="W18" i="42"/>
  <c r="AC18" i="42"/>
  <c r="AI18" i="42"/>
  <c r="Q18" i="42"/>
  <c r="AM28" i="36"/>
  <c r="AN28" i="36" s="1"/>
  <c r="AL28" i="36"/>
  <c r="AF44" i="36"/>
  <c r="AG44" i="36"/>
  <c r="AH44" i="36" s="1"/>
  <c r="AC149" i="21"/>
  <c r="AI149" i="21"/>
  <c r="W149" i="21"/>
  <c r="Q149" i="21"/>
  <c r="AI49" i="37"/>
  <c r="W49" i="37"/>
  <c r="Q49" i="37"/>
  <c r="AC49" i="37"/>
  <c r="AA42" i="37"/>
  <c r="AB42" i="37" s="1"/>
  <c r="Z42" i="37"/>
  <c r="S140" i="36"/>
  <c r="AI68" i="33"/>
  <c r="AC68" i="33"/>
  <c r="Q68" i="33"/>
  <c r="W68" i="33"/>
  <c r="Q68" i="36"/>
  <c r="AC68" i="36"/>
  <c r="W68" i="36"/>
  <c r="AI68" i="36"/>
  <c r="T79" i="36"/>
  <c r="U79" i="36"/>
  <c r="V79" i="36" s="1"/>
  <c r="AF138" i="33"/>
  <c r="AG138" i="33"/>
  <c r="AH138" i="33" s="1"/>
  <c r="AC102" i="33"/>
  <c r="W102" i="33"/>
  <c r="AI102" i="33"/>
  <c r="Q102" i="33"/>
  <c r="Q51" i="43"/>
  <c r="AC51" i="43"/>
  <c r="W51" i="43"/>
  <c r="AI51" i="43"/>
  <c r="Q51" i="33"/>
  <c r="AI51" i="33"/>
  <c r="AC51" i="33"/>
  <c r="W51" i="33"/>
  <c r="AC115" i="21"/>
  <c r="W115" i="21"/>
  <c r="AI115" i="21"/>
  <c r="Q115" i="21"/>
  <c r="Y20" i="43"/>
  <c r="S20" i="43"/>
  <c r="AK20" i="43"/>
  <c r="AE20" i="43"/>
  <c r="Z96" i="36"/>
  <c r="AA96" i="36"/>
  <c r="AB96" i="36" s="1"/>
  <c r="T80" i="33"/>
  <c r="U80" i="33"/>
  <c r="V80" i="33" s="1"/>
  <c r="AL110" i="33"/>
  <c r="AM110" i="33"/>
  <c r="AN110" i="33" s="1"/>
  <c r="W114" i="36"/>
  <c r="AI114" i="36"/>
  <c r="AC114" i="36"/>
  <c r="Q114" i="36"/>
  <c r="T29" i="36"/>
  <c r="U29" i="36"/>
  <c r="V29" i="36" s="1"/>
  <c r="AM90" i="43"/>
  <c r="AN90" i="43" s="1"/>
  <c r="AL90" i="43"/>
  <c r="AC84" i="37"/>
  <c r="Q84" i="37"/>
  <c r="AI84" i="37"/>
  <c r="W84" i="37"/>
  <c r="AA79" i="37"/>
  <c r="AB79" i="37" s="1"/>
  <c r="Z79" i="37"/>
  <c r="T80" i="37"/>
  <c r="U80" i="37"/>
  <c r="V80" i="37" s="1"/>
  <c r="AM14" i="37"/>
  <c r="AN14" i="37" s="1"/>
  <c r="AL14" i="37"/>
  <c r="AM128" i="21"/>
  <c r="AN128" i="21" s="1"/>
  <c r="AL128" i="21"/>
  <c r="U73" i="33"/>
  <c r="V73" i="33" s="1"/>
  <c r="T73" i="33"/>
  <c r="AK21" i="42"/>
  <c r="AE21" i="42"/>
  <c r="Y21" i="42"/>
  <c r="S21" i="42"/>
  <c r="AG105" i="21"/>
  <c r="AH105" i="21" s="1"/>
  <c r="AF105" i="21"/>
  <c r="W97" i="33"/>
  <c r="Q97" i="33"/>
  <c r="AI97" i="33"/>
  <c r="AC97" i="33"/>
  <c r="AE113" i="37"/>
  <c r="Y113" i="37"/>
  <c r="AK113" i="37"/>
  <c r="AE16" i="36"/>
  <c r="Y16" i="36"/>
  <c r="AK16" i="36"/>
  <c r="AF45" i="33"/>
  <c r="AG45" i="33"/>
  <c r="AH45" i="33" s="1"/>
  <c r="T28" i="42"/>
  <c r="U28" i="42"/>
  <c r="V28" i="42" s="1"/>
  <c r="AL108" i="42"/>
  <c r="AM108" i="42"/>
  <c r="AN108" i="42" s="1"/>
  <c r="AL80" i="43"/>
  <c r="AM80" i="43"/>
  <c r="AN80" i="43" s="1"/>
  <c r="AL15" i="37"/>
  <c r="AM15" i="37"/>
  <c r="AN15" i="37" s="1"/>
  <c r="Q66" i="21"/>
  <c r="W66" i="21"/>
  <c r="AC66" i="21"/>
  <c r="AI66" i="21"/>
  <c r="AI66" i="43"/>
  <c r="Q66" i="43"/>
  <c r="AC66" i="43"/>
  <c r="W66" i="43"/>
  <c r="AL13" i="42"/>
  <c r="AM13" i="42"/>
  <c r="AN13" i="42" s="1"/>
  <c r="W32" i="33"/>
  <c r="AI32" i="33"/>
  <c r="Q32" i="33"/>
  <c r="AC32" i="33"/>
  <c r="AA108" i="36"/>
  <c r="AB108" i="36" s="1"/>
  <c r="Z108" i="36"/>
  <c r="AK50" i="43"/>
  <c r="S50" i="43"/>
  <c r="Y50" i="43"/>
  <c r="AM109" i="33"/>
  <c r="AN109" i="33" s="1"/>
  <c r="AL109" i="33"/>
  <c r="W83" i="42"/>
  <c r="Q83" i="42"/>
  <c r="AI83" i="42"/>
  <c r="AC83" i="42"/>
  <c r="AC83" i="33"/>
  <c r="Q83" i="33"/>
  <c r="W83" i="33"/>
  <c r="AI83" i="33"/>
  <c r="AI54" i="33"/>
  <c r="Q54" i="33"/>
  <c r="W54" i="33"/>
  <c r="AC54" i="33"/>
  <c r="AL136" i="21"/>
  <c r="AM136" i="21"/>
  <c r="AN136" i="21" s="1"/>
  <c r="Y114" i="21"/>
  <c r="AK114" i="21"/>
  <c r="S114" i="21"/>
  <c r="S116" i="43"/>
  <c r="AE116" i="43"/>
  <c r="AK116" i="43"/>
  <c r="Y116" i="43"/>
  <c r="T73" i="37"/>
  <c r="U73" i="37"/>
  <c r="V73" i="37" s="1"/>
  <c r="AC85" i="37"/>
  <c r="AI85" i="37"/>
  <c r="Q85" i="37"/>
  <c r="W85" i="37"/>
  <c r="Z92" i="21"/>
  <c r="AA92" i="21"/>
  <c r="AB92" i="21" s="1"/>
  <c r="W20" i="33"/>
  <c r="AC20" i="33"/>
  <c r="Q20" i="33"/>
  <c r="AI20" i="33"/>
  <c r="AL45" i="42"/>
  <c r="AM45" i="42"/>
  <c r="AN45" i="42" s="1"/>
  <c r="AK82" i="36"/>
  <c r="S82" i="36"/>
  <c r="Y82" i="36"/>
  <c r="AE82" i="36"/>
  <c r="AL44" i="43"/>
  <c r="AM44" i="43"/>
  <c r="AN44" i="43" s="1"/>
  <c r="AE69" i="21"/>
  <c r="S69" i="21"/>
  <c r="AK69" i="21"/>
  <c r="AL140" i="37"/>
  <c r="AM140" i="37"/>
  <c r="AN140" i="37" s="1"/>
  <c r="AL15" i="33"/>
  <c r="AM15" i="33"/>
  <c r="AN15" i="33" s="1"/>
  <c r="AM86" i="21"/>
  <c r="AN86" i="21" s="1"/>
  <c r="AL86" i="21"/>
  <c r="AE50" i="33"/>
  <c r="Y50" i="33"/>
  <c r="S50" i="33"/>
  <c r="Q65" i="42"/>
  <c r="W65" i="42"/>
  <c r="AI65" i="42"/>
  <c r="AC65" i="42"/>
  <c r="S84" i="21"/>
  <c r="Z31" i="36"/>
  <c r="AA31" i="36"/>
  <c r="AB31" i="36" s="1"/>
  <c r="AF127" i="42"/>
  <c r="AG127" i="42"/>
  <c r="AH127" i="42" s="1"/>
  <c r="S73" i="36"/>
  <c r="AE97" i="33"/>
  <c r="AL127" i="43"/>
  <c r="AM127" i="43"/>
  <c r="AN127" i="43" s="1"/>
  <c r="AF122" i="21"/>
  <c r="AG122" i="21"/>
  <c r="AH122" i="21" s="1"/>
  <c r="T25" i="21"/>
  <c r="U25" i="21"/>
  <c r="V25" i="21" s="1"/>
  <c r="U48" i="21"/>
  <c r="V48" i="21" s="1"/>
  <c r="T48" i="21"/>
  <c r="AK68" i="33"/>
  <c r="Z94" i="21"/>
  <c r="AA94" i="21"/>
  <c r="AB94" i="21" s="1"/>
  <c r="AI34" i="21"/>
  <c r="AC34" i="21"/>
  <c r="W34" i="21"/>
  <c r="Q34" i="21"/>
  <c r="AF29" i="21"/>
  <c r="AG29" i="21"/>
  <c r="AH29" i="21" s="1"/>
  <c r="AM131" i="43"/>
  <c r="AN131" i="43" s="1"/>
  <c r="AL131" i="43"/>
  <c r="U25" i="37"/>
  <c r="V25" i="37" s="1"/>
  <c r="T25" i="37"/>
  <c r="S70" i="36"/>
  <c r="Y70" i="36"/>
  <c r="W19" i="36"/>
  <c r="Q19" i="36"/>
  <c r="AC19" i="36"/>
  <c r="AI19" i="36"/>
  <c r="AE89" i="36"/>
  <c r="Z75" i="43"/>
  <c r="AA75" i="43"/>
  <c r="AB75" i="43" s="1"/>
  <c r="AK73" i="21"/>
  <c r="AC82" i="36"/>
  <c r="W82" i="36"/>
  <c r="Q82" i="36"/>
  <c r="AI82" i="36"/>
  <c r="AL76" i="43"/>
  <c r="AM76" i="43"/>
  <c r="AN76" i="43" s="1"/>
  <c r="AA86" i="33"/>
  <c r="AB86" i="33" s="1"/>
  <c r="Z86" i="33"/>
  <c r="AF45" i="43"/>
  <c r="AG45" i="43"/>
  <c r="AH45" i="43" s="1"/>
  <c r="Y47" i="37"/>
  <c r="AM117" i="21"/>
  <c r="AN117" i="21" s="1"/>
  <c r="AL117" i="21"/>
  <c r="AF73" i="42"/>
  <c r="AG73" i="42"/>
  <c r="AH73" i="42" s="1"/>
  <c r="AM141" i="36"/>
  <c r="AN141" i="36" s="1"/>
  <c r="AL141" i="36"/>
  <c r="AK139" i="42"/>
  <c r="W99" i="21"/>
  <c r="Q99" i="21"/>
  <c r="AC99" i="21"/>
  <c r="AI99" i="21"/>
  <c r="Y79" i="43"/>
  <c r="AI134" i="42"/>
  <c r="W134" i="42"/>
  <c r="Q134" i="42"/>
  <c r="AC134" i="42"/>
  <c r="AC134" i="33"/>
  <c r="W134" i="33"/>
  <c r="Q134" i="33"/>
  <c r="AI134" i="33"/>
  <c r="Q132" i="43"/>
  <c r="W132" i="43"/>
  <c r="AI132" i="43"/>
  <c r="AC132" i="43"/>
  <c r="AH34" i="36"/>
  <c r="Z93" i="37"/>
  <c r="AA93" i="37"/>
  <c r="AB93" i="37" s="1"/>
  <c r="AI70" i="42"/>
  <c r="Q70" i="42"/>
  <c r="W70" i="42"/>
  <c r="AC70" i="42"/>
  <c r="Z75" i="21"/>
  <c r="AA75" i="21"/>
  <c r="AB75" i="21" s="1"/>
  <c r="AL123" i="36"/>
  <c r="AM123" i="36"/>
  <c r="AN123" i="36" s="1"/>
  <c r="AG75" i="37"/>
  <c r="AH75" i="37" s="1"/>
  <c r="AF75" i="37"/>
  <c r="U95" i="42"/>
  <c r="V95" i="42" s="1"/>
  <c r="T95" i="42"/>
  <c r="Z21" i="33"/>
  <c r="AA21" i="33"/>
  <c r="AB21" i="33" s="1"/>
  <c r="AK10" i="36"/>
  <c r="S81" i="33"/>
  <c r="AL57" i="21"/>
  <c r="AM57" i="21"/>
  <c r="AN57" i="21" s="1"/>
  <c r="Y144" i="36"/>
  <c r="AG90" i="33"/>
  <c r="AH90" i="33" s="1"/>
  <c r="AF90" i="33"/>
  <c r="U50" i="36"/>
  <c r="V50" i="36" s="1"/>
  <c r="T50" i="36"/>
  <c r="AK59" i="21"/>
  <c r="Z30" i="42"/>
  <c r="AA30" i="42"/>
  <c r="AB30" i="42" s="1"/>
  <c r="S118" i="43"/>
  <c r="AK118" i="43"/>
  <c r="AE118" i="43"/>
  <c r="Y118" i="43"/>
  <c r="T137" i="21"/>
  <c r="U137" i="21"/>
  <c r="V137" i="21" s="1"/>
  <c r="U73" i="43"/>
  <c r="V73" i="43" s="1"/>
  <c r="T73" i="43"/>
  <c r="AL115" i="37"/>
  <c r="AM115" i="37"/>
  <c r="AN115" i="37" s="1"/>
  <c r="AA43" i="21"/>
  <c r="AB43" i="21" s="1"/>
  <c r="Z43" i="21"/>
  <c r="AL109" i="21"/>
  <c r="AM109" i="21"/>
  <c r="AN109" i="21" s="1"/>
  <c r="U14" i="21"/>
  <c r="V14" i="21" s="1"/>
  <c r="T14" i="21"/>
  <c r="AM91" i="37"/>
  <c r="AN91" i="37" s="1"/>
  <c r="AL91" i="37"/>
  <c r="S54" i="42"/>
  <c r="AG94" i="43"/>
  <c r="AH94" i="43" s="1"/>
  <c r="AF94" i="43"/>
  <c r="AM27" i="36"/>
  <c r="AN27" i="36" s="1"/>
  <c r="AL27" i="36"/>
  <c r="AI50" i="33"/>
  <c r="Q50" i="33"/>
  <c r="W50" i="33"/>
  <c r="AC50" i="33"/>
  <c r="AM64" i="33"/>
  <c r="AN64" i="33" s="1"/>
  <c r="AL64" i="33"/>
  <c r="Y121" i="37"/>
  <c r="AF15" i="36"/>
  <c r="AG15" i="36"/>
  <c r="AH15" i="36" s="1"/>
  <c r="AL28" i="37"/>
  <c r="AM28" i="37"/>
  <c r="AN28" i="37" s="1"/>
  <c r="T146" i="42"/>
  <c r="U146" i="42"/>
  <c r="V146" i="42" s="1"/>
  <c r="V53" i="21" l="1"/>
  <c r="V17" i="21"/>
  <c r="AL68" i="43"/>
  <c r="AM68" i="43"/>
  <c r="AN68" i="43" s="1"/>
  <c r="T116" i="37"/>
  <c r="U116" i="37"/>
  <c r="V116" i="37" s="1"/>
  <c r="U129" i="36"/>
  <c r="V129" i="36" s="1"/>
  <c r="T129" i="36"/>
  <c r="T52" i="42"/>
  <c r="U52" i="42"/>
  <c r="V52" i="42" s="1"/>
  <c r="AF100" i="43"/>
  <c r="AG100" i="43"/>
  <c r="AH100" i="43" s="1"/>
  <c r="AG51" i="21"/>
  <c r="AH51" i="21" s="1"/>
  <c r="AF51" i="21"/>
  <c r="AE132" i="42"/>
  <c r="S65" i="43"/>
  <c r="U51" i="43"/>
  <c r="V51" i="43" s="1"/>
  <c r="S98" i="37"/>
  <c r="Y52" i="33"/>
  <c r="AE98" i="37"/>
  <c r="AE52" i="33"/>
  <c r="Y131" i="21"/>
  <c r="Z98" i="42"/>
  <c r="AE131" i="21"/>
  <c r="Y65" i="43"/>
  <c r="S53" i="21"/>
  <c r="AA98" i="42"/>
  <c r="AB98" i="42" s="1"/>
  <c r="Y67" i="36"/>
  <c r="AK67" i="36"/>
  <c r="U131" i="36"/>
  <c r="V131" i="36" s="1"/>
  <c r="AE100" i="42"/>
  <c r="AM113" i="21"/>
  <c r="AN113" i="21" s="1"/>
  <c r="AK97" i="36"/>
  <c r="S130" i="42"/>
  <c r="AK131" i="36"/>
  <c r="U52" i="21"/>
  <c r="T131" i="36"/>
  <c r="T100" i="42"/>
  <c r="Y130" i="42"/>
  <c r="Y131" i="36"/>
  <c r="AE131" i="36"/>
  <c r="Y68" i="21"/>
  <c r="T52" i="21"/>
  <c r="S132" i="36"/>
  <c r="Y132" i="36"/>
  <c r="AE68" i="21"/>
  <c r="AK132" i="36"/>
  <c r="AE97" i="36"/>
  <c r="AE52" i="21"/>
  <c r="AM68" i="21"/>
  <c r="AN68" i="21" s="1"/>
  <c r="S68" i="21"/>
  <c r="Y68" i="43"/>
  <c r="Y102" i="36"/>
  <c r="AE133" i="21"/>
  <c r="S102" i="36"/>
  <c r="S133" i="21"/>
  <c r="AE68" i="43"/>
  <c r="Y133" i="21"/>
  <c r="S68" i="43"/>
  <c r="AL66" i="33"/>
  <c r="Y53" i="21"/>
  <c r="AK53" i="21"/>
  <c r="AE98" i="42"/>
  <c r="S98" i="42"/>
  <c r="AE53" i="21"/>
  <c r="AK98" i="42"/>
  <c r="AE98" i="21"/>
  <c r="AK98" i="21"/>
  <c r="T116" i="42"/>
  <c r="S134" i="33"/>
  <c r="Y134" i="33"/>
  <c r="U116" i="42"/>
  <c r="V116" i="42" s="1"/>
  <c r="S97" i="37"/>
  <c r="AM146" i="42"/>
  <c r="AN146" i="42" s="1"/>
  <c r="AL97" i="37"/>
  <c r="AK116" i="42"/>
  <c r="Y97" i="37"/>
  <c r="AL146" i="42"/>
  <c r="AM97" i="37"/>
  <c r="AN97" i="37" s="1"/>
  <c r="AE116" i="42"/>
  <c r="AE97" i="37"/>
  <c r="AL146" i="33"/>
  <c r="AM146" i="33"/>
  <c r="AN146" i="33" s="1"/>
  <c r="Z116" i="42"/>
  <c r="Y66" i="33"/>
  <c r="AK134" i="33"/>
  <c r="AE66" i="33"/>
  <c r="S66" i="33"/>
  <c r="Y100" i="21"/>
  <c r="AK100" i="21"/>
  <c r="S53" i="37"/>
  <c r="Y53" i="37"/>
  <c r="AL53" i="37"/>
  <c r="AL70" i="21"/>
  <c r="AE70" i="21"/>
  <c r="U70" i="21"/>
  <c r="V70" i="21" s="1"/>
  <c r="AE100" i="21"/>
  <c r="Y70" i="33"/>
  <c r="Y149" i="21"/>
  <c r="Z149" i="21"/>
  <c r="AA149" i="21"/>
  <c r="AB149" i="21" s="1"/>
  <c r="AK148" i="21"/>
  <c r="AM148" i="21"/>
  <c r="AN148" i="21" s="1"/>
  <c r="AL148" i="21"/>
  <c r="AK149" i="21"/>
  <c r="AM149" i="21"/>
  <c r="AN149" i="21" s="1"/>
  <c r="AL149" i="21"/>
  <c r="AE97" i="43"/>
  <c r="AK70" i="33"/>
  <c r="Y97" i="43"/>
  <c r="U70" i="33"/>
  <c r="V70" i="33" s="1"/>
  <c r="AK97" i="43"/>
  <c r="Y148" i="21"/>
  <c r="Z148" i="21"/>
  <c r="AA148" i="21"/>
  <c r="AB148" i="21" s="1"/>
  <c r="AE148" i="21"/>
  <c r="AG148" i="21"/>
  <c r="AH148" i="21" s="1"/>
  <c r="AF148" i="21"/>
  <c r="Y97" i="42"/>
  <c r="S97" i="42"/>
  <c r="AE97" i="42"/>
  <c r="AA129" i="36"/>
  <c r="AB129" i="36" s="1"/>
  <c r="T33" i="33"/>
  <c r="AA33" i="33"/>
  <c r="AB33" i="33" s="1"/>
  <c r="U33" i="33"/>
  <c r="V33" i="33" s="1"/>
  <c r="Z129" i="36"/>
  <c r="Z33" i="33"/>
  <c r="AA68" i="42"/>
  <c r="AB68" i="42" s="1"/>
  <c r="AN34" i="36"/>
  <c r="AG128" i="21"/>
  <c r="AH128" i="21" s="1"/>
  <c r="AF21" i="37"/>
  <c r="AF128" i="21"/>
  <c r="AL19" i="36"/>
  <c r="AG21" i="37"/>
  <c r="AH21" i="37" s="1"/>
  <c r="AF101" i="21"/>
  <c r="AM19" i="36"/>
  <c r="AN19" i="36" s="1"/>
  <c r="AG101" i="21"/>
  <c r="AH101" i="21" s="1"/>
  <c r="AA85" i="33"/>
  <c r="AB85" i="33" s="1"/>
  <c r="S38" i="42"/>
  <c r="T70" i="42"/>
  <c r="U70" i="42"/>
  <c r="V70" i="42" s="1"/>
  <c r="AG81" i="33"/>
  <c r="AH81" i="33" s="1"/>
  <c r="Z101" i="42"/>
  <c r="AG86" i="33"/>
  <c r="AH86" i="33" s="1"/>
  <c r="AF81" i="33"/>
  <c r="AM129" i="36"/>
  <c r="AN129" i="36" s="1"/>
  <c r="AA101" i="42"/>
  <c r="AB101" i="42" s="1"/>
  <c r="AF86" i="33"/>
  <c r="AL49" i="42"/>
  <c r="AL129" i="36"/>
  <c r="U38" i="21"/>
  <c r="V38" i="21" s="1"/>
  <c r="AF84" i="21"/>
  <c r="AF21" i="33"/>
  <c r="T38" i="21"/>
  <c r="AL33" i="37"/>
  <c r="T38" i="42"/>
  <c r="AG84" i="21"/>
  <c r="AH84" i="21" s="1"/>
  <c r="AL101" i="21"/>
  <c r="AG21" i="33"/>
  <c r="AH21" i="33" s="1"/>
  <c r="AL33" i="21"/>
  <c r="AF117" i="21"/>
  <c r="T68" i="42"/>
  <c r="AM33" i="37"/>
  <c r="AN33" i="37" s="1"/>
  <c r="T86" i="37"/>
  <c r="AM101" i="21"/>
  <c r="AN101" i="21" s="1"/>
  <c r="V34" i="36"/>
  <c r="AM33" i="21"/>
  <c r="AN33" i="21" s="1"/>
  <c r="AG117" i="21"/>
  <c r="AH117" i="21" s="1"/>
  <c r="U68" i="42"/>
  <c r="V68" i="42" s="1"/>
  <c r="U86" i="37"/>
  <c r="V86" i="37" s="1"/>
  <c r="AF34" i="33"/>
  <c r="AL17" i="21"/>
  <c r="AM17" i="21"/>
  <c r="AN17" i="21" s="1"/>
  <c r="U86" i="33"/>
  <c r="V86" i="33" s="1"/>
  <c r="U54" i="43"/>
  <c r="V54" i="43" s="1"/>
  <c r="AG54" i="42"/>
  <c r="AH54" i="42" s="1"/>
  <c r="Z149" i="37"/>
  <c r="AM38" i="21"/>
  <c r="AN38" i="21" s="1"/>
  <c r="Z83" i="36"/>
  <c r="AE81" i="21"/>
  <c r="AA83" i="36"/>
  <c r="AB83" i="36" s="1"/>
  <c r="AA21" i="37"/>
  <c r="AB21" i="37" s="1"/>
  <c r="AG81" i="21"/>
  <c r="AH81" i="21" s="1"/>
  <c r="AA38" i="33"/>
  <c r="AB38" i="33" s="1"/>
  <c r="Z85" i="33"/>
  <c r="AL67" i="36"/>
  <c r="AM67" i="36"/>
  <c r="AN67" i="36" s="1"/>
  <c r="AM131" i="42"/>
  <c r="AN131" i="42" s="1"/>
  <c r="AL131" i="42"/>
  <c r="AA149" i="37"/>
  <c r="AB149" i="37" s="1"/>
  <c r="T131" i="42"/>
  <c r="U131" i="42"/>
  <c r="V131" i="42" s="1"/>
  <c r="AA131" i="42"/>
  <c r="AB131" i="42" s="1"/>
  <c r="AF65" i="36"/>
  <c r="Z131" i="42"/>
  <c r="AG65" i="36"/>
  <c r="AH65" i="36" s="1"/>
  <c r="AF32" i="36"/>
  <c r="AL54" i="43"/>
  <c r="Z16" i="43"/>
  <c r="U54" i="21"/>
  <c r="V54" i="21" s="1"/>
  <c r="T54" i="21"/>
  <c r="AM116" i="37"/>
  <c r="AN116" i="37" s="1"/>
  <c r="U37" i="42"/>
  <c r="V37" i="42" s="1"/>
  <c r="AA52" i="21"/>
  <c r="AB52" i="21" s="1"/>
  <c r="AL116" i="37"/>
  <c r="U117" i="37"/>
  <c r="V117" i="37" s="1"/>
  <c r="T37" i="42"/>
  <c r="Z52" i="21"/>
  <c r="T117" i="37"/>
  <c r="AL33" i="33"/>
  <c r="AA17" i="21"/>
  <c r="AB17" i="21" s="1"/>
  <c r="AA81" i="33"/>
  <c r="AB81" i="33" s="1"/>
  <c r="Y51" i="21"/>
  <c r="AF99" i="37"/>
  <c r="T51" i="21"/>
  <c r="T21" i="37"/>
  <c r="AM33" i="33"/>
  <c r="AN33" i="33" s="1"/>
  <c r="Z17" i="21"/>
  <c r="Z81" i="33"/>
  <c r="T83" i="33"/>
  <c r="Z50" i="36"/>
  <c r="AG99" i="37"/>
  <c r="AH99" i="37" s="1"/>
  <c r="U51" i="21"/>
  <c r="U21" i="37"/>
  <c r="V21" i="37" s="1"/>
  <c r="T86" i="33"/>
  <c r="U83" i="33"/>
  <c r="V83" i="33" s="1"/>
  <c r="U148" i="36"/>
  <c r="V148" i="36" s="1"/>
  <c r="T32" i="36"/>
  <c r="S33" i="37"/>
  <c r="Z38" i="33"/>
  <c r="Y38" i="36"/>
  <c r="AL38" i="21"/>
  <c r="Z21" i="37"/>
  <c r="U101" i="42"/>
  <c r="V101" i="42" s="1"/>
  <c r="AA38" i="36"/>
  <c r="AB38" i="36" s="1"/>
  <c r="Z33" i="43"/>
  <c r="T149" i="37"/>
  <c r="T101" i="42"/>
  <c r="AA33" i="43"/>
  <c r="AB33" i="43" s="1"/>
  <c r="S149" i="37"/>
  <c r="U32" i="36"/>
  <c r="V32" i="36" s="1"/>
  <c r="AM53" i="33"/>
  <c r="AN53" i="33" s="1"/>
  <c r="AF33" i="21"/>
  <c r="Z86" i="21"/>
  <c r="Z128" i="21"/>
  <c r="AL53" i="33"/>
  <c r="AA128" i="21"/>
  <c r="AB128" i="21" s="1"/>
  <c r="AA54" i="37"/>
  <c r="AB54" i="37" s="1"/>
  <c r="Z54" i="21"/>
  <c r="U34" i="33"/>
  <c r="V34" i="33" s="1"/>
  <c r="AM101" i="43"/>
  <c r="AN101" i="43" s="1"/>
  <c r="AF33" i="43"/>
  <c r="U66" i="33"/>
  <c r="V66" i="33" s="1"/>
  <c r="Y54" i="21"/>
  <c r="T34" i="33"/>
  <c r="AK130" i="21"/>
  <c r="AL101" i="43"/>
  <c r="Z117" i="37"/>
  <c r="AG33" i="43"/>
  <c r="AH33" i="43" s="1"/>
  <c r="U83" i="37"/>
  <c r="V83" i="37" s="1"/>
  <c r="Z38" i="37"/>
  <c r="AG33" i="21"/>
  <c r="AH33" i="21" s="1"/>
  <c r="AA38" i="37"/>
  <c r="AB38" i="37" s="1"/>
  <c r="Z54" i="37"/>
  <c r="AA33" i="37"/>
  <c r="AB33" i="37" s="1"/>
  <c r="AM54" i="43"/>
  <c r="AN54" i="43" s="1"/>
  <c r="AG32" i="36"/>
  <c r="AH32" i="36" s="1"/>
  <c r="AM149" i="33"/>
  <c r="AN149" i="33" s="1"/>
  <c r="Z102" i="21"/>
  <c r="T66" i="33"/>
  <c r="AA86" i="21"/>
  <c r="AB86" i="21" s="1"/>
  <c r="T67" i="36"/>
  <c r="AA102" i="21"/>
  <c r="AB102" i="21" s="1"/>
  <c r="AM133" i="33"/>
  <c r="AN133" i="33" s="1"/>
  <c r="AL130" i="21"/>
  <c r="AL149" i="33"/>
  <c r="Z49" i="42"/>
  <c r="AL54" i="42"/>
  <c r="U67" i="36"/>
  <c r="Z83" i="37"/>
  <c r="Z51" i="36"/>
  <c r="AL133" i="33"/>
  <c r="T18" i="36"/>
  <c r="U102" i="21"/>
  <c r="V102" i="21" s="1"/>
  <c r="Z149" i="33"/>
  <c r="AF148" i="36"/>
  <c r="AF130" i="21"/>
  <c r="AA51" i="36"/>
  <c r="AB51" i="36" s="1"/>
  <c r="U18" i="36"/>
  <c r="V18" i="36" s="1"/>
  <c r="AF101" i="43"/>
  <c r="T102" i="21"/>
  <c r="AG148" i="36"/>
  <c r="AH148" i="36" s="1"/>
  <c r="AA49" i="42"/>
  <c r="AB49" i="42" s="1"/>
  <c r="AM54" i="42"/>
  <c r="AN54" i="42" s="1"/>
  <c r="S37" i="36"/>
  <c r="T54" i="43"/>
  <c r="AF54" i="42"/>
  <c r="AG130" i="21"/>
  <c r="AH130" i="21" s="1"/>
  <c r="Z68" i="42"/>
  <c r="Z54" i="42"/>
  <c r="AF16" i="43"/>
  <c r="AG101" i="43"/>
  <c r="AH101" i="43" s="1"/>
  <c r="AA38" i="21"/>
  <c r="AB38" i="21" s="1"/>
  <c r="Z51" i="21"/>
  <c r="AM49" i="42"/>
  <c r="AN49" i="42" s="1"/>
  <c r="AF65" i="42"/>
  <c r="T148" i="36"/>
  <c r="AA50" i="36"/>
  <c r="AB50" i="36" s="1"/>
  <c r="AG65" i="42"/>
  <c r="AH65" i="42" s="1"/>
  <c r="Z135" i="43"/>
  <c r="AA135" i="43"/>
  <c r="AB135" i="43" s="1"/>
  <c r="AM17" i="36"/>
  <c r="AN17" i="36" s="1"/>
  <c r="U134" i="37"/>
  <c r="V134" i="37" s="1"/>
  <c r="AL17" i="36"/>
  <c r="T134" i="37"/>
  <c r="S81" i="21"/>
  <c r="AG149" i="21"/>
  <c r="AH149" i="21" s="1"/>
  <c r="AM51" i="21"/>
  <c r="AN51" i="21" s="1"/>
  <c r="S86" i="21"/>
  <c r="AG16" i="43"/>
  <c r="AH16" i="43" s="1"/>
  <c r="Y70" i="42"/>
  <c r="Y38" i="21"/>
  <c r="Z33" i="37"/>
  <c r="AM33" i="43"/>
  <c r="AN33" i="43" s="1"/>
  <c r="Z85" i="36"/>
  <c r="U33" i="37"/>
  <c r="V33" i="37" s="1"/>
  <c r="AL33" i="43"/>
  <c r="T135" i="43"/>
  <c r="AF70" i="42"/>
  <c r="T37" i="36"/>
  <c r="AA70" i="42"/>
  <c r="AB70" i="42" s="1"/>
  <c r="T86" i="21"/>
  <c r="AG70" i="42"/>
  <c r="AH70" i="42" s="1"/>
  <c r="AA54" i="42"/>
  <c r="AB54" i="42" s="1"/>
  <c r="Z37" i="42"/>
  <c r="AA16" i="43"/>
  <c r="AB16" i="43" s="1"/>
  <c r="Y32" i="36"/>
  <c r="AF54" i="37"/>
  <c r="Z32" i="36"/>
  <c r="AG54" i="37"/>
  <c r="AH54" i="37" s="1"/>
  <c r="AL53" i="21"/>
  <c r="AA149" i="33"/>
  <c r="AB149" i="33" s="1"/>
  <c r="AG129" i="36"/>
  <c r="AH129" i="36" s="1"/>
  <c r="AF129" i="36"/>
  <c r="AH37" i="36"/>
  <c r="AA83" i="33"/>
  <c r="AB83" i="33" s="1"/>
  <c r="AA37" i="36"/>
  <c r="AB37" i="36" s="1"/>
  <c r="AM85" i="36"/>
  <c r="AN85" i="36" s="1"/>
  <c r="AM101" i="42"/>
  <c r="AN101" i="42" s="1"/>
  <c r="U65" i="36"/>
  <c r="V65" i="36" s="1"/>
  <c r="AB34" i="36"/>
  <c r="AF37" i="33"/>
  <c r="S38" i="37"/>
  <c r="AF18" i="42"/>
  <c r="T81" i="21"/>
  <c r="AG81" i="36"/>
  <c r="AH81" i="36" s="1"/>
  <c r="T38" i="37"/>
  <c r="U132" i="33"/>
  <c r="V132" i="33" s="1"/>
  <c r="T65" i="36"/>
  <c r="AF149" i="21"/>
  <c r="AL101" i="42"/>
  <c r="AM99" i="37"/>
  <c r="AN99" i="37" s="1"/>
  <c r="AM98" i="42"/>
  <c r="AN98" i="42" s="1"/>
  <c r="AL51" i="21"/>
  <c r="Z83" i="33"/>
  <c r="AL99" i="37"/>
  <c r="U85" i="33"/>
  <c r="V85" i="33" s="1"/>
  <c r="AF37" i="42"/>
  <c r="Z18" i="36"/>
  <c r="AF38" i="33"/>
  <c r="T85" i="33"/>
  <c r="AG37" i="42"/>
  <c r="AH37" i="42" s="1"/>
  <c r="AA18" i="36"/>
  <c r="AB18" i="36" s="1"/>
  <c r="AM37" i="33"/>
  <c r="AN37" i="33" s="1"/>
  <c r="AG38" i="33"/>
  <c r="AH38" i="33" s="1"/>
  <c r="AF68" i="42"/>
  <c r="AG68" i="42"/>
  <c r="AH68" i="42" s="1"/>
  <c r="T132" i="33"/>
  <c r="AL37" i="33"/>
  <c r="U38" i="33"/>
  <c r="V38" i="33" s="1"/>
  <c r="AG34" i="33"/>
  <c r="AH34" i="33" s="1"/>
  <c r="AA97" i="37"/>
  <c r="AB97" i="37" s="1"/>
  <c r="AG18" i="36"/>
  <c r="AH18" i="36" s="1"/>
  <c r="T38" i="33"/>
  <c r="T101" i="21"/>
  <c r="AG149" i="37"/>
  <c r="AH149" i="37" s="1"/>
  <c r="U101" i="21"/>
  <c r="V101" i="21" s="1"/>
  <c r="AM148" i="36"/>
  <c r="AN148" i="36" s="1"/>
  <c r="AA84" i="21"/>
  <c r="AB84" i="21" s="1"/>
  <c r="AA34" i="33"/>
  <c r="AB34" i="33" s="1"/>
  <c r="AL148" i="36"/>
  <c r="AM84" i="21"/>
  <c r="AN84" i="21" s="1"/>
  <c r="Z84" i="21"/>
  <c r="Z34" i="33"/>
  <c r="AL84" i="21"/>
  <c r="T49" i="42"/>
  <c r="AF18" i="36"/>
  <c r="AF149" i="37"/>
  <c r="U49" i="42"/>
  <c r="V49" i="42" s="1"/>
  <c r="AL38" i="42"/>
  <c r="AM38" i="42"/>
  <c r="AN38" i="42" s="1"/>
  <c r="Z97" i="37"/>
  <c r="AF135" i="43"/>
  <c r="AG38" i="42"/>
  <c r="AH38" i="42" s="1"/>
  <c r="Z117" i="21"/>
  <c r="AG135" i="43"/>
  <c r="AH135" i="43" s="1"/>
  <c r="AM131" i="36"/>
  <c r="AN131" i="36" s="1"/>
  <c r="AG54" i="43"/>
  <c r="AH54" i="43" s="1"/>
  <c r="T97" i="37"/>
  <c r="AF38" i="42"/>
  <c r="AA117" i="21"/>
  <c r="AB117" i="21" s="1"/>
  <c r="AL131" i="36"/>
  <c r="AF54" i="43"/>
  <c r="Z53" i="36"/>
  <c r="AF53" i="33"/>
  <c r="Y86" i="37"/>
  <c r="AA146" i="42"/>
  <c r="AB146" i="42" s="1"/>
  <c r="U65" i="42"/>
  <c r="V65" i="42" s="1"/>
  <c r="AK54" i="21"/>
  <c r="AE86" i="21"/>
  <c r="AL37" i="21"/>
  <c r="U135" i="43"/>
  <c r="V135" i="43" s="1"/>
  <c r="T130" i="21"/>
  <c r="U130" i="21"/>
  <c r="V130" i="21" s="1"/>
  <c r="AM52" i="21"/>
  <c r="AN52" i="21" s="1"/>
  <c r="AL54" i="21"/>
  <c r="AA132" i="33"/>
  <c r="AB132" i="33" s="1"/>
  <c r="AM37" i="21"/>
  <c r="AN37" i="21" s="1"/>
  <c r="Z115" i="21"/>
  <c r="AF86" i="21"/>
  <c r="T128" i="21"/>
  <c r="AL52" i="21"/>
  <c r="Z132" i="33"/>
  <c r="AM21" i="33"/>
  <c r="AN21" i="33" s="1"/>
  <c r="U128" i="21"/>
  <c r="V128" i="21" s="1"/>
  <c r="T133" i="33"/>
  <c r="AL21" i="33"/>
  <c r="S37" i="37"/>
  <c r="U37" i="33"/>
  <c r="V37" i="33" s="1"/>
  <c r="AG53" i="33"/>
  <c r="AH53" i="33" s="1"/>
  <c r="Z18" i="42"/>
  <c r="Z86" i="37"/>
  <c r="AF146" i="42"/>
  <c r="AM85" i="33"/>
  <c r="AN85" i="33" s="1"/>
  <c r="U133" i="33"/>
  <c r="V133" i="33" s="1"/>
  <c r="AA19" i="36"/>
  <c r="AB19" i="36" s="1"/>
  <c r="S37" i="33"/>
  <c r="Z146" i="42"/>
  <c r="AG146" i="42"/>
  <c r="AH146" i="42" s="1"/>
  <c r="AL85" i="33"/>
  <c r="Z19" i="36"/>
  <c r="T65" i="42"/>
  <c r="AG38" i="37"/>
  <c r="AH38" i="37" s="1"/>
  <c r="AM86" i="37"/>
  <c r="AN86" i="37" s="1"/>
  <c r="AL85" i="36"/>
  <c r="AG18" i="42"/>
  <c r="AH18" i="42" s="1"/>
  <c r="AF38" i="37"/>
  <c r="AL86" i="37"/>
  <c r="AK38" i="36"/>
  <c r="AM38" i="36"/>
  <c r="AN38" i="36" s="1"/>
  <c r="AG83" i="36"/>
  <c r="AH83" i="36" s="1"/>
  <c r="AA134" i="33"/>
  <c r="AB134" i="33" s="1"/>
  <c r="S18" i="42"/>
  <c r="U21" i="33"/>
  <c r="V21" i="33" s="1"/>
  <c r="AM81" i="21"/>
  <c r="AN81" i="21" s="1"/>
  <c r="AF83" i="36"/>
  <c r="Z146" i="33"/>
  <c r="U117" i="21"/>
  <c r="V117" i="21" s="1"/>
  <c r="AA33" i="21"/>
  <c r="AB33" i="21" s="1"/>
  <c r="Z134" i="33"/>
  <c r="AA52" i="42"/>
  <c r="AB52" i="42" s="1"/>
  <c r="T21" i="33"/>
  <c r="T18" i="42"/>
  <c r="AL81" i="21"/>
  <c r="AA146" i="33"/>
  <c r="AB146" i="33" s="1"/>
  <c r="AF51" i="36"/>
  <c r="T117" i="21"/>
  <c r="Z33" i="21"/>
  <c r="Z52" i="42"/>
  <c r="U53" i="36"/>
  <c r="V53" i="36" s="1"/>
  <c r="AG51" i="36"/>
  <c r="AH51" i="36" s="1"/>
  <c r="T53" i="36"/>
  <c r="T54" i="37"/>
  <c r="AG37" i="33"/>
  <c r="AH37" i="33" s="1"/>
  <c r="AA37" i="42"/>
  <c r="AB37" i="42" s="1"/>
  <c r="U54" i="37"/>
  <c r="V54" i="37" s="1"/>
  <c r="AL16" i="43"/>
  <c r="AA53" i="36"/>
  <c r="AB53" i="36" s="1"/>
  <c r="U115" i="21"/>
  <c r="V115" i="21" s="1"/>
  <c r="AF134" i="37"/>
  <c r="AG134" i="37"/>
  <c r="AH134" i="37" s="1"/>
  <c r="AL65" i="42"/>
  <c r="U51" i="36"/>
  <c r="V51" i="36" s="1"/>
  <c r="AF53" i="36"/>
  <c r="T101" i="43"/>
  <c r="AM65" i="42"/>
  <c r="AN65" i="42" s="1"/>
  <c r="AG53" i="36"/>
  <c r="AH53" i="36" s="1"/>
  <c r="U101" i="43"/>
  <c r="V101" i="43" s="1"/>
  <c r="AA134" i="37"/>
  <c r="AB134" i="37" s="1"/>
  <c r="Z134" i="37"/>
  <c r="AM16" i="43"/>
  <c r="AN16" i="43" s="1"/>
  <c r="T115" i="21"/>
  <c r="AL83" i="36"/>
  <c r="AG102" i="21"/>
  <c r="AH102" i="21" s="1"/>
  <c r="S131" i="43"/>
  <c r="T131" i="43"/>
  <c r="AE85" i="36"/>
  <c r="AF85" i="36"/>
  <c r="AL50" i="36"/>
  <c r="AM50" i="36"/>
  <c r="AN50" i="36" s="1"/>
  <c r="AG115" i="21"/>
  <c r="AH115" i="21" s="1"/>
  <c r="Z49" i="33"/>
  <c r="AF115" i="21"/>
  <c r="AA49" i="33"/>
  <c r="AB49" i="33" s="1"/>
  <c r="AG132" i="33"/>
  <c r="AH132" i="33" s="1"/>
  <c r="AF132" i="33"/>
  <c r="AG133" i="33"/>
  <c r="AH133" i="33" s="1"/>
  <c r="AF102" i="21"/>
  <c r="AE115" i="37"/>
  <c r="AF115" i="37"/>
  <c r="AA116" i="37"/>
  <c r="AB116" i="37" s="1"/>
  <c r="U149" i="36"/>
  <c r="V149" i="36" s="1"/>
  <c r="AF19" i="36"/>
  <c r="Z116" i="37"/>
  <c r="T149" i="33"/>
  <c r="T149" i="36"/>
  <c r="AG19" i="36"/>
  <c r="AH19" i="36" s="1"/>
  <c r="S149" i="33"/>
  <c r="AL117" i="37"/>
  <c r="AL20" i="21"/>
  <c r="AM117" i="37"/>
  <c r="AN117" i="37" s="1"/>
  <c r="AM20" i="21"/>
  <c r="AN20" i="21" s="1"/>
  <c r="AG83" i="33"/>
  <c r="AH83" i="33" s="1"/>
  <c r="T49" i="33"/>
  <c r="AA37" i="21"/>
  <c r="AB37" i="21" s="1"/>
  <c r="AE50" i="36"/>
  <c r="AF83" i="37"/>
  <c r="AF83" i="33"/>
  <c r="U49" i="33"/>
  <c r="V49" i="33" s="1"/>
  <c r="Z37" i="21"/>
  <c r="AM83" i="36"/>
  <c r="AN83" i="36" s="1"/>
  <c r="AG83" i="37"/>
  <c r="AH83" i="37" s="1"/>
  <c r="T83" i="37"/>
  <c r="AM52" i="42"/>
  <c r="AN52" i="42" s="1"/>
  <c r="Y65" i="36"/>
  <c r="AL81" i="33"/>
  <c r="AL52" i="42"/>
  <c r="T53" i="33"/>
  <c r="T37" i="21"/>
  <c r="AM81" i="33"/>
  <c r="AN81" i="33" s="1"/>
  <c r="U53" i="33"/>
  <c r="V53" i="33" s="1"/>
  <c r="V37" i="21"/>
  <c r="U38" i="36"/>
  <c r="V38" i="36" s="1"/>
  <c r="AL86" i="33"/>
  <c r="AL100" i="43"/>
  <c r="T38" i="36"/>
  <c r="AM86" i="33"/>
  <c r="AN86" i="33" s="1"/>
  <c r="T20" i="21"/>
  <c r="AG49" i="33"/>
  <c r="AH49" i="33" s="1"/>
  <c r="U146" i="33"/>
  <c r="V146" i="33" s="1"/>
  <c r="U20" i="21"/>
  <c r="Z65" i="36"/>
  <c r="AM100" i="43"/>
  <c r="AN100" i="43" s="1"/>
  <c r="AF81" i="36"/>
  <c r="AF49" i="33"/>
  <c r="T146" i="33"/>
  <c r="T100" i="43"/>
  <c r="AF17" i="21"/>
  <c r="T51" i="36"/>
  <c r="AF133" i="33"/>
  <c r="AK133" i="42"/>
  <c r="Z99" i="37"/>
  <c r="AF20" i="21"/>
  <c r="AG17" i="21"/>
  <c r="AH17" i="21" s="1"/>
  <c r="U100" i="43"/>
  <c r="V100" i="43" s="1"/>
  <c r="AG131" i="43"/>
  <c r="AH131" i="43" s="1"/>
  <c r="AA99" i="37"/>
  <c r="AB99" i="37" s="1"/>
  <c r="AG20" i="21"/>
  <c r="AH20" i="21" s="1"/>
  <c r="AF149" i="36"/>
  <c r="AF131" i="43"/>
  <c r="AG52" i="21"/>
  <c r="AH52" i="21" s="1"/>
  <c r="AG149" i="36"/>
  <c r="AH149" i="36" s="1"/>
  <c r="AF52" i="21"/>
  <c r="AA83" i="37"/>
  <c r="AB83" i="37" s="1"/>
  <c r="AF50" i="36"/>
  <c r="T133" i="42"/>
  <c r="U133" i="42"/>
  <c r="V133" i="42" s="1"/>
  <c r="Z115" i="37"/>
  <c r="T17" i="36"/>
  <c r="AA115" i="37"/>
  <c r="AB115" i="37" s="1"/>
  <c r="U17" i="36"/>
  <c r="V17" i="36" s="1"/>
  <c r="AA117" i="37"/>
  <c r="AB117" i="37" s="1"/>
  <c r="AF17" i="36"/>
  <c r="AG17" i="36"/>
  <c r="AH17" i="36" s="1"/>
  <c r="Z131" i="43"/>
  <c r="AA131" i="43"/>
  <c r="AB131" i="43" s="1"/>
  <c r="Z81" i="36"/>
  <c r="AA81" i="36"/>
  <c r="AB81" i="36" s="1"/>
  <c r="Y85" i="36"/>
  <c r="AA18" i="42"/>
  <c r="AB18" i="42" s="1"/>
  <c r="AA115" i="21"/>
  <c r="AB115" i="21" s="1"/>
  <c r="Y133" i="42"/>
  <c r="Z133" i="42"/>
  <c r="AL149" i="36"/>
  <c r="AM149" i="36"/>
  <c r="AN149" i="36" s="1"/>
  <c r="Z100" i="43"/>
  <c r="AA100" i="43"/>
  <c r="AB100" i="43" s="1"/>
  <c r="T115" i="37"/>
  <c r="AL133" i="42"/>
  <c r="AL81" i="36"/>
  <c r="AM81" i="36"/>
  <c r="AN81" i="36" s="1"/>
  <c r="U115" i="37"/>
  <c r="V115" i="37" s="1"/>
  <c r="AG116" i="37"/>
  <c r="AH116" i="37" s="1"/>
  <c r="AF116" i="37"/>
  <c r="AG52" i="42"/>
  <c r="AH52" i="42" s="1"/>
  <c r="AF52" i="42"/>
  <c r="U115" i="36"/>
  <c r="V115" i="36" s="1"/>
  <c r="T115" i="36"/>
  <c r="T133" i="37"/>
  <c r="U133" i="37"/>
  <c r="V133" i="37" s="1"/>
  <c r="AF118" i="33"/>
  <c r="AG118" i="33"/>
  <c r="AH118" i="33" s="1"/>
  <c r="AG20" i="33"/>
  <c r="AH20" i="33" s="1"/>
  <c r="AF20" i="33"/>
  <c r="U53" i="43"/>
  <c r="V53" i="43" s="1"/>
  <c r="T53" i="43"/>
  <c r="AF149" i="42"/>
  <c r="AG149" i="42"/>
  <c r="AH149" i="42" s="1"/>
  <c r="AA83" i="21"/>
  <c r="AB83" i="21" s="1"/>
  <c r="Z83" i="21"/>
  <c r="Z117" i="43"/>
  <c r="AA117" i="43"/>
  <c r="AB117" i="43" s="1"/>
  <c r="Z116" i="33"/>
  <c r="AA116" i="33"/>
  <c r="AB116" i="33" s="1"/>
  <c r="U84" i="36"/>
  <c r="V84" i="36" s="1"/>
  <c r="T84" i="36"/>
  <c r="Z101" i="33"/>
  <c r="AA101" i="33"/>
  <c r="AB101" i="33" s="1"/>
  <c r="AF132" i="21"/>
  <c r="AG132" i="21"/>
  <c r="AH132" i="21" s="1"/>
  <c r="AF68" i="33"/>
  <c r="AG68" i="33"/>
  <c r="AH68" i="33" s="1"/>
  <c r="AG113" i="43"/>
  <c r="AH113" i="43" s="1"/>
  <c r="AF113" i="43"/>
  <c r="AF52" i="37"/>
  <c r="AG52" i="37"/>
  <c r="AH52" i="37" s="1"/>
  <c r="AA129" i="21"/>
  <c r="AB129" i="21" s="1"/>
  <c r="Z129" i="21"/>
  <c r="Z116" i="36"/>
  <c r="AA116" i="36"/>
  <c r="AB116" i="36" s="1"/>
  <c r="AA117" i="42"/>
  <c r="AB117" i="42" s="1"/>
  <c r="Z117" i="42"/>
  <c r="T148" i="37"/>
  <c r="U148" i="37"/>
  <c r="V148" i="37" s="1"/>
  <c r="Z84" i="43"/>
  <c r="AA84" i="43"/>
  <c r="AB84" i="43" s="1"/>
  <c r="AL115" i="43"/>
  <c r="AM115" i="43"/>
  <c r="AN115" i="43" s="1"/>
  <c r="T146" i="36"/>
  <c r="U146" i="36"/>
  <c r="V146" i="36" s="1"/>
  <c r="AA117" i="36"/>
  <c r="AB117" i="36" s="1"/>
  <c r="Z117" i="36"/>
  <c r="AM70" i="36"/>
  <c r="AN70" i="36" s="1"/>
  <c r="AL70" i="36"/>
  <c r="Z68" i="33"/>
  <c r="AA68" i="33"/>
  <c r="AB68" i="33" s="1"/>
  <c r="Z97" i="33"/>
  <c r="AA97" i="33"/>
  <c r="AB97" i="33" s="1"/>
  <c r="AF50" i="33"/>
  <c r="AG50" i="33"/>
  <c r="AH50" i="33" s="1"/>
  <c r="AM69" i="21"/>
  <c r="AN69" i="21" s="1"/>
  <c r="AL69" i="21"/>
  <c r="AG114" i="21"/>
  <c r="AH114" i="21" s="1"/>
  <c r="AF114" i="21"/>
  <c r="AM113" i="37"/>
  <c r="AN113" i="37" s="1"/>
  <c r="AL113" i="37"/>
  <c r="AF129" i="33"/>
  <c r="AG129" i="33"/>
  <c r="AH129" i="33" s="1"/>
  <c r="AF50" i="21"/>
  <c r="AG50" i="21"/>
  <c r="AH50" i="21" s="1"/>
  <c r="AA65" i="21"/>
  <c r="AB65" i="21" s="1"/>
  <c r="Z65" i="21"/>
  <c r="AG100" i="36"/>
  <c r="AH100" i="36" s="1"/>
  <c r="AF100" i="36"/>
  <c r="AL66" i="21"/>
  <c r="AM66" i="21"/>
  <c r="AN66" i="21" s="1"/>
  <c r="U146" i="21"/>
  <c r="V146" i="21" s="1"/>
  <c r="T146" i="21"/>
  <c r="AF130" i="36"/>
  <c r="AG130" i="36"/>
  <c r="AH130" i="36" s="1"/>
  <c r="AG134" i="42"/>
  <c r="AH134" i="42" s="1"/>
  <c r="AF134" i="42"/>
  <c r="T82" i="42"/>
  <c r="U82" i="42"/>
  <c r="V82" i="42" s="1"/>
  <c r="AM113" i="43"/>
  <c r="AN113" i="43" s="1"/>
  <c r="AL113" i="43"/>
  <c r="AL130" i="43"/>
  <c r="AM130" i="43"/>
  <c r="AN130" i="43" s="1"/>
  <c r="AG147" i="37"/>
  <c r="AH147" i="37" s="1"/>
  <c r="AF147" i="37"/>
  <c r="AM52" i="37"/>
  <c r="AN52" i="37" s="1"/>
  <c r="AL52" i="37"/>
  <c r="AA102" i="42"/>
  <c r="AB102" i="42" s="1"/>
  <c r="Z102" i="42"/>
  <c r="U131" i="37"/>
  <c r="V131" i="37" s="1"/>
  <c r="T131" i="37"/>
  <c r="AG150" i="33"/>
  <c r="AH150" i="33" s="1"/>
  <c r="AF150" i="33"/>
  <c r="AB34" i="37"/>
  <c r="Z150" i="37"/>
  <c r="AA150" i="37"/>
  <c r="AB150" i="37" s="1"/>
  <c r="AA116" i="21"/>
  <c r="AB116" i="21" s="1"/>
  <c r="Z116" i="21"/>
  <c r="AM69" i="36"/>
  <c r="AN69" i="36" s="1"/>
  <c r="AL69" i="36"/>
  <c r="AG147" i="33"/>
  <c r="AH147" i="33" s="1"/>
  <c r="AF147" i="33"/>
  <c r="AG113" i="36"/>
  <c r="AH113" i="36" s="1"/>
  <c r="AF113" i="36"/>
  <c r="AM102" i="36"/>
  <c r="AN102" i="36" s="1"/>
  <c r="AL102" i="36"/>
  <c r="U148" i="42"/>
  <c r="V148" i="42" s="1"/>
  <c r="T148" i="42"/>
  <c r="T33" i="36"/>
  <c r="U33" i="36"/>
  <c r="V33" i="36" s="1"/>
  <c r="AG17" i="37"/>
  <c r="AH17" i="37" s="1"/>
  <c r="AF17" i="37"/>
  <c r="U84" i="33"/>
  <c r="V84" i="33" s="1"/>
  <c r="T84" i="33"/>
  <c r="AA34" i="21"/>
  <c r="AB34" i="21" s="1"/>
  <c r="Z34" i="21"/>
  <c r="AM118" i="42"/>
  <c r="AN118" i="42" s="1"/>
  <c r="AL118" i="42"/>
  <c r="T70" i="33"/>
  <c r="U129" i="21"/>
  <c r="V129" i="21" s="1"/>
  <c r="T129" i="21"/>
  <c r="Z68" i="37"/>
  <c r="AA68" i="37"/>
  <c r="AB68" i="37" s="1"/>
  <c r="U102" i="33"/>
  <c r="V102" i="33" s="1"/>
  <c r="T102" i="33"/>
  <c r="U83" i="43"/>
  <c r="V83" i="43" s="1"/>
  <c r="T83" i="43"/>
  <c r="AM118" i="37"/>
  <c r="AN118" i="37" s="1"/>
  <c r="AL118" i="37"/>
  <c r="T19" i="42"/>
  <c r="U19" i="42"/>
  <c r="V19" i="42" s="1"/>
  <c r="AG85" i="21"/>
  <c r="AH85" i="21" s="1"/>
  <c r="AF85" i="21"/>
  <c r="AM115" i="42"/>
  <c r="AN115" i="42" s="1"/>
  <c r="AL115" i="42"/>
  <c r="AG99" i="33"/>
  <c r="AH99" i="33" s="1"/>
  <c r="AF99" i="33"/>
  <c r="Z115" i="33"/>
  <c r="AA115" i="33"/>
  <c r="AB115" i="33" s="1"/>
  <c r="AM19" i="33"/>
  <c r="AN19" i="33" s="1"/>
  <c r="AL19" i="33"/>
  <c r="U85" i="43"/>
  <c r="V85" i="43" s="1"/>
  <c r="T85" i="43"/>
  <c r="AL100" i="42"/>
  <c r="AM100" i="42"/>
  <c r="AN100" i="42" s="1"/>
  <c r="AM132" i="37"/>
  <c r="AN132" i="37" s="1"/>
  <c r="AL132" i="37"/>
  <c r="AG131" i="33"/>
  <c r="AH131" i="33" s="1"/>
  <c r="AF131" i="33"/>
  <c r="T116" i="36"/>
  <c r="U116" i="36"/>
  <c r="V116" i="36" s="1"/>
  <c r="Z70" i="43"/>
  <c r="AA70" i="43"/>
  <c r="AB70" i="43" s="1"/>
  <c r="Z32" i="42"/>
  <c r="AA32" i="42"/>
  <c r="AB32" i="42" s="1"/>
  <c r="AG51" i="37"/>
  <c r="AH51" i="37" s="1"/>
  <c r="AF51" i="37"/>
  <c r="U18" i="21"/>
  <c r="T18" i="21"/>
  <c r="U67" i="43"/>
  <c r="T67" i="43"/>
  <c r="AF114" i="33"/>
  <c r="AG114" i="33"/>
  <c r="AH114" i="33" s="1"/>
  <c r="U113" i="21"/>
  <c r="V113" i="21" s="1"/>
  <c r="T113" i="21"/>
  <c r="U117" i="42"/>
  <c r="V117" i="42" s="1"/>
  <c r="T117" i="42"/>
  <c r="AM82" i="37"/>
  <c r="AN82" i="37" s="1"/>
  <c r="AL82" i="37"/>
  <c r="Z148" i="37"/>
  <c r="AA148" i="37"/>
  <c r="AB148" i="37" s="1"/>
  <c r="T49" i="21"/>
  <c r="U49" i="21"/>
  <c r="V49" i="21" s="1"/>
  <c r="Z134" i="36"/>
  <c r="AA134" i="36"/>
  <c r="AB134" i="36" s="1"/>
  <c r="T129" i="42"/>
  <c r="U129" i="42"/>
  <c r="V129" i="42" s="1"/>
  <c r="AL84" i="43"/>
  <c r="AM84" i="43"/>
  <c r="AN84" i="43" s="1"/>
  <c r="AG65" i="43"/>
  <c r="AH65" i="43" s="1"/>
  <c r="AF65" i="43"/>
  <c r="AM102" i="43"/>
  <c r="AN102" i="43" s="1"/>
  <c r="AL102" i="43"/>
  <c r="Z33" i="42"/>
  <c r="AA33" i="42"/>
  <c r="AB33" i="42" s="1"/>
  <c r="AL117" i="33"/>
  <c r="AM117" i="33"/>
  <c r="AN117" i="33" s="1"/>
  <c r="Z100" i="37"/>
  <c r="AA100" i="37"/>
  <c r="AB100" i="37" s="1"/>
  <c r="AM82" i="21"/>
  <c r="AN82" i="21" s="1"/>
  <c r="AL82" i="21"/>
  <c r="AF151" i="37"/>
  <c r="AG151" i="37"/>
  <c r="AH151" i="37" s="1"/>
  <c r="U21" i="36"/>
  <c r="V21" i="36" s="1"/>
  <c r="T21" i="36"/>
  <c r="T49" i="43"/>
  <c r="U49" i="43"/>
  <c r="V49" i="43" s="1"/>
  <c r="U147" i="36"/>
  <c r="V147" i="36" s="1"/>
  <c r="T147" i="36"/>
  <c r="AA17" i="42"/>
  <c r="AB17" i="42" s="1"/>
  <c r="Z17" i="42"/>
  <c r="U114" i="36"/>
  <c r="V114" i="36" s="1"/>
  <c r="T114" i="36"/>
  <c r="AM150" i="36"/>
  <c r="AN150" i="36" s="1"/>
  <c r="AL150" i="36"/>
  <c r="U16" i="33"/>
  <c r="V16" i="33" s="1"/>
  <c r="T16" i="33"/>
  <c r="Z146" i="36"/>
  <c r="AA146" i="36"/>
  <c r="AB146" i="36" s="1"/>
  <c r="U20" i="42"/>
  <c r="V20" i="42" s="1"/>
  <c r="T20" i="42"/>
  <c r="Z51" i="33"/>
  <c r="AA51" i="33"/>
  <c r="AB51" i="33" s="1"/>
  <c r="T98" i="43"/>
  <c r="U98" i="43"/>
  <c r="V98" i="43" s="1"/>
  <c r="AM20" i="37"/>
  <c r="AN20" i="37" s="1"/>
  <c r="AL20" i="37"/>
  <c r="AG52" i="43"/>
  <c r="AH52" i="43" s="1"/>
  <c r="AF52" i="43"/>
  <c r="AM65" i="37"/>
  <c r="AN65" i="37" s="1"/>
  <c r="AL65" i="37"/>
  <c r="U130" i="33"/>
  <c r="V130" i="33" s="1"/>
  <c r="T130" i="33"/>
  <c r="U52" i="33"/>
  <c r="V52" i="33" s="1"/>
  <c r="T52" i="33"/>
  <c r="AM151" i="42"/>
  <c r="AN151" i="42" s="1"/>
  <c r="AL151" i="42"/>
  <c r="T19" i="43"/>
  <c r="U19" i="43"/>
  <c r="V19" i="43" s="1"/>
  <c r="Z67" i="42"/>
  <c r="AA67" i="42"/>
  <c r="AB67" i="42" s="1"/>
  <c r="AA67" i="37"/>
  <c r="AB67" i="37" s="1"/>
  <c r="Z67" i="37"/>
  <c r="AG115" i="36"/>
  <c r="AH115" i="36" s="1"/>
  <c r="AF115" i="36"/>
  <c r="AL133" i="37"/>
  <c r="AM133" i="37"/>
  <c r="AN133" i="37" s="1"/>
  <c r="U67" i="21"/>
  <c r="V67" i="21" s="1"/>
  <c r="T67" i="21"/>
  <c r="T118" i="33"/>
  <c r="U118" i="33"/>
  <c r="V118" i="33" s="1"/>
  <c r="T20" i="33"/>
  <c r="U20" i="33"/>
  <c r="V20" i="33" s="1"/>
  <c r="AF51" i="43"/>
  <c r="AG51" i="43"/>
  <c r="AH51" i="43" s="1"/>
  <c r="T83" i="21"/>
  <c r="U83" i="21"/>
  <c r="V83" i="21" s="1"/>
  <c r="AG117" i="43"/>
  <c r="AH117" i="43" s="1"/>
  <c r="AF117" i="43"/>
  <c r="AF86" i="42"/>
  <c r="AG86" i="42"/>
  <c r="AH86" i="42" s="1"/>
  <c r="AM116" i="33"/>
  <c r="AN116" i="33" s="1"/>
  <c r="AL116" i="33"/>
  <c r="AG81" i="43"/>
  <c r="AH81" i="43" s="1"/>
  <c r="AF81" i="43"/>
  <c r="U101" i="33"/>
  <c r="V101" i="33" s="1"/>
  <c r="T101" i="33"/>
  <c r="AM69" i="42"/>
  <c r="AN69" i="42" s="1"/>
  <c r="AL69" i="42"/>
  <c r="Z98" i="36"/>
  <c r="AA98" i="36"/>
  <c r="AB98" i="36" s="1"/>
  <c r="T133" i="36"/>
  <c r="U133" i="36"/>
  <c r="V133" i="36" s="1"/>
  <c r="AM132" i="21"/>
  <c r="AN132" i="21" s="1"/>
  <c r="AL132" i="21"/>
  <c r="U130" i="36"/>
  <c r="V130" i="36" s="1"/>
  <c r="T130" i="36"/>
  <c r="AA98" i="37"/>
  <c r="AB98" i="37" s="1"/>
  <c r="Z98" i="37"/>
  <c r="AG34" i="21"/>
  <c r="AH34" i="21" s="1"/>
  <c r="AF34" i="21"/>
  <c r="AM68" i="37"/>
  <c r="AN68" i="37" s="1"/>
  <c r="AL68" i="37"/>
  <c r="AM19" i="37"/>
  <c r="AN19" i="37" s="1"/>
  <c r="AL19" i="37"/>
  <c r="AM32" i="42"/>
  <c r="AN32" i="42" s="1"/>
  <c r="AL32" i="42"/>
  <c r="AL118" i="36"/>
  <c r="AM118" i="36"/>
  <c r="AN118" i="36" s="1"/>
  <c r="Z34" i="42"/>
  <c r="AA34" i="42"/>
  <c r="AB34" i="42" s="1"/>
  <c r="U100" i="37"/>
  <c r="V100" i="37" s="1"/>
  <c r="T100" i="37"/>
  <c r="Z118" i="43"/>
  <c r="AA118" i="43"/>
  <c r="AB118" i="43" s="1"/>
  <c r="U68" i="33"/>
  <c r="V68" i="33" s="1"/>
  <c r="T68" i="33"/>
  <c r="T97" i="33"/>
  <c r="U97" i="33"/>
  <c r="V97" i="33" s="1"/>
  <c r="AM50" i="33"/>
  <c r="AN50" i="33" s="1"/>
  <c r="AL50" i="33"/>
  <c r="T69" i="21"/>
  <c r="U69" i="21"/>
  <c r="V69" i="21" s="1"/>
  <c r="T113" i="37"/>
  <c r="U113" i="37"/>
  <c r="V113" i="37" s="1"/>
  <c r="AG20" i="43"/>
  <c r="AH20" i="43" s="1"/>
  <c r="AF20" i="43"/>
  <c r="T50" i="42"/>
  <c r="U50" i="42"/>
  <c r="V50" i="42" s="1"/>
  <c r="AG99" i="43"/>
  <c r="AH99" i="43" s="1"/>
  <c r="AF99" i="43"/>
  <c r="AM129" i="33"/>
  <c r="AN129" i="33" s="1"/>
  <c r="AL129" i="33"/>
  <c r="AL65" i="21"/>
  <c r="AM65" i="21"/>
  <c r="AN65" i="21" s="1"/>
  <c r="AL100" i="36"/>
  <c r="AM100" i="36"/>
  <c r="AN100" i="36" s="1"/>
  <c r="AL146" i="21"/>
  <c r="AM146" i="21"/>
  <c r="AN146" i="21" s="1"/>
  <c r="AM130" i="36"/>
  <c r="AN130" i="36" s="1"/>
  <c r="AL130" i="36"/>
  <c r="U134" i="42"/>
  <c r="V134" i="42" s="1"/>
  <c r="T134" i="42"/>
  <c r="Z82" i="42"/>
  <c r="AA82" i="42"/>
  <c r="AB82" i="42" s="1"/>
  <c r="AA130" i="43"/>
  <c r="AB130" i="43" s="1"/>
  <c r="Z130" i="43"/>
  <c r="AA131" i="37"/>
  <c r="AB131" i="37" s="1"/>
  <c r="Z131" i="37"/>
  <c r="AM150" i="33"/>
  <c r="AN150" i="33" s="1"/>
  <c r="AL150" i="33"/>
  <c r="AA86" i="36"/>
  <c r="AB86" i="36" s="1"/>
  <c r="Z86" i="36"/>
  <c r="Z66" i="37"/>
  <c r="AA66" i="37"/>
  <c r="AB66" i="37" s="1"/>
  <c r="AN34" i="37"/>
  <c r="AF116" i="21"/>
  <c r="AG116" i="21"/>
  <c r="AH116" i="21" s="1"/>
  <c r="AF69" i="36"/>
  <c r="AG69" i="36"/>
  <c r="AH69" i="36" s="1"/>
  <c r="AL97" i="42"/>
  <c r="AM97" i="42"/>
  <c r="AN97" i="42" s="1"/>
  <c r="AM98" i="21"/>
  <c r="AN98" i="21" s="1"/>
  <c r="AL98" i="21"/>
  <c r="AF133" i="21"/>
  <c r="AG133" i="21"/>
  <c r="AH133" i="21" s="1"/>
  <c r="AA148" i="42"/>
  <c r="AB148" i="42" s="1"/>
  <c r="Z148" i="42"/>
  <c r="AG33" i="36"/>
  <c r="AH33" i="36" s="1"/>
  <c r="AF33" i="36"/>
  <c r="AL17" i="37"/>
  <c r="AM17" i="37"/>
  <c r="AN17" i="37" s="1"/>
  <c r="AM84" i="33"/>
  <c r="AN84" i="33" s="1"/>
  <c r="AL84" i="33"/>
  <c r="AL34" i="21"/>
  <c r="AM34" i="21"/>
  <c r="AN34" i="21" s="1"/>
  <c r="Z118" i="42"/>
  <c r="AA118" i="42"/>
  <c r="AB118" i="42" s="1"/>
  <c r="AG70" i="33"/>
  <c r="AH70" i="33" s="1"/>
  <c r="AF70" i="33"/>
  <c r="AG129" i="21"/>
  <c r="AH129" i="21" s="1"/>
  <c r="AF129" i="21"/>
  <c r="U68" i="37"/>
  <c r="V68" i="37" s="1"/>
  <c r="T68" i="37"/>
  <c r="AF102" i="33"/>
  <c r="AG102" i="33"/>
  <c r="AH102" i="33" s="1"/>
  <c r="Z70" i="21"/>
  <c r="AA70" i="21"/>
  <c r="AB70" i="21" s="1"/>
  <c r="Z83" i="43"/>
  <c r="AA83" i="43"/>
  <c r="AB83" i="43" s="1"/>
  <c r="U118" i="37"/>
  <c r="V118" i="37" s="1"/>
  <c r="T118" i="37"/>
  <c r="AG19" i="42"/>
  <c r="AH19" i="42" s="1"/>
  <c r="AF19" i="42"/>
  <c r="Z85" i="21"/>
  <c r="AA85" i="21"/>
  <c r="AB85" i="21" s="1"/>
  <c r="AM19" i="21"/>
  <c r="AN19" i="21" s="1"/>
  <c r="AL19" i="21"/>
  <c r="T19" i="33"/>
  <c r="U19" i="33"/>
  <c r="V19" i="33" s="1"/>
  <c r="AF85" i="43"/>
  <c r="AG85" i="43"/>
  <c r="AH85" i="43" s="1"/>
  <c r="U131" i="21"/>
  <c r="V131" i="21" s="1"/>
  <c r="T131" i="21"/>
  <c r="AF53" i="37"/>
  <c r="AG53" i="37"/>
  <c r="AH53" i="37" s="1"/>
  <c r="AM131" i="33"/>
  <c r="AN131" i="33" s="1"/>
  <c r="AL131" i="33"/>
  <c r="AG116" i="36"/>
  <c r="AH116" i="36" s="1"/>
  <c r="AF116" i="36"/>
  <c r="AF70" i="43"/>
  <c r="AG70" i="43"/>
  <c r="AH70" i="43" s="1"/>
  <c r="U51" i="37"/>
  <c r="V51" i="37" s="1"/>
  <c r="T51" i="37"/>
  <c r="T114" i="33"/>
  <c r="U114" i="33"/>
  <c r="V114" i="33" s="1"/>
  <c r="Z82" i="43"/>
  <c r="AA82" i="43"/>
  <c r="AB82" i="43" s="1"/>
  <c r="AA16" i="21"/>
  <c r="AB16" i="21" s="1"/>
  <c r="Z16" i="21"/>
  <c r="S113" i="21"/>
  <c r="Y34" i="42"/>
  <c r="AF117" i="42"/>
  <c r="AG117" i="42"/>
  <c r="AH117" i="42" s="1"/>
  <c r="U82" i="37"/>
  <c r="V82" i="37" s="1"/>
  <c r="T82" i="37"/>
  <c r="AG148" i="37"/>
  <c r="AH148" i="37" s="1"/>
  <c r="AF148" i="37"/>
  <c r="AL49" i="21"/>
  <c r="AM49" i="21"/>
  <c r="AN49" i="21" s="1"/>
  <c r="T66" i="43"/>
  <c r="U66" i="43"/>
  <c r="V66" i="43" s="1"/>
  <c r="AL134" i="36"/>
  <c r="AM134" i="36"/>
  <c r="AN134" i="36" s="1"/>
  <c r="AF129" i="42"/>
  <c r="AG129" i="42"/>
  <c r="AH129" i="42" s="1"/>
  <c r="AG84" i="43"/>
  <c r="AH84" i="43" s="1"/>
  <c r="AF84" i="43"/>
  <c r="AG97" i="36"/>
  <c r="AH97" i="36" s="1"/>
  <c r="AF97" i="36"/>
  <c r="T65" i="43"/>
  <c r="Z102" i="43"/>
  <c r="AA102" i="43"/>
  <c r="AB102" i="43" s="1"/>
  <c r="AG33" i="42"/>
  <c r="AH33" i="42" s="1"/>
  <c r="AF33" i="42"/>
  <c r="AG114" i="37"/>
  <c r="AH114" i="37" s="1"/>
  <c r="AF114" i="37"/>
  <c r="U70" i="37"/>
  <c r="V70" i="37" s="1"/>
  <c r="T70" i="37"/>
  <c r="AA98" i="33"/>
  <c r="AB98" i="33" s="1"/>
  <c r="Z98" i="33"/>
  <c r="AF100" i="37"/>
  <c r="AG100" i="37"/>
  <c r="AH100" i="37" s="1"/>
  <c r="AA113" i="42"/>
  <c r="AB113" i="42" s="1"/>
  <c r="Z113" i="42"/>
  <c r="U82" i="21"/>
  <c r="V82" i="21" s="1"/>
  <c r="T82" i="21"/>
  <c r="AA21" i="36"/>
  <c r="AB21" i="36" s="1"/>
  <c r="Z21" i="36"/>
  <c r="AG49" i="43"/>
  <c r="AH49" i="43" s="1"/>
  <c r="AF49" i="43"/>
  <c r="AA147" i="36"/>
  <c r="AB147" i="36" s="1"/>
  <c r="Z147" i="36"/>
  <c r="AG148" i="33"/>
  <c r="AH148" i="33" s="1"/>
  <c r="AF148" i="33"/>
  <c r="AL17" i="42"/>
  <c r="AM17" i="42"/>
  <c r="AN17" i="42" s="1"/>
  <c r="AL114" i="36"/>
  <c r="AM114" i="36"/>
  <c r="AN114" i="36" s="1"/>
  <c r="U150" i="36"/>
  <c r="V150" i="36" s="1"/>
  <c r="T150" i="36"/>
  <c r="AA20" i="36"/>
  <c r="AB20" i="36" s="1"/>
  <c r="Z20" i="36"/>
  <c r="Y146" i="36"/>
  <c r="S20" i="42"/>
  <c r="AG51" i="33"/>
  <c r="AH51" i="33" s="1"/>
  <c r="AF51" i="33"/>
  <c r="Z98" i="43"/>
  <c r="AA98" i="43"/>
  <c r="AB98" i="43" s="1"/>
  <c r="AA114" i="42"/>
  <c r="AB114" i="42" s="1"/>
  <c r="Z114" i="42"/>
  <c r="AF20" i="37"/>
  <c r="AG20" i="37"/>
  <c r="AH20" i="37" s="1"/>
  <c r="AL18" i="33"/>
  <c r="AM18" i="33"/>
  <c r="AN18" i="33" s="1"/>
  <c r="AG65" i="37"/>
  <c r="AH65" i="37" s="1"/>
  <c r="AF65" i="37"/>
  <c r="AF130" i="33"/>
  <c r="AG130" i="33"/>
  <c r="AH130" i="33" s="1"/>
  <c r="Z85" i="37"/>
  <c r="AA85" i="37"/>
  <c r="AB85" i="37" s="1"/>
  <c r="Y117" i="36"/>
  <c r="AA151" i="42"/>
  <c r="AB151" i="42" s="1"/>
  <c r="Z151" i="42"/>
  <c r="AF19" i="43"/>
  <c r="AG19" i="43"/>
  <c r="AH19" i="43" s="1"/>
  <c r="AG67" i="42"/>
  <c r="AH67" i="42" s="1"/>
  <c r="AF67" i="42"/>
  <c r="AG67" i="37"/>
  <c r="AH67" i="37" s="1"/>
  <c r="AF67" i="37"/>
  <c r="AA133" i="37"/>
  <c r="AB133" i="37" s="1"/>
  <c r="Z133" i="37"/>
  <c r="AF67" i="21"/>
  <c r="AG67" i="21"/>
  <c r="AH67" i="21" s="1"/>
  <c r="AA118" i="33"/>
  <c r="AB118" i="33" s="1"/>
  <c r="Z118" i="33"/>
  <c r="AA20" i="33"/>
  <c r="AB20" i="33" s="1"/>
  <c r="Z20" i="33"/>
  <c r="S53" i="43"/>
  <c r="AL51" i="43"/>
  <c r="AM51" i="43"/>
  <c r="AN51" i="43" s="1"/>
  <c r="AG83" i="21"/>
  <c r="AH83" i="21" s="1"/>
  <c r="AF83" i="21"/>
  <c r="U117" i="43"/>
  <c r="V117" i="43" s="1"/>
  <c r="T117" i="43"/>
  <c r="Z86" i="42"/>
  <c r="AA86" i="42"/>
  <c r="AB86" i="42" s="1"/>
  <c r="S84" i="36"/>
  <c r="Z81" i="43"/>
  <c r="AA81" i="43"/>
  <c r="AB81" i="43" s="1"/>
  <c r="Y101" i="33"/>
  <c r="T69" i="42"/>
  <c r="U69" i="42"/>
  <c r="V69" i="42" s="1"/>
  <c r="AG98" i="36"/>
  <c r="AH98" i="36" s="1"/>
  <c r="AF98" i="36"/>
  <c r="Z133" i="36"/>
  <c r="AA133" i="36"/>
  <c r="AB133" i="36" s="1"/>
  <c r="Z134" i="43"/>
  <c r="AA134" i="43"/>
  <c r="AB134" i="43" s="1"/>
  <c r="AG70" i="36"/>
  <c r="AH70" i="36" s="1"/>
  <c r="AF70" i="36"/>
  <c r="AM97" i="33"/>
  <c r="AN97" i="33" s="1"/>
  <c r="AL97" i="33"/>
  <c r="AL102" i="42"/>
  <c r="AM102" i="42"/>
  <c r="AN102" i="42" s="1"/>
  <c r="V34" i="37"/>
  <c r="Z99" i="33"/>
  <c r="AA99" i="33"/>
  <c r="AB99" i="33" s="1"/>
  <c r="AA132" i="37"/>
  <c r="AB132" i="37" s="1"/>
  <c r="Z132" i="37"/>
  <c r="AL51" i="37"/>
  <c r="AM51" i="37"/>
  <c r="AN51" i="37" s="1"/>
  <c r="AG67" i="43"/>
  <c r="AH67" i="43" s="1"/>
  <c r="AF67" i="43"/>
  <c r="AF82" i="37"/>
  <c r="AG82" i="37"/>
  <c r="AH82" i="37" s="1"/>
  <c r="T102" i="43"/>
  <c r="U102" i="43"/>
  <c r="V102" i="43" s="1"/>
  <c r="U33" i="42"/>
  <c r="V33" i="42" s="1"/>
  <c r="T33" i="42"/>
  <c r="AM113" i="33"/>
  <c r="AN113" i="33" s="1"/>
  <c r="AL113" i="33"/>
  <c r="AM98" i="43"/>
  <c r="AN98" i="43" s="1"/>
  <c r="AL98" i="43"/>
  <c r="Z19" i="43"/>
  <c r="AA19" i="43"/>
  <c r="AB19" i="43" s="1"/>
  <c r="T67" i="42"/>
  <c r="U67" i="42"/>
  <c r="V67" i="42" s="1"/>
  <c r="AG118" i="43"/>
  <c r="AH118" i="43" s="1"/>
  <c r="AF118" i="43"/>
  <c r="S68" i="33"/>
  <c r="S97" i="33"/>
  <c r="Z69" i="21"/>
  <c r="AA69" i="21"/>
  <c r="AB69" i="21" s="1"/>
  <c r="AF82" i="36"/>
  <c r="AG82" i="36"/>
  <c r="AH82" i="36" s="1"/>
  <c r="AM16" i="36"/>
  <c r="AN16" i="36" s="1"/>
  <c r="AL16" i="36"/>
  <c r="Z113" i="37"/>
  <c r="AA113" i="37"/>
  <c r="AB113" i="37" s="1"/>
  <c r="AM20" i="43"/>
  <c r="AN20" i="43" s="1"/>
  <c r="AL20" i="43"/>
  <c r="AA50" i="42"/>
  <c r="AB50" i="42" s="1"/>
  <c r="Z50" i="42"/>
  <c r="AA99" i="43"/>
  <c r="AB99" i="43" s="1"/>
  <c r="Z99" i="43"/>
  <c r="AA129" i="33"/>
  <c r="AB129" i="33" s="1"/>
  <c r="Z129" i="33"/>
  <c r="U65" i="21"/>
  <c r="V65" i="21" s="1"/>
  <c r="T65" i="21"/>
  <c r="T100" i="36"/>
  <c r="U100" i="36"/>
  <c r="V100" i="36" s="1"/>
  <c r="T150" i="21"/>
  <c r="U150" i="21"/>
  <c r="V150" i="21" s="1"/>
  <c r="Z146" i="21"/>
  <c r="AA146" i="21"/>
  <c r="AB146" i="21" s="1"/>
  <c r="AM134" i="42"/>
  <c r="AN134" i="42" s="1"/>
  <c r="AL134" i="42"/>
  <c r="AA68" i="36"/>
  <c r="AB68" i="36" s="1"/>
  <c r="Z68" i="36"/>
  <c r="AG82" i="42"/>
  <c r="AH82" i="42" s="1"/>
  <c r="AF82" i="42"/>
  <c r="T130" i="43"/>
  <c r="U130" i="43"/>
  <c r="V130" i="43" s="1"/>
  <c r="AF131" i="37"/>
  <c r="AG131" i="37"/>
  <c r="AH131" i="37" s="1"/>
  <c r="Z150" i="33"/>
  <c r="AA150" i="33"/>
  <c r="AB150" i="33" s="1"/>
  <c r="U99" i="42"/>
  <c r="V99" i="42" s="1"/>
  <c r="T99" i="42"/>
  <c r="T86" i="36"/>
  <c r="U86" i="36"/>
  <c r="V86" i="36" s="1"/>
  <c r="AF66" i="37"/>
  <c r="AG66" i="37"/>
  <c r="AH66" i="37" s="1"/>
  <c r="S34" i="37"/>
  <c r="Y150" i="37"/>
  <c r="AL116" i="21"/>
  <c r="AM116" i="21"/>
  <c r="AN116" i="21" s="1"/>
  <c r="AF97" i="43"/>
  <c r="AA69" i="36"/>
  <c r="AB69" i="36" s="1"/>
  <c r="Z69" i="36"/>
  <c r="AA98" i="21"/>
  <c r="AB98" i="21" s="1"/>
  <c r="Z98" i="21"/>
  <c r="AG148" i="42"/>
  <c r="AH148" i="42" s="1"/>
  <c r="AF148" i="42"/>
  <c r="AM33" i="36"/>
  <c r="AN33" i="36" s="1"/>
  <c r="AL33" i="36"/>
  <c r="AA84" i="33"/>
  <c r="AB84" i="33" s="1"/>
  <c r="Z84" i="33"/>
  <c r="U34" i="21"/>
  <c r="T34" i="21"/>
  <c r="Z16" i="42"/>
  <c r="AA16" i="42"/>
  <c r="AB16" i="42" s="1"/>
  <c r="AG118" i="42"/>
  <c r="AH118" i="42" s="1"/>
  <c r="AF118" i="42"/>
  <c r="AA65" i="33"/>
  <c r="AB65" i="33" s="1"/>
  <c r="Z65" i="33"/>
  <c r="AL129" i="21"/>
  <c r="AM129" i="21"/>
  <c r="AN129" i="21" s="1"/>
  <c r="AF68" i="37"/>
  <c r="AG68" i="37"/>
  <c r="AH68" i="37" s="1"/>
  <c r="AM21" i="43"/>
  <c r="AN21" i="43" s="1"/>
  <c r="AL21" i="43"/>
  <c r="Z133" i="43"/>
  <c r="AA133" i="43"/>
  <c r="AB133" i="43" s="1"/>
  <c r="AM102" i="33"/>
  <c r="AN102" i="33" s="1"/>
  <c r="AL102" i="33"/>
  <c r="Y70" i="21"/>
  <c r="AK19" i="37"/>
  <c r="Z84" i="42"/>
  <c r="AA84" i="42"/>
  <c r="AB84" i="42" s="1"/>
  <c r="AF83" i="43"/>
  <c r="AG83" i="43"/>
  <c r="AH83" i="43" s="1"/>
  <c r="S118" i="37"/>
  <c r="AM19" i="42"/>
  <c r="AN19" i="42" s="1"/>
  <c r="AL19" i="42"/>
  <c r="AA102" i="37"/>
  <c r="AB102" i="37" s="1"/>
  <c r="Z102" i="37"/>
  <c r="U85" i="21"/>
  <c r="V85" i="21" s="1"/>
  <c r="T85" i="21"/>
  <c r="AF19" i="21"/>
  <c r="AG19" i="21"/>
  <c r="AH19" i="21" s="1"/>
  <c r="S19" i="33"/>
  <c r="S85" i="43"/>
  <c r="AG32" i="33"/>
  <c r="AH32" i="33" s="1"/>
  <c r="AF32" i="33"/>
  <c r="AA131" i="33"/>
  <c r="AB131" i="33" s="1"/>
  <c r="Z131" i="33"/>
  <c r="AL116" i="36"/>
  <c r="AM116" i="36"/>
  <c r="AN116" i="36" s="1"/>
  <c r="AM70" i="43"/>
  <c r="AN70" i="43" s="1"/>
  <c r="AL70" i="43"/>
  <c r="Y32" i="42"/>
  <c r="AF21" i="21"/>
  <c r="AG21" i="21"/>
  <c r="AH21" i="21" s="1"/>
  <c r="AM83" i="42"/>
  <c r="AN83" i="42" s="1"/>
  <c r="AL83" i="42"/>
  <c r="S18" i="21"/>
  <c r="S67" i="43"/>
  <c r="AK118" i="36"/>
  <c r="U82" i="43"/>
  <c r="V82" i="43" s="1"/>
  <c r="T82" i="43"/>
  <c r="AG16" i="21"/>
  <c r="AH16" i="21" s="1"/>
  <c r="AF16" i="21"/>
  <c r="Y117" i="42"/>
  <c r="AA82" i="37"/>
  <c r="AB82" i="37" s="1"/>
  <c r="Z82" i="37"/>
  <c r="AM148" i="37"/>
  <c r="AN148" i="37" s="1"/>
  <c r="AL148" i="37"/>
  <c r="Z66" i="43"/>
  <c r="AA66" i="43"/>
  <c r="AB66" i="43" s="1"/>
  <c r="U134" i="36"/>
  <c r="V134" i="36" s="1"/>
  <c r="T134" i="36"/>
  <c r="AM129" i="42"/>
  <c r="AN129" i="42" s="1"/>
  <c r="AL129" i="42"/>
  <c r="V34" i="43"/>
  <c r="U32" i="21"/>
  <c r="V32" i="21" s="1"/>
  <c r="T32" i="21"/>
  <c r="Z97" i="36"/>
  <c r="AA97" i="36"/>
  <c r="AB97" i="36" s="1"/>
  <c r="AG102" i="43"/>
  <c r="AH102" i="43" s="1"/>
  <c r="AF102" i="43"/>
  <c r="AM33" i="42"/>
  <c r="AN33" i="42" s="1"/>
  <c r="AL33" i="42"/>
  <c r="Z114" i="37"/>
  <c r="AA114" i="37"/>
  <c r="AB114" i="37" s="1"/>
  <c r="Z70" i="37"/>
  <c r="AA70" i="37"/>
  <c r="AB70" i="37" s="1"/>
  <c r="T98" i="33"/>
  <c r="U98" i="33"/>
  <c r="V98" i="33" s="1"/>
  <c r="AL100" i="37"/>
  <c r="AM100" i="37"/>
  <c r="AN100" i="37" s="1"/>
  <c r="T113" i="42"/>
  <c r="U113" i="42"/>
  <c r="V113" i="42" s="1"/>
  <c r="AA54" i="36"/>
  <c r="AB54" i="36" s="1"/>
  <c r="Z54" i="36"/>
  <c r="S82" i="21"/>
  <c r="Y21" i="36"/>
  <c r="AL49" i="43"/>
  <c r="AM49" i="43"/>
  <c r="AN49" i="43" s="1"/>
  <c r="AG147" i="36"/>
  <c r="AH147" i="36" s="1"/>
  <c r="AF147" i="36"/>
  <c r="AL148" i="33"/>
  <c r="AM148" i="33"/>
  <c r="AN148" i="33" s="1"/>
  <c r="U17" i="42"/>
  <c r="V17" i="42" s="1"/>
  <c r="T17" i="42"/>
  <c r="AG114" i="36"/>
  <c r="AH114" i="36" s="1"/>
  <c r="AF114" i="36"/>
  <c r="Z150" i="36"/>
  <c r="AA150" i="36"/>
  <c r="AB150" i="36" s="1"/>
  <c r="AA53" i="42"/>
  <c r="AB53" i="42" s="1"/>
  <c r="Z53" i="42"/>
  <c r="U20" i="36"/>
  <c r="V20" i="36" s="1"/>
  <c r="T20" i="36"/>
  <c r="S16" i="33"/>
  <c r="S146" i="36"/>
  <c r="T51" i="33"/>
  <c r="U51" i="33"/>
  <c r="V51" i="33" s="1"/>
  <c r="AG98" i="43"/>
  <c r="AH98" i="43" s="1"/>
  <c r="AF98" i="43"/>
  <c r="AL86" i="43"/>
  <c r="AM86" i="43"/>
  <c r="AN86" i="43" s="1"/>
  <c r="AF66" i="36"/>
  <c r="AG66" i="36"/>
  <c r="AH66" i="36" s="1"/>
  <c r="T114" i="42"/>
  <c r="U114" i="42"/>
  <c r="V114" i="42" s="1"/>
  <c r="T20" i="37"/>
  <c r="U20" i="37"/>
  <c r="V20" i="37" s="1"/>
  <c r="U18" i="33"/>
  <c r="V18" i="33" s="1"/>
  <c r="T18" i="33"/>
  <c r="U65" i="37"/>
  <c r="V65" i="37" s="1"/>
  <c r="T65" i="37"/>
  <c r="S130" i="33"/>
  <c r="T85" i="37"/>
  <c r="U85" i="37"/>
  <c r="V85" i="37" s="1"/>
  <c r="Z84" i="37"/>
  <c r="AA84" i="37"/>
  <c r="AB84" i="37" s="1"/>
  <c r="AF52" i="33"/>
  <c r="AG52" i="33"/>
  <c r="AH52" i="33" s="1"/>
  <c r="U151" i="42"/>
  <c r="V151" i="42" s="1"/>
  <c r="T151" i="42"/>
  <c r="AA129" i="37"/>
  <c r="AB129" i="37" s="1"/>
  <c r="Z129" i="37"/>
  <c r="AF85" i="42"/>
  <c r="AG85" i="42"/>
  <c r="AH85" i="42" s="1"/>
  <c r="AM19" i="43"/>
  <c r="AN19" i="43" s="1"/>
  <c r="AL19" i="43"/>
  <c r="U100" i="21"/>
  <c r="V100" i="21" s="1"/>
  <c r="T100" i="21"/>
  <c r="AM67" i="42"/>
  <c r="AN67" i="42" s="1"/>
  <c r="AL67" i="42"/>
  <c r="AL67" i="37"/>
  <c r="AM67" i="37"/>
  <c r="AN67" i="37" s="1"/>
  <c r="Z147" i="42"/>
  <c r="AA147" i="42"/>
  <c r="AB147" i="42" s="1"/>
  <c r="S115" i="36"/>
  <c r="S133" i="37"/>
  <c r="AF16" i="37"/>
  <c r="AG16" i="37"/>
  <c r="AH16" i="37" s="1"/>
  <c r="AL67" i="21"/>
  <c r="AM67" i="21"/>
  <c r="AN67" i="21" s="1"/>
  <c r="AL118" i="33"/>
  <c r="AM118" i="33"/>
  <c r="AN118" i="33" s="1"/>
  <c r="AM20" i="33"/>
  <c r="AN20" i="33" s="1"/>
  <c r="AL20" i="33"/>
  <c r="AE149" i="42"/>
  <c r="Z101" i="36"/>
  <c r="AA101" i="36"/>
  <c r="AB101" i="36" s="1"/>
  <c r="Z132" i="43"/>
  <c r="AA132" i="43"/>
  <c r="AB132" i="43" s="1"/>
  <c r="AM83" i="21"/>
  <c r="AN83" i="21" s="1"/>
  <c r="AL83" i="21"/>
  <c r="Y117" i="43"/>
  <c r="AM86" i="42"/>
  <c r="AN86" i="42" s="1"/>
  <c r="AL86" i="42"/>
  <c r="Y116" i="33"/>
  <c r="AL114" i="43"/>
  <c r="AM114" i="43"/>
  <c r="AN114" i="43" s="1"/>
  <c r="AM81" i="43"/>
  <c r="AN81" i="43" s="1"/>
  <c r="AL81" i="43"/>
  <c r="S101" i="33"/>
  <c r="AF69" i="42"/>
  <c r="AG69" i="42"/>
  <c r="AH69" i="42" s="1"/>
  <c r="T98" i="36"/>
  <c r="U98" i="36"/>
  <c r="V98" i="36" s="1"/>
  <c r="AG133" i="36"/>
  <c r="AH133" i="36" s="1"/>
  <c r="AF133" i="36"/>
  <c r="AL134" i="43"/>
  <c r="AM134" i="43"/>
  <c r="AN134" i="43" s="1"/>
  <c r="AF50" i="43"/>
  <c r="AG50" i="43"/>
  <c r="AH50" i="43" s="1"/>
  <c r="T150" i="33"/>
  <c r="U150" i="33"/>
  <c r="V150" i="33" s="1"/>
  <c r="AL69" i="33"/>
  <c r="AM69" i="33"/>
  <c r="AN69" i="33" s="1"/>
  <c r="AA113" i="36"/>
  <c r="AB113" i="36" s="1"/>
  <c r="Z113" i="36"/>
  <c r="Z17" i="37"/>
  <c r="AA17" i="37"/>
  <c r="AB17" i="37" s="1"/>
  <c r="AA85" i="43"/>
  <c r="AB85" i="43" s="1"/>
  <c r="Z85" i="43"/>
  <c r="AF17" i="43"/>
  <c r="AG17" i="43"/>
  <c r="AH17" i="43" s="1"/>
  <c r="U18" i="37"/>
  <c r="V18" i="37" s="1"/>
  <c r="T18" i="37"/>
  <c r="AM32" i="37"/>
  <c r="AN32" i="37" s="1"/>
  <c r="AL32" i="37"/>
  <c r="AF49" i="21"/>
  <c r="AG49" i="21"/>
  <c r="AH49" i="21" s="1"/>
  <c r="AM130" i="42"/>
  <c r="AN130" i="42" s="1"/>
  <c r="AL130" i="42"/>
  <c r="Z151" i="37"/>
  <c r="AA151" i="37"/>
  <c r="AB151" i="37" s="1"/>
  <c r="Z49" i="43"/>
  <c r="AA49" i="43"/>
  <c r="AB49" i="43" s="1"/>
  <c r="AL16" i="33"/>
  <c r="AM16" i="33"/>
  <c r="AN16" i="33" s="1"/>
  <c r="T52" i="43"/>
  <c r="U52" i="43"/>
  <c r="V52" i="43" s="1"/>
  <c r="AF145" i="21"/>
  <c r="AG145" i="21"/>
  <c r="AH145" i="21" s="1"/>
  <c r="AE70" i="36"/>
  <c r="AF69" i="21"/>
  <c r="AG69" i="21"/>
  <c r="AH69" i="21" s="1"/>
  <c r="AA82" i="36"/>
  <c r="AB82" i="36" s="1"/>
  <c r="Z82" i="36"/>
  <c r="Z116" i="43"/>
  <c r="AA116" i="43"/>
  <c r="AB116" i="43" s="1"/>
  <c r="AE50" i="43"/>
  <c r="Z16" i="36"/>
  <c r="AA16" i="36"/>
  <c r="AB16" i="36" s="1"/>
  <c r="AF113" i="37"/>
  <c r="AG113" i="37"/>
  <c r="AH113" i="37" s="1"/>
  <c r="T20" i="43"/>
  <c r="U20" i="43"/>
  <c r="V20" i="43" s="1"/>
  <c r="AG50" i="42"/>
  <c r="AH50" i="42" s="1"/>
  <c r="AF50" i="42"/>
  <c r="U99" i="43"/>
  <c r="V99" i="43" s="1"/>
  <c r="T99" i="43"/>
  <c r="U129" i="33"/>
  <c r="V129" i="33" s="1"/>
  <c r="T129" i="33"/>
  <c r="AE50" i="21"/>
  <c r="AF65" i="21"/>
  <c r="AG65" i="21"/>
  <c r="AH65" i="21" s="1"/>
  <c r="S100" i="36"/>
  <c r="U132" i="42"/>
  <c r="V132" i="42" s="1"/>
  <c r="T132" i="42"/>
  <c r="AK66" i="21"/>
  <c r="Z150" i="21"/>
  <c r="AA150" i="21"/>
  <c r="AB150" i="21" s="1"/>
  <c r="AG146" i="21"/>
  <c r="AH146" i="21" s="1"/>
  <c r="AF146" i="21"/>
  <c r="S130" i="36"/>
  <c r="Z134" i="42"/>
  <c r="AA134" i="42"/>
  <c r="AB134" i="42" s="1"/>
  <c r="U68" i="36"/>
  <c r="V68" i="36" s="1"/>
  <c r="T68" i="36"/>
  <c r="U81" i="37"/>
  <c r="V81" i="37" s="1"/>
  <c r="T81" i="37"/>
  <c r="AL82" i="42"/>
  <c r="AM82" i="42"/>
  <c r="AN82" i="42" s="1"/>
  <c r="AE113" i="43"/>
  <c r="AF130" i="43"/>
  <c r="AG130" i="43"/>
  <c r="AH130" i="43" s="1"/>
  <c r="AE147" i="37"/>
  <c r="AE52" i="37"/>
  <c r="S131" i="37"/>
  <c r="S150" i="33"/>
  <c r="AA99" i="42"/>
  <c r="AB99" i="42" s="1"/>
  <c r="Z99" i="42"/>
  <c r="AG86" i="36"/>
  <c r="AH86" i="36" s="1"/>
  <c r="AF86" i="36"/>
  <c r="T66" i="37"/>
  <c r="U66" i="37"/>
  <c r="V66" i="37" s="1"/>
  <c r="Y34" i="37"/>
  <c r="T116" i="21"/>
  <c r="U116" i="21"/>
  <c r="V116" i="21" s="1"/>
  <c r="T69" i="36"/>
  <c r="U69" i="36"/>
  <c r="T98" i="21"/>
  <c r="U98" i="21"/>
  <c r="V98" i="21" s="1"/>
  <c r="AK102" i="36"/>
  <c r="AM148" i="42"/>
  <c r="AN148" i="42" s="1"/>
  <c r="AL148" i="42"/>
  <c r="S33" i="36"/>
  <c r="Y17" i="37"/>
  <c r="AG84" i="33"/>
  <c r="AH84" i="33" s="1"/>
  <c r="AF84" i="33"/>
  <c r="T16" i="42"/>
  <c r="U16" i="42"/>
  <c r="V16" i="42" s="1"/>
  <c r="T118" i="42"/>
  <c r="U118" i="42"/>
  <c r="V118" i="42" s="1"/>
  <c r="AG65" i="33"/>
  <c r="AH65" i="33" s="1"/>
  <c r="AF65" i="33"/>
  <c r="S129" i="21"/>
  <c r="S68" i="37"/>
  <c r="AA21" i="43"/>
  <c r="AB21" i="43" s="1"/>
  <c r="Z21" i="43"/>
  <c r="AG133" i="43"/>
  <c r="AH133" i="43" s="1"/>
  <c r="AF133" i="43"/>
  <c r="S102" i="33"/>
  <c r="U84" i="42"/>
  <c r="V84" i="42" s="1"/>
  <c r="T84" i="42"/>
  <c r="AM83" i="43"/>
  <c r="AN83" i="43" s="1"/>
  <c r="AL83" i="43"/>
  <c r="S19" i="42"/>
  <c r="AG102" i="37"/>
  <c r="AH102" i="37" s="1"/>
  <c r="AF102" i="37"/>
  <c r="AM85" i="21"/>
  <c r="AN85" i="21" s="1"/>
  <c r="AL85" i="21"/>
  <c r="AA130" i="37"/>
  <c r="AB130" i="37" s="1"/>
  <c r="Z130" i="37"/>
  <c r="AK115" i="42"/>
  <c r="T66" i="42"/>
  <c r="U66" i="42"/>
  <c r="V66" i="42" s="1"/>
  <c r="T19" i="21"/>
  <c r="U19" i="21"/>
  <c r="AG146" i="37"/>
  <c r="AH146" i="37" s="1"/>
  <c r="AF146" i="37"/>
  <c r="Y85" i="43"/>
  <c r="Z100" i="42"/>
  <c r="AA100" i="42"/>
  <c r="AB100" i="42" s="1"/>
  <c r="AL32" i="33"/>
  <c r="AM32" i="33"/>
  <c r="AN32" i="33" s="1"/>
  <c r="AG151" i="33"/>
  <c r="AH151" i="33" s="1"/>
  <c r="AF151" i="33"/>
  <c r="AG131" i="21"/>
  <c r="AH131" i="21" s="1"/>
  <c r="AF131" i="21"/>
  <c r="T131" i="33"/>
  <c r="U131" i="33"/>
  <c r="V131" i="33" s="1"/>
  <c r="Y116" i="36"/>
  <c r="Y70" i="43"/>
  <c r="AK32" i="42"/>
  <c r="AM21" i="21"/>
  <c r="AN21" i="21" s="1"/>
  <c r="AL21" i="21"/>
  <c r="AA83" i="42"/>
  <c r="AB83" i="42" s="1"/>
  <c r="Z83" i="42"/>
  <c r="S51" i="37"/>
  <c r="Z38" i="43"/>
  <c r="AA38" i="43"/>
  <c r="AB38" i="43" s="1"/>
  <c r="AE67" i="43"/>
  <c r="S114" i="33"/>
  <c r="AF82" i="43"/>
  <c r="AG82" i="43"/>
  <c r="AH82" i="43" s="1"/>
  <c r="AL16" i="21"/>
  <c r="AM16" i="21"/>
  <c r="AN16" i="21" s="1"/>
  <c r="Z100" i="33"/>
  <c r="AA100" i="33"/>
  <c r="AB100" i="33" s="1"/>
  <c r="S117" i="42"/>
  <c r="Y82" i="37"/>
  <c r="S148" i="37"/>
  <c r="S49" i="21"/>
  <c r="AG66" i="43"/>
  <c r="AH66" i="43" s="1"/>
  <c r="AF66" i="43"/>
  <c r="S134" i="36"/>
  <c r="T54" i="33"/>
  <c r="U54" i="33"/>
  <c r="V54" i="33" s="1"/>
  <c r="AL82" i="33"/>
  <c r="AM82" i="33"/>
  <c r="AN82" i="33" s="1"/>
  <c r="Y84" i="43"/>
  <c r="AN34" i="43"/>
  <c r="AK115" i="43"/>
  <c r="AG32" i="21"/>
  <c r="AH32" i="21" s="1"/>
  <c r="AF32" i="21"/>
  <c r="T97" i="36"/>
  <c r="U97" i="36"/>
  <c r="V97" i="36" s="1"/>
  <c r="Y102" i="43"/>
  <c r="AA18" i="43"/>
  <c r="AB18" i="43" s="1"/>
  <c r="Z18" i="43"/>
  <c r="Y33" i="42"/>
  <c r="AM114" i="37"/>
  <c r="AN114" i="37" s="1"/>
  <c r="AL114" i="37"/>
  <c r="AM70" i="37"/>
  <c r="AN70" i="37" s="1"/>
  <c r="AL70" i="37"/>
  <c r="AA50" i="37"/>
  <c r="AB50" i="37" s="1"/>
  <c r="Z50" i="37"/>
  <c r="AK130" i="42"/>
  <c r="AF98" i="33"/>
  <c r="AG98" i="33"/>
  <c r="AH98" i="33" s="1"/>
  <c r="Y100" i="37"/>
  <c r="AG113" i="42"/>
  <c r="AH113" i="42" s="1"/>
  <c r="AF113" i="42"/>
  <c r="U54" i="36"/>
  <c r="V54" i="36" s="1"/>
  <c r="T54" i="36"/>
  <c r="U51" i="42"/>
  <c r="V51" i="42" s="1"/>
  <c r="T51" i="42"/>
  <c r="AA97" i="21"/>
  <c r="AB97" i="21" s="1"/>
  <c r="Z97" i="21"/>
  <c r="S21" i="36"/>
  <c r="Y49" i="43"/>
  <c r="AM147" i="36"/>
  <c r="AN147" i="36" s="1"/>
  <c r="AL147" i="36"/>
  <c r="U148" i="33"/>
  <c r="V148" i="33" s="1"/>
  <c r="T148" i="33"/>
  <c r="AG17" i="42"/>
  <c r="AH17" i="42" s="1"/>
  <c r="AF17" i="42"/>
  <c r="AK113" i="33"/>
  <c r="Z114" i="36"/>
  <c r="AA114" i="36"/>
  <c r="AB114" i="36" s="1"/>
  <c r="Y150" i="36"/>
  <c r="AG53" i="42"/>
  <c r="AH53" i="42" s="1"/>
  <c r="AF53" i="42"/>
  <c r="AG20" i="36"/>
  <c r="AH20" i="36" s="1"/>
  <c r="AF20" i="36"/>
  <c r="AK16" i="33"/>
  <c r="S51" i="33"/>
  <c r="S98" i="43"/>
  <c r="Z86" i="43"/>
  <c r="AA86" i="43"/>
  <c r="AB86" i="43" s="1"/>
  <c r="AL66" i="36"/>
  <c r="AM66" i="36"/>
  <c r="AN66" i="36" s="1"/>
  <c r="AG114" i="42"/>
  <c r="AH114" i="42" s="1"/>
  <c r="AF114" i="42"/>
  <c r="Z151" i="36"/>
  <c r="AA151" i="36"/>
  <c r="AB151" i="36" s="1"/>
  <c r="AA20" i="37"/>
  <c r="AB20" i="37" s="1"/>
  <c r="Z20" i="37"/>
  <c r="U81" i="42"/>
  <c r="V81" i="42" s="1"/>
  <c r="T81" i="42"/>
  <c r="Z18" i="33"/>
  <c r="AA18" i="33"/>
  <c r="AB18" i="33" s="1"/>
  <c r="AA49" i="36"/>
  <c r="AB49" i="36" s="1"/>
  <c r="Z49" i="36"/>
  <c r="AF85" i="37"/>
  <c r="AG85" i="37"/>
  <c r="AH85" i="37" s="1"/>
  <c r="U84" i="37"/>
  <c r="V84" i="37" s="1"/>
  <c r="T84" i="37"/>
  <c r="AM52" i="33"/>
  <c r="AN52" i="33" s="1"/>
  <c r="AL52" i="33"/>
  <c r="AG151" i="42"/>
  <c r="AH151" i="42" s="1"/>
  <c r="AF151" i="42"/>
  <c r="T129" i="37"/>
  <c r="U129" i="37"/>
  <c r="V129" i="37" s="1"/>
  <c r="T85" i="42"/>
  <c r="U85" i="42"/>
  <c r="V85" i="42" s="1"/>
  <c r="Y19" i="43"/>
  <c r="S67" i="42"/>
  <c r="U147" i="42"/>
  <c r="V147" i="42" s="1"/>
  <c r="T147" i="42"/>
  <c r="AA17" i="33"/>
  <c r="AB17" i="33" s="1"/>
  <c r="Z17" i="33"/>
  <c r="AE115" i="36"/>
  <c r="Y133" i="37"/>
  <c r="AL16" i="37"/>
  <c r="AM16" i="37"/>
  <c r="AN16" i="37" s="1"/>
  <c r="AA67" i="21"/>
  <c r="AB67" i="21" s="1"/>
  <c r="Z67" i="21"/>
  <c r="S118" i="33"/>
  <c r="Y20" i="33"/>
  <c r="AF101" i="36"/>
  <c r="AG101" i="36"/>
  <c r="AH101" i="36" s="1"/>
  <c r="U132" i="43"/>
  <c r="V132" i="43" s="1"/>
  <c r="T132" i="43"/>
  <c r="S83" i="21"/>
  <c r="AL99" i="21"/>
  <c r="AM99" i="21"/>
  <c r="AN99" i="21" s="1"/>
  <c r="S117" i="43"/>
  <c r="U86" i="42"/>
  <c r="V86" i="42" s="1"/>
  <c r="T86" i="42"/>
  <c r="Z67" i="33"/>
  <c r="AA67" i="33"/>
  <c r="AB67" i="33" s="1"/>
  <c r="AA114" i="43"/>
  <c r="AB114" i="43" s="1"/>
  <c r="Z114" i="43"/>
  <c r="T81" i="43"/>
  <c r="U81" i="43"/>
  <c r="V81" i="43" s="1"/>
  <c r="AA69" i="42"/>
  <c r="AB69" i="42" s="1"/>
  <c r="Z69" i="42"/>
  <c r="AL98" i="36"/>
  <c r="AM98" i="36"/>
  <c r="AN98" i="36" s="1"/>
  <c r="AL133" i="36"/>
  <c r="AM133" i="36"/>
  <c r="AN133" i="36" s="1"/>
  <c r="AF134" i="43"/>
  <c r="AG134" i="43"/>
  <c r="AH134" i="43" s="1"/>
  <c r="AK132" i="21"/>
  <c r="AA114" i="21"/>
  <c r="AB114" i="21" s="1"/>
  <c r="Z114" i="21"/>
  <c r="AM21" i="42"/>
  <c r="AN21" i="42" s="1"/>
  <c r="AL21" i="42"/>
  <c r="Z50" i="21"/>
  <c r="AA50" i="21"/>
  <c r="AB50" i="21" s="1"/>
  <c r="Z100" i="36"/>
  <c r="AA100" i="36"/>
  <c r="AB100" i="36" s="1"/>
  <c r="Z147" i="37"/>
  <c r="AA147" i="37"/>
  <c r="AB147" i="37" s="1"/>
  <c r="AF102" i="36"/>
  <c r="AG102" i="36"/>
  <c r="AH102" i="36" s="1"/>
  <c r="Z33" i="36"/>
  <c r="AA33" i="36"/>
  <c r="AB33" i="36" s="1"/>
  <c r="Z118" i="37"/>
  <c r="AA118" i="37"/>
  <c r="AB118" i="37" s="1"/>
  <c r="AF147" i="21"/>
  <c r="AG147" i="21"/>
  <c r="AH147" i="21" s="1"/>
  <c r="T70" i="43"/>
  <c r="U70" i="43"/>
  <c r="V70" i="43" s="1"/>
  <c r="Z129" i="42"/>
  <c r="AA129" i="42"/>
  <c r="AB129" i="42" s="1"/>
  <c r="AL21" i="36"/>
  <c r="AM21" i="36"/>
  <c r="AN21" i="36" s="1"/>
  <c r="AL52" i="36"/>
  <c r="AM52" i="36"/>
  <c r="AN52" i="36" s="1"/>
  <c r="AM118" i="43"/>
  <c r="AN118" i="43" s="1"/>
  <c r="AL118" i="43"/>
  <c r="Y68" i="33"/>
  <c r="Y97" i="33"/>
  <c r="T118" i="43"/>
  <c r="U118" i="43"/>
  <c r="V118" i="43" s="1"/>
  <c r="AK70" i="36"/>
  <c r="AK50" i="33"/>
  <c r="Y69" i="21"/>
  <c r="T82" i="36"/>
  <c r="U82" i="36"/>
  <c r="V82" i="36" s="1"/>
  <c r="AL116" i="43"/>
  <c r="AM116" i="43"/>
  <c r="AN116" i="43" s="1"/>
  <c r="AE114" i="21"/>
  <c r="Z50" i="43"/>
  <c r="AA50" i="43"/>
  <c r="AB50" i="43" s="1"/>
  <c r="AG16" i="36"/>
  <c r="AH16" i="36" s="1"/>
  <c r="AF16" i="36"/>
  <c r="S113" i="37"/>
  <c r="T21" i="42"/>
  <c r="U21" i="42"/>
  <c r="V21" i="42" s="1"/>
  <c r="AA20" i="43"/>
  <c r="AB20" i="43" s="1"/>
  <c r="Z20" i="43"/>
  <c r="AM50" i="42"/>
  <c r="AN50" i="42" s="1"/>
  <c r="AL50" i="42"/>
  <c r="AM99" i="43"/>
  <c r="AN99" i="43" s="1"/>
  <c r="AL99" i="43"/>
  <c r="S129" i="33"/>
  <c r="Y65" i="21"/>
  <c r="Y100" i="36"/>
  <c r="AF150" i="21"/>
  <c r="AG150" i="21"/>
  <c r="AH150" i="21" s="1"/>
  <c r="Y146" i="21"/>
  <c r="AE130" i="36"/>
  <c r="Y134" i="42"/>
  <c r="AL68" i="36"/>
  <c r="AM68" i="36"/>
  <c r="AN68" i="36" s="1"/>
  <c r="AG81" i="37"/>
  <c r="AH81" i="37" s="1"/>
  <c r="AF81" i="37"/>
  <c r="S82" i="42"/>
  <c r="U150" i="42"/>
  <c r="V150" i="42" s="1"/>
  <c r="T150" i="42"/>
  <c r="AK113" i="43"/>
  <c r="Y130" i="43"/>
  <c r="AK52" i="37"/>
  <c r="AK102" i="42"/>
  <c r="Y131" i="37"/>
  <c r="Y150" i="33"/>
  <c r="AF49" i="37"/>
  <c r="AG49" i="37"/>
  <c r="AH49" i="37" s="1"/>
  <c r="AF99" i="42"/>
  <c r="AG99" i="42"/>
  <c r="AH99" i="42" s="1"/>
  <c r="AF69" i="33"/>
  <c r="AG69" i="33"/>
  <c r="AH69" i="33" s="1"/>
  <c r="AL86" i="36"/>
  <c r="AM86" i="36"/>
  <c r="AN86" i="36" s="1"/>
  <c r="AM66" i="37"/>
  <c r="AN66" i="37" s="1"/>
  <c r="AL66" i="37"/>
  <c r="AK34" i="37"/>
  <c r="Y116" i="21"/>
  <c r="AL32" i="43"/>
  <c r="AM32" i="43"/>
  <c r="AN32" i="43" s="1"/>
  <c r="S69" i="36"/>
  <c r="AK97" i="42"/>
  <c r="Y98" i="21"/>
  <c r="AE147" i="33"/>
  <c r="AE113" i="36"/>
  <c r="AE102" i="36"/>
  <c r="AL133" i="21"/>
  <c r="AM133" i="21"/>
  <c r="AN133" i="21" s="1"/>
  <c r="Y148" i="42"/>
  <c r="AL98" i="37"/>
  <c r="AM98" i="37"/>
  <c r="AN98" i="37" s="1"/>
  <c r="Y33" i="36"/>
  <c r="AK17" i="37"/>
  <c r="S84" i="33"/>
  <c r="Y34" i="21"/>
  <c r="AG16" i="42"/>
  <c r="AH16" i="42" s="1"/>
  <c r="AF16" i="42"/>
  <c r="AE118" i="42"/>
  <c r="AM65" i="33"/>
  <c r="AN65" i="33" s="1"/>
  <c r="AL65" i="33"/>
  <c r="AF69" i="37"/>
  <c r="AG69" i="37"/>
  <c r="AH69" i="37" s="1"/>
  <c r="AA99" i="36"/>
  <c r="AB99" i="36" s="1"/>
  <c r="Z99" i="36"/>
  <c r="Y129" i="21"/>
  <c r="Y68" i="37"/>
  <c r="U21" i="43"/>
  <c r="V21" i="43" s="1"/>
  <c r="T21" i="43"/>
  <c r="AM133" i="43"/>
  <c r="AN133" i="43" s="1"/>
  <c r="AL133" i="43"/>
  <c r="AA19" i="37"/>
  <c r="AB19" i="37" s="1"/>
  <c r="Z19" i="37"/>
  <c r="AF84" i="42"/>
  <c r="AG84" i="42"/>
  <c r="AH84" i="42" s="1"/>
  <c r="S83" i="43"/>
  <c r="T102" i="37"/>
  <c r="U102" i="37"/>
  <c r="V102" i="37" s="1"/>
  <c r="S85" i="21"/>
  <c r="AM130" i="37"/>
  <c r="AN130" i="37" s="1"/>
  <c r="AL130" i="37"/>
  <c r="AA66" i="42"/>
  <c r="AB66" i="42" s="1"/>
  <c r="Z66" i="42"/>
  <c r="AA19" i="21"/>
  <c r="AB19" i="21" s="1"/>
  <c r="Z19" i="21"/>
  <c r="T147" i="21"/>
  <c r="U147" i="21"/>
  <c r="V147" i="21" s="1"/>
  <c r="AA146" i="37"/>
  <c r="AB146" i="37" s="1"/>
  <c r="Z146" i="37"/>
  <c r="AE85" i="43"/>
  <c r="AK132" i="37"/>
  <c r="Z32" i="33"/>
  <c r="AA32" i="33"/>
  <c r="AB32" i="33" s="1"/>
  <c r="AL151" i="33"/>
  <c r="AM151" i="33"/>
  <c r="AN151" i="33" s="1"/>
  <c r="Z17" i="43"/>
  <c r="AA17" i="43"/>
  <c r="AB17" i="43" s="1"/>
  <c r="AL131" i="21"/>
  <c r="AM131" i="21"/>
  <c r="AN131" i="21" s="1"/>
  <c r="Y131" i="33"/>
  <c r="S116" i="36"/>
  <c r="S70" i="43"/>
  <c r="U21" i="21"/>
  <c r="V21" i="21" s="1"/>
  <c r="T21" i="21"/>
  <c r="AG101" i="37"/>
  <c r="AH101" i="37" s="1"/>
  <c r="AF101" i="37"/>
  <c r="U83" i="42"/>
  <c r="V83" i="42" s="1"/>
  <c r="T83" i="42"/>
  <c r="AK51" i="37"/>
  <c r="T38" i="43"/>
  <c r="U38" i="43"/>
  <c r="V38" i="43" s="1"/>
  <c r="U118" i="36"/>
  <c r="V118" i="36" s="1"/>
  <c r="T118" i="36"/>
  <c r="AL82" i="43"/>
  <c r="AM82" i="43"/>
  <c r="AN82" i="43" s="1"/>
  <c r="T16" i="21"/>
  <c r="U16" i="21"/>
  <c r="V16" i="21" s="1"/>
  <c r="U100" i="33"/>
  <c r="V100" i="33" s="1"/>
  <c r="T100" i="33"/>
  <c r="AG18" i="37"/>
  <c r="AH18" i="37" s="1"/>
  <c r="AF18" i="37"/>
  <c r="AM34" i="42"/>
  <c r="AN34" i="42" s="1"/>
  <c r="AL34" i="42"/>
  <c r="AF32" i="37"/>
  <c r="AG32" i="37"/>
  <c r="AH32" i="37" s="1"/>
  <c r="S82" i="37"/>
  <c r="Y148" i="37"/>
  <c r="AK49" i="21"/>
  <c r="AL66" i="43"/>
  <c r="AM66" i="43"/>
  <c r="AN66" i="43" s="1"/>
  <c r="Y134" i="36"/>
  <c r="S129" i="42"/>
  <c r="AA54" i="33"/>
  <c r="AB54" i="33" s="1"/>
  <c r="Z54" i="33"/>
  <c r="U82" i="33"/>
  <c r="V82" i="33" s="1"/>
  <c r="T82" i="33"/>
  <c r="AK84" i="43"/>
  <c r="AB34" i="43"/>
  <c r="U115" i="43"/>
  <c r="V115" i="43" s="1"/>
  <c r="T115" i="43"/>
  <c r="AM32" i="21"/>
  <c r="AN32" i="21" s="1"/>
  <c r="AL32" i="21"/>
  <c r="AE65" i="43"/>
  <c r="S102" i="43"/>
  <c r="AG18" i="43"/>
  <c r="AH18" i="43" s="1"/>
  <c r="AF18" i="43"/>
  <c r="S33" i="42"/>
  <c r="U114" i="37"/>
  <c r="V114" i="37" s="1"/>
  <c r="T114" i="37"/>
  <c r="AF70" i="37"/>
  <c r="AG70" i="37"/>
  <c r="AH70" i="37" s="1"/>
  <c r="AM50" i="37"/>
  <c r="AN50" i="37" s="1"/>
  <c r="AL50" i="37"/>
  <c r="AF130" i="42"/>
  <c r="AG130" i="42"/>
  <c r="AH130" i="42" s="1"/>
  <c r="AL98" i="33"/>
  <c r="AM98" i="33"/>
  <c r="AN98" i="33" s="1"/>
  <c r="S100" i="37"/>
  <c r="AM113" i="42"/>
  <c r="AN113" i="42" s="1"/>
  <c r="AL113" i="42"/>
  <c r="AF54" i="36"/>
  <c r="AG54" i="36"/>
  <c r="AH54" i="36" s="1"/>
  <c r="Z51" i="42"/>
  <c r="AA51" i="42"/>
  <c r="AB51" i="42" s="1"/>
  <c r="AF97" i="21"/>
  <c r="AG97" i="21"/>
  <c r="AH97" i="21" s="1"/>
  <c r="Z148" i="33"/>
  <c r="AA148" i="33"/>
  <c r="AB148" i="33" s="1"/>
  <c r="U113" i="33"/>
  <c r="V113" i="33" s="1"/>
  <c r="T113" i="33"/>
  <c r="T53" i="42"/>
  <c r="U53" i="42"/>
  <c r="V53" i="42" s="1"/>
  <c r="AM20" i="36"/>
  <c r="AN20" i="36" s="1"/>
  <c r="AL20" i="36"/>
  <c r="T86" i="43"/>
  <c r="U86" i="43"/>
  <c r="V86" i="43" s="1"/>
  <c r="U66" i="36"/>
  <c r="V66" i="36" s="1"/>
  <c r="T66" i="36"/>
  <c r="AM114" i="42"/>
  <c r="AN114" i="42" s="1"/>
  <c r="AL114" i="42"/>
  <c r="T151" i="36"/>
  <c r="U151" i="36"/>
  <c r="V151" i="36" s="1"/>
  <c r="Z81" i="42"/>
  <c r="AA81" i="42"/>
  <c r="AB81" i="42" s="1"/>
  <c r="AF18" i="33"/>
  <c r="AG18" i="33"/>
  <c r="AH18" i="33" s="1"/>
  <c r="T49" i="36"/>
  <c r="U49" i="36"/>
  <c r="V49" i="36" s="1"/>
  <c r="T145" i="21"/>
  <c r="U145" i="21"/>
  <c r="V145" i="21" s="1"/>
  <c r="AL85" i="37"/>
  <c r="AM85" i="37"/>
  <c r="AN85" i="37" s="1"/>
  <c r="AM84" i="37"/>
  <c r="AN84" i="37" s="1"/>
  <c r="AL84" i="37"/>
  <c r="AF52" i="36"/>
  <c r="AG52" i="36"/>
  <c r="AH52" i="36" s="1"/>
  <c r="AL117" i="36"/>
  <c r="AM117" i="36"/>
  <c r="AN117" i="36" s="1"/>
  <c r="AG129" i="37"/>
  <c r="AH129" i="37" s="1"/>
  <c r="AF129" i="37"/>
  <c r="AA85" i="42"/>
  <c r="AB85" i="42" s="1"/>
  <c r="Z85" i="42"/>
  <c r="T69" i="43"/>
  <c r="U69" i="43"/>
  <c r="AF147" i="42"/>
  <c r="AG147" i="42"/>
  <c r="AH147" i="42" s="1"/>
  <c r="AF17" i="33"/>
  <c r="AG17" i="33"/>
  <c r="AH17" i="33" s="1"/>
  <c r="U16" i="37"/>
  <c r="V16" i="37" s="1"/>
  <c r="T16" i="37"/>
  <c r="AG53" i="43"/>
  <c r="AH53" i="43" s="1"/>
  <c r="AF53" i="43"/>
  <c r="U149" i="42"/>
  <c r="V149" i="42" s="1"/>
  <c r="T149" i="42"/>
  <c r="AM101" i="36"/>
  <c r="AN101" i="36" s="1"/>
  <c r="AL101" i="36"/>
  <c r="AG132" i="43"/>
  <c r="AH132" i="43" s="1"/>
  <c r="AF132" i="43"/>
  <c r="Y83" i="21"/>
  <c r="T99" i="21"/>
  <c r="U99" i="21"/>
  <c r="V99" i="21" s="1"/>
  <c r="T67" i="33"/>
  <c r="U67" i="33"/>
  <c r="V67" i="33" s="1"/>
  <c r="AG114" i="43"/>
  <c r="AH114" i="43" s="1"/>
  <c r="AF114" i="43"/>
  <c r="AL84" i="36"/>
  <c r="AM84" i="36"/>
  <c r="AN84" i="36" s="1"/>
  <c r="U134" i="43"/>
  <c r="V134" i="43" s="1"/>
  <c r="T134" i="43"/>
  <c r="AE132" i="21"/>
  <c r="AA50" i="33"/>
  <c r="AB50" i="33" s="1"/>
  <c r="Z50" i="33"/>
  <c r="AA66" i="21"/>
  <c r="AB66" i="21" s="1"/>
  <c r="Z66" i="21"/>
  <c r="AL131" i="37"/>
  <c r="AM131" i="37"/>
  <c r="AN131" i="37" s="1"/>
  <c r="U49" i="37"/>
  <c r="V49" i="37" s="1"/>
  <c r="T49" i="37"/>
  <c r="Z69" i="37"/>
  <c r="AA69" i="37"/>
  <c r="AB69" i="37" s="1"/>
  <c r="U115" i="33"/>
  <c r="V115" i="33" s="1"/>
  <c r="T115" i="33"/>
  <c r="AF19" i="33"/>
  <c r="AG19" i="33"/>
  <c r="AH19" i="33" s="1"/>
  <c r="AA101" i="37"/>
  <c r="AB101" i="37" s="1"/>
  <c r="Z101" i="37"/>
  <c r="AG18" i="21"/>
  <c r="AH18" i="21" s="1"/>
  <c r="AF18" i="21"/>
  <c r="AF117" i="33"/>
  <c r="AG117" i="33"/>
  <c r="AH117" i="33" s="1"/>
  <c r="AG150" i="36"/>
  <c r="AH150" i="36" s="1"/>
  <c r="AF150" i="36"/>
  <c r="AA20" i="42"/>
  <c r="AB20" i="42" s="1"/>
  <c r="Z20" i="42"/>
  <c r="AA65" i="37"/>
  <c r="AB65" i="37" s="1"/>
  <c r="Z65" i="37"/>
  <c r="AA70" i="36"/>
  <c r="AB70" i="36" s="1"/>
  <c r="Z70" i="36"/>
  <c r="AE68" i="33"/>
  <c r="AK97" i="33"/>
  <c r="AL82" i="36"/>
  <c r="AM82" i="36"/>
  <c r="AN82" i="36" s="1"/>
  <c r="AG116" i="43"/>
  <c r="AH116" i="43" s="1"/>
  <c r="AF116" i="43"/>
  <c r="U114" i="21"/>
  <c r="V114" i="21" s="1"/>
  <c r="T114" i="21"/>
  <c r="U50" i="43"/>
  <c r="V50" i="43" s="1"/>
  <c r="T50" i="43"/>
  <c r="U16" i="36"/>
  <c r="V16" i="36" s="1"/>
  <c r="T16" i="36"/>
  <c r="AA21" i="42"/>
  <c r="AB21" i="42" s="1"/>
  <c r="Z21" i="42"/>
  <c r="AM50" i="21"/>
  <c r="AN50" i="21" s="1"/>
  <c r="AL50" i="21"/>
  <c r="AM132" i="42"/>
  <c r="AN132" i="42" s="1"/>
  <c r="AL132" i="42"/>
  <c r="AF66" i="21"/>
  <c r="AG66" i="21"/>
  <c r="AH66" i="21" s="1"/>
  <c r="AM150" i="21"/>
  <c r="AN150" i="21" s="1"/>
  <c r="AL150" i="21"/>
  <c r="AF68" i="36"/>
  <c r="AG68" i="36"/>
  <c r="AH68" i="36" s="1"/>
  <c r="AA81" i="37"/>
  <c r="AB81" i="37" s="1"/>
  <c r="Z81" i="37"/>
  <c r="AA150" i="42"/>
  <c r="AB150" i="42" s="1"/>
  <c r="Z150" i="42"/>
  <c r="U113" i="43"/>
  <c r="V113" i="43" s="1"/>
  <c r="T113" i="43"/>
  <c r="T147" i="37"/>
  <c r="U147" i="37"/>
  <c r="V147" i="37" s="1"/>
  <c r="Z52" i="37"/>
  <c r="AA52" i="37"/>
  <c r="AB52" i="37" s="1"/>
  <c r="U102" i="42"/>
  <c r="V102" i="42" s="1"/>
  <c r="T102" i="42"/>
  <c r="AK131" i="37"/>
  <c r="Z49" i="37"/>
  <c r="AA49" i="37"/>
  <c r="AB49" i="37" s="1"/>
  <c r="AL99" i="42"/>
  <c r="AM99" i="42"/>
  <c r="AN99" i="42" s="1"/>
  <c r="AA69" i="33"/>
  <c r="AB69" i="33" s="1"/>
  <c r="Z69" i="33"/>
  <c r="AL150" i="37"/>
  <c r="AM150" i="37"/>
  <c r="AN150" i="37" s="1"/>
  <c r="T97" i="43"/>
  <c r="U97" i="43"/>
  <c r="V97" i="43" s="1"/>
  <c r="U32" i="43"/>
  <c r="V32" i="43" s="1"/>
  <c r="T32" i="43"/>
  <c r="AG132" i="36"/>
  <c r="AH132" i="36" s="1"/>
  <c r="AF132" i="36"/>
  <c r="U147" i="33"/>
  <c r="V147" i="33" s="1"/>
  <c r="T147" i="33"/>
  <c r="AL113" i="36"/>
  <c r="AM113" i="36"/>
  <c r="AN113" i="36" s="1"/>
  <c r="U98" i="37"/>
  <c r="V98" i="37" s="1"/>
  <c r="AL16" i="42"/>
  <c r="AM16" i="42"/>
  <c r="AN16" i="42" s="1"/>
  <c r="U65" i="33"/>
  <c r="V65" i="33" s="1"/>
  <c r="T65" i="33"/>
  <c r="AL69" i="37"/>
  <c r="AM69" i="37"/>
  <c r="AN69" i="37" s="1"/>
  <c r="U99" i="36"/>
  <c r="V99" i="36" s="1"/>
  <c r="T99" i="36"/>
  <c r="AK68" i="37"/>
  <c r="AG21" i="43"/>
  <c r="AH21" i="43" s="1"/>
  <c r="AF21" i="43"/>
  <c r="T133" i="43"/>
  <c r="U133" i="43"/>
  <c r="V133" i="43" s="1"/>
  <c r="AF19" i="37"/>
  <c r="AG19" i="37"/>
  <c r="AH19" i="37" s="1"/>
  <c r="AM84" i="42"/>
  <c r="AN84" i="42" s="1"/>
  <c r="AL84" i="42"/>
  <c r="AM102" i="37"/>
  <c r="AN102" i="37" s="1"/>
  <c r="AL102" i="37"/>
  <c r="T130" i="37"/>
  <c r="U130" i="37"/>
  <c r="V130" i="37" s="1"/>
  <c r="Z115" i="42"/>
  <c r="AA115" i="42"/>
  <c r="AB115" i="42" s="1"/>
  <c r="AF66" i="42"/>
  <c r="AG66" i="42"/>
  <c r="AH66" i="42" s="1"/>
  <c r="AA147" i="21"/>
  <c r="AB147" i="21" s="1"/>
  <c r="Z147" i="21"/>
  <c r="AM99" i="33"/>
  <c r="AN99" i="33" s="1"/>
  <c r="AL99" i="33"/>
  <c r="AG115" i="33"/>
  <c r="AH115" i="33" s="1"/>
  <c r="AF115" i="33"/>
  <c r="T146" i="37"/>
  <c r="U146" i="37"/>
  <c r="V146" i="37" s="1"/>
  <c r="AF132" i="37"/>
  <c r="AG132" i="37"/>
  <c r="AH132" i="37" s="1"/>
  <c r="T32" i="33"/>
  <c r="U32" i="33"/>
  <c r="V32" i="33" s="1"/>
  <c r="T151" i="33"/>
  <c r="U151" i="33"/>
  <c r="V151" i="33" s="1"/>
  <c r="AL17" i="43"/>
  <c r="AM17" i="43"/>
  <c r="AN17" i="43" s="1"/>
  <c r="AF32" i="42"/>
  <c r="AG32" i="42"/>
  <c r="AH32" i="42" s="1"/>
  <c r="AA21" i="21"/>
  <c r="AB21" i="21" s="1"/>
  <c r="Z21" i="21"/>
  <c r="U101" i="37"/>
  <c r="V101" i="37" s="1"/>
  <c r="T101" i="37"/>
  <c r="AF83" i="42"/>
  <c r="AG83" i="42"/>
  <c r="AH83" i="42" s="1"/>
  <c r="AG38" i="43"/>
  <c r="AH38" i="43" s="1"/>
  <c r="AF38" i="43"/>
  <c r="AA18" i="21"/>
  <c r="AB18" i="21" s="1"/>
  <c r="Z18" i="21"/>
  <c r="AM67" i="43"/>
  <c r="AN67" i="43" s="1"/>
  <c r="AL67" i="43"/>
  <c r="Z118" i="36"/>
  <c r="AA118" i="36"/>
  <c r="AB118" i="36" s="1"/>
  <c r="AF100" i="33"/>
  <c r="AG100" i="33"/>
  <c r="AH100" i="33" s="1"/>
  <c r="Z113" i="21"/>
  <c r="AA113" i="21"/>
  <c r="AB113" i="21" s="1"/>
  <c r="AA18" i="37"/>
  <c r="AB18" i="37" s="1"/>
  <c r="Z18" i="37"/>
  <c r="AF34" i="42"/>
  <c r="AG34" i="42"/>
  <c r="AH34" i="42" s="1"/>
  <c r="Z32" i="37"/>
  <c r="AA32" i="37"/>
  <c r="AB32" i="37" s="1"/>
  <c r="AE82" i="37"/>
  <c r="AE49" i="21"/>
  <c r="AG54" i="33"/>
  <c r="AH54" i="33" s="1"/>
  <c r="AF54" i="33"/>
  <c r="Z82" i="33"/>
  <c r="AA82" i="33"/>
  <c r="AB82" i="33" s="1"/>
  <c r="AH34" i="43"/>
  <c r="Z115" i="43"/>
  <c r="AA115" i="43"/>
  <c r="AB115" i="43" s="1"/>
  <c r="AA32" i="21"/>
  <c r="AB32" i="21" s="1"/>
  <c r="Z32" i="21"/>
  <c r="AM18" i="43"/>
  <c r="AN18" i="43" s="1"/>
  <c r="AL18" i="43"/>
  <c r="T117" i="33"/>
  <c r="U117" i="33"/>
  <c r="V117" i="33" s="1"/>
  <c r="AG50" i="37"/>
  <c r="AH50" i="37" s="1"/>
  <c r="AF50" i="37"/>
  <c r="U130" i="42"/>
  <c r="V130" i="42" s="1"/>
  <c r="T130" i="42"/>
  <c r="AL54" i="36"/>
  <c r="AM54" i="36"/>
  <c r="AN54" i="36" s="1"/>
  <c r="AF51" i="42"/>
  <c r="AG51" i="42"/>
  <c r="AH51" i="42" s="1"/>
  <c r="AL151" i="37"/>
  <c r="AM151" i="37"/>
  <c r="AN151" i="37" s="1"/>
  <c r="AL97" i="21"/>
  <c r="AM97" i="21"/>
  <c r="AN97" i="21" s="1"/>
  <c r="AK21" i="36"/>
  <c r="AA113" i="33"/>
  <c r="AB113" i="33" s="1"/>
  <c r="Z113" i="33"/>
  <c r="AE150" i="36"/>
  <c r="AL53" i="42"/>
  <c r="AM53" i="42"/>
  <c r="AN53" i="42" s="1"/>
  <c r="AA16" i="33"/>
  <c r="AB16" i="33" s="1"/>
  <c r="Z16" i="33"/>
  <c r="AG146" i="36"/>
  <c r="AH146" i="36" s="1"/>
  <c r="AF146" i="36"/>
  <c r="AF20" i="42"/>
  <c r="AG20" i="42"/>
  <c r="AH20" i="42" s="1"/>
  <c r="AG86" i="43"/>
  <c r="AH86" i="43" s="1"/>
  <c r="AF86" i="43"/>
  <c r="AA66" i="36"/>
  <c r="AB66" i="36" s="1"/>
  <c r="Z66" i="36"/>
  <c r="AF151" i="36"/>
  <c r="AG151" i="36"/>
  <c r="AH151" i="36" s="1"/>
  <c r="AM52" i="43"/>
  <c r="AN52" i="43" s="1"/>
  <c r="AL52" i="43"/>
  <c r="AF81" i="42"/>
  <c r="AG81" i="42"/>
  <c r="AH81" i="42" s="1"/>
  <c r="AG49" i="36"/>
  <c r="AH49" i="36" s="1"/>
  <c r="AF49" i="36"/>
  <c r="AA145" i="21"/>
  <c r="AB145" i="21" s="1"/>
  <c r="Z145" i="21"/>
  <c r="AG84" i="37"/>
  <c r="AH84" i="37" s="1"/>
  <c r="AF84" i="37"/>
  <c r="U52" i="36"/>
  <c r="V52" i="36" s="1"/>
  <c r="T52" i="36"/>
  <c r="T117" i="36"/>
  <c r="U117" i="36"/>
  <c r="V117" i="36" s="1"/>
  <c r="AM129" i="37"/>
  <c r="AN129" i="37" s="1"/>
  <c r="AL129" i="37"/>
  <c r="AM85" i="42"/>
  <c r="AN85" i="42" s="1"/>
  <c r="AL85" i="42"/>
  <c r="Z69" i="43"/>
  <c r="AA69" i="43"/>
  <c r="AB69" i="43" s="1"/>
  <c r="AL147" i="42"/>
  <c r="AM147" i="42"/>
  <c r="AN147" i="42" s="1"/>
  <c r="U17" i="33"/>
  <c r="V17" i="33" s="1"/>
  <c r="T17" i="33"/>
  <c r="Z115" i="36"/>
  <c r="AA115" i="36"/>
  <c r="AB115" i="36" s="1"/>
  <c r="Z16" i="37"/>
  <c r="AA16" i="37"/>
  <c r="AB16" i="37" s="1"/>
  <c r="AA53" i="43"/>
  <c r="AB53" i="43" s="1"/>
  <c r="Z53" i="43"/>
  <c r="AA149" i="42"/>
  <c r="AB149" i="42" s="1"/>
  <c r="Z149" i="42"/>
  <c r="U101" i="36"/>
  <c r="V101" i="36" s="1"/>
  <c r="T101" i="36"/>
  <c r="AM132" i="43"/>
  <c r="AN132" i="43" s="1"/>
  <c r="AL132" i="43"/>
  <c r="AF99" i="21"/>
  <c r="AG99" i="21"/>
  <c r="AH99" i="21" s="1"/>
  <c r="AG67" i="33"/>
  <c r="AH67" i="33" s="1"/>
  <c r="AF67" i="33"/>
  <c r="AG116" i="33"/>
  <c r="AH116" i="33" s="1"/>
  <c r="AF116" i="33"/>
  <c r="T114" i="43"/>
  <c r="U114" i="43"/>
  <c r="V114" i="43" s="1"/>
  <c r="AA84" i="36"/>
  <c r="AB84" i="36" s="1"/>
  <c r="Z84" i="36"/>
  <c r="AF101" i="33"/>
  <c r="AG101" i="33"/>
  <c r="AH101" i="33" s="1"/>
  <c r="Z132" i="21"/>
  <c r="AA132" i="21"/>
  <c r="AB132" i="21" s="1"/>
  <c r="AL150" i="42"/>
  <c r="AM150" i="42"/>
  <c r="AN150" i="42" s="1"/>
  <c r="U150" i="37"/>
  <c r="V150" i="37" s="1"/>
  <c r="T150" i="37"/>
  <c r="AG32" i="43"/>
  <c r="AH32" i="43" s="1"/>
  <c r="AF32" i="43"/>
  <c r="AA147" i="33"/>
  <c r="AB147" i="33" s="1"/>
  <c r="Z147" i="33"/>
  <c r="AM99" i="36"/>
  <c r="AN99" i="36" s="1"/>
  <c r="AL99" i="36"/>
  <c r="AA102" i="33"/>
  <c r="AB102" i="33" s="1"/>
  <c r="Z102" i="33"/>
  <c r="AA19" i="42"/>
  <c r="AB19" i="42" s="1"/>
  <c r="Z19" i="42"/>
  <c r="AF115" i="42"/>
  <c r="AG115" i="42"/>
  <c r="AH115" i="42" s="1"/>
  <c r="AL114" i="33"/>
  <c r="AM114" i="33"/>
  <c r="AN114" i="33" s="1"/>
  <c r="AF134" i="36"/>
  <c r="AG134" i="36"/>
  <c r="AH134" i="36" s="1"/>
  <c r="AL65" i="43"/>
  <c r="AM65" i="43"/>
  <c r="AN65" i="43" s="1"/>
  <c r="AA82" i="21"/>
  <c r="AB82" i="21" s="1"/>
  <c r="Z82" i="21"/>
  <c r="AL51" i="33"/>
  <c r="AM51" i="33"/>
  <c r="AN51" i="33" s="1"/>
  <c r="AM130" i="33"/>
  <c r="AN130" i="33" s="1"/>
  <c r="AL130" i="33"/>
  <c r="AF69" i="43"/>
  <c r="AG69" i="43"/>
  <c r="AH69" i="43" s="1"/>
  <c r="U67" i="37"/>
  <c r="V67" i="37" s="1"/>
  <c r="T67" i="37"/>
  <c r="T70" i="36"/>
  <c r="U70" i="36"/>
  <c r="V70" i="36" s="1"/>
  <c r="AM68" i="33"/>
  <c r="AN68" i="33" s="1"/>
  <c r="AL68" i="33"/>
  <c r="AG97" i="33"/>
  <c r="AH97" i="33" s="1"/>
  <c r="AF97" i="33"/>
  <c r="T50" i="33"/>
  <c r="U50" i="33"/>
  <c r="V50" i="33" s="1"/>
  <c r="U116" i="43"/>
  <c r="V116" i="43" s="1"/>
  <c r="T116" i="43"/>
  <c r="AL114" i="21"/>
  <c r="AM114" i="21"/>
  <c r="AN114" i="21" s="1"/>
  <c r="AM50" i="43"/>
  <c r="AN50" i="43" s="1"/>
  <c r="AL50" i="43"/>
  <c r="S16" i="36"/>
  <c r="AF21" i="42"/>
  <c r="AG21" i="42"/>
  <c r="AH21" i="42" s="1"/>
  <c r="U50" i="21"/>
  <c r="T50" i="21"/>
  <c r="Z132" i="42"/>
  <c r="AA132" i="42"/>
  <c r="AB132" i="42" s="1"/>
  <c r="U66" i="21"/>
  <c r="V66" i="21" s="1"/>
  <c r="T66" i="21"/>
  <c r="Z130" i="36"/>
  <c r="AA130" i="36"/>
  <c r="AB130" i="36" s="1"/>
  <c r="AM81" i="37"/>
  <c r="AN81" i="37" s="1"/>
  <c r="AL81" i="37"/>
  <c r="AG150" i="42"/>
  <c r="AH150" i="42" s="1"/>
  <c r="AF150" i="42"/>
  <c r="Z113" i="43"/>
  <c r="AA113" i="43"/>
  <c r="AB113" i="43" s="1"/>
  <c r="AL147" i="37"/>
  <c r="AM147" i="37"/>
  <c r="AN147" i="37" s="1"/>
  <c r="T52" i="37"/>
  <c r="U52" i="37"/>
  <c r="V52" i="37" s="1"/>
  <c r="AG102" i="42"/>
  <c r="AH102" i="42" s="1"/>
  <c r="AF102" i="42"/>
  <c r="AL49" i="37"/>
  <c r="AM49" i="37"/>
  <c r="AN49" i="37" s="1"/>
  <c r="U69" i="33"/>
  <c r="V69" i="33" s="1"/>
  <c r="T69" i="33"/>
  <c r="AH34" i="37"/>
  <c r="AF150" i="37"/>
  <c r="AG150" i="37"/>
  <c r="AH150" i="37" s="1"/>
  <c r="AA32" i="43"/>
  <c r="AB32" i="43" s="1"/>
  <c r="Z32" i="43"/>
  <c r="AM147" i="33"/>
  <c r="AN147" i="33" s="1"/>
  <c r="AL147" i="33"/>
  <c r="T113" i="36"/>
  <c r="U113" i="36"/>
  <c r="V113" i="36" s="1"/>
  <c r="T17" i="37"/>
  <c r="U17" i="37"/>
  <c r="V17" i="37" s="1"/>
  <c r="AE34" i="21"/>
  <c r="U69" i="37"/>
  <c r="V69" i="37" s="1"/>
  <c r="T69" i="37"/>
  <c r="AG99" i="36"/>
  <c r="AH99" i="36" s="1"/>
  <c r="AF99" i="36"/>
  <c r="S133" i="43"/>
  <c r="AF70" i="21"/>
  <c r="AG70" i="21"/>
  <c r="AH70" i="21" s="1"/>
  <c r="U19" i="37"/>
  <c r="V19" i="37" s="1"/>
  <c r="T19" i="37"/>
  <c r="AF118" i="37"/>
  <c r="AG118" i="37"/>
  <c r="AH118" i="37" s="1"/>
  <c r="AF130" i="37"/>
  <c r="AG130" i="37"/>
  <c r="AH130" i="37" s="1"/>
  <c r="U115" i="42"/>
  <c r="V115" i="42" s="1"/>
  <c r="T115" i="42"/>
  <c r="AM66" i="42"/>
  <c r="AN66" i="42" s="1"/>
  <c r="AL66" i="42"/>
  <c r="AM147" i="21"/>
  <c r="AN147" i="21" s="1"/>
  <c r="AL147" i="21"/>
  <c r="T99" i="33"/>
  <c r="U99" i="33"/>
  <c r="V99" i="33" s="1"/>
  <c r="AM115" i="33"/>
  <c r="AN115" i="33" s="1"/>
  <c r="AL115" i="33"/>
  <c r="AM146" i="37"/>
  <c r="AN146" i="37" s="1"/>
  <c r="AL146" i="37"/>
  <c r="AA19" i="33"/>
  <c r="AB19" i="33" s="1"/>
  <c r="Z19" i="33"/>
  <c r="AL85" i="43"/>
  <c r="AM85" i="43"/>
  <c r="AN85" i="43" s="1"/>
  <c r="U132" i="37"/>
  <c r="V132" i="37" s="1"/>
  <c r="T132" i="37"/>
  <c r="AA151" i="33"/>
  <c r="AB151" i="33" s="1"/>
  <c r="Z151" i="33"/>
  <c r="T17" i="43"/>
  <c r="U17" i="43"/>
  <c r="V17" i="43" s="1"/>
  <c r="U32" i="42"/>
  <c r="V32" i="42" s="1"/>
  <c r="T32" i="42"/>
  <c r="Y21" i="21"/>
  <c r="AM101" i="37"/>
  <c r="AN101" i="37" s="1"/>
  <c r="AL101" i="37"/>
  <c r="AA51" i="37"/>
  <c r="AB51" i="37" s="1"/>
  <c r="Z51" i="37"/>
  <c r="AL38" i="43"/>
  <c r="AM38" i="43"/>
  <c r="AN38" i="43" s="1"/>
  <c r="AL18" i="21"/>
  <c r="AM18" i="21"/>
  <c r="AN18" i="21" s="1"/>
  <c r="Z67" i="43"/>
  <c r="AA67" i="43"/>
  <c r="AB67" i="43" s="1"/>
  <c r="Z114" i="33"/>
  <c r="AA114" i="33"/>
  <c r="AB114" i="33" s="1"/>
  <c r="AG118" i="36"/>
  <c r="AH118" i="36" s="1"/>
  <c r="AF118" i="36"/>
  <c r="AL100" i="33"/>
  <c r="AM100" i="33"/>
  <c r="AN100" i="33" s="1"/>
  <c r="AF113" i="21"/>
  <c r="AG113" i="21"/>
  <c r="AH113" i="21" s="1"/>
  <c r="AM18" i="37"/>
  <c r="AN18" i="37" s="1"/>
  <c r="AL18" i="37"/>
  <c r="T34" i="42"/>
  <c r="U34" i="42"/>
  <c r="V34" i="42" s="1"/>
  <c r="AL117" i="42"/>
  <c r="AM117" i="42"/>
  <c r="AN117" i="42" s="1"/>
  <c r="T32" i="37"/>
  <c r="U32" i="37"/>
  <c r="V32" i="37" s="1"/>
  <c r="AA49" i="21"/>
  <c r="AB49" i="21" s="1"/>
  <c r="Z49" i="21"/>
  <c r="AM54" i="33"/>
  <c r="AN54" i="33" s="1"/>
  <c r="AL54" i="33"/>
  <c r="AF82" i="33"/>
  <c r="AG82" i="33"/>
  <c r="AH82" i="33" s="1"/>
  <c r="U84" i="43"/>
  <c r="V84" i="43" s="1"/>
  <c r="T84" i="43"/>
  <c r="AG115" i="43"/>
  <c r="AH115" i="43" s="1"/>
  <c r="AF115" i="43"/>
  <c r="T18" i="43"/>
  <c r="U18" i="43"/>
  <c r="V18" i="43" s="1"/>
  <c r="AA117" i="33"/>
  <c r="AB117" i="33" s="1"/>
  <c r="Z117" i="33"/>
  <c r="T50" i="37"/>
  <c r="U50" i="37"/>
  <c r="V50" i="37" s="1"/>
  <c r="Z130" i="42"/>
  <c r="AA130" i="42"/>
  <c r="AB130" i="42" s="1"/>
  <c r="AG82" i="21"/>
  <c r="AH82" i="21" s="1"/>
  <c r="AF82" i="21"/>
  <c r="AM51" i="42"/>
  <c r="AN51" i="42" s="1"/>
  <c r="AL51" i="42"/>
  <c r="T151" i="37"/>
  <c r="U151" i="37"/>
  <c r="V151" i="37" s="1"/>
  <c r="U97" i="21"/>
  <c r="V97" i="21" s="1"/>
  <c r="T97" i="21"/>
  <c r="AG21" i="36"/>
  <c r="AH21" i="36" s="1"/>
  <c r="AF21" i="36"/>
  <c r="AG113" i="33"/>
  <c r="AH113" i="33" s="1"/>
  <c r="AF113" i="33"/>
  <c r="AF16" i="33"/>
  <c r="AG16" i="33"/>
  <c r="AH16" i="33" s="1"/>
  <c r="AM146" i="36"/>
  <c r="AN146" i="36" s="1"/>
  <c r="AL146" i="36"/>
  <c r="AM20" i="42"/>
  <c r="AN20" i="42" s="1"/>
  <c r="AL20" i="42"/>
  <c r="AK98" i="43"/>
  <c r="S66" i="36"/>
  <c r="AM151" i="36"/>
  <c r="AN151" i="36" s="1"/>
  <c r="AL151" i="36"/>
  <c r="AA52" i="43"/>
  <c r="AB52" i="43" s="1"/>
  <c r="Z52" i="43"/>
  <c r="AM81" i="42"/>
  <c r="AN81" i="42" s="1"/>
  <c r="AL81" i="42"/>
  <c r="AL49" i="36"/>
  <c r="AM49" i="36"/>
  <c r="AN49" i="36" s="1"/>
  <c r="Z130" i="33"/>
  <c r="AA130" i="33"/>
  <c r="AB130" i="33" s="1"/>
  <c r="AM145" i="21"/>
  <c r="AN145" i="21" s="1"/>
  <c r="AL145" i="21"/>
  <c r="Z52" i="36"/>
  <c r="AA52" i="36"/>
  <c r="AB52" i="36" s="1"/>
  <c r="AG117" i="36"/>
  <c r="AH117" i="36" s="1"/>
  <c r="AF117" i="36"/>
  <c r="AL69" i="43"/>
  <c r="AM69" i="43"/>
  <c r="AN69" i="43" s="1"/>
  <c r="AM17" i="33"/>
  <c r="AN17" i="33" s="1"/>
  <c r="AL17" i="33"/>
  <c r="AM115" i="36"/>
  <c r="AN115" i="36" s="1"/>
  <c r="AL115" i="36"/>
  <c r="AF133" i="37"/>
  <c r="AG133" i="37"/>
  <c r="AH133" i="37" s="1"/>
  <c r="AM53" i="43"/>
  <c r="AN53" i="43" s="1"/>
  <c r="AL53" i="43"/>
  <c r="AL149" i="42"/>
  <c r="AM149" i="42"/>
  <c r="AN149" i="42" s="1"/>
  <c r="S101" i="36"/>
  <c r="Z51" i="43"/>
  <c r="AA51" i="43"/>
  <c r="AB51" i="43" s="1"/>
  <c r="Z99" i="21"/>
  <c r="AA99" i="21"/>
  <c r="AB99" i="21" s="1"/>
  <c r="AM117" i="43"/>
  <c r="AN117" i="43" s="1"/>
  <c r="AL117" i="43"/>
  <c r="AM67" i="33"/>
  <c r="AN67" i="33" s="1"/>
  <c r="AL67" i="33"/>
  <c r="U116" i="33"/>
  <c r="V116" i="33" s="1"/>
  <c r="T116" i="33"/>
  <c r="AG84" i="36"/>
  <c r="AH84" i="36" s="1"/>
  <c r="AF84" i="36"/>
  <c r="AL101" i="33"/>
  <c r="AM101" i="33"/>
  <c r="AN101" i="33" s="1"/>
  <c r="T132" i="21"/>
  <c r="U132" i="21"/>
  <c r="V132" i="21" s="1"/>
  <c r="V67" i="36" l="1"/>
  <c r="V50" i="21"/>
  <c r="V69" i="43"/>
  <c r="V69" i="36"/>
  <c r="V51" i="21"/>
  <c r="V52" i="21"/>
  <c r="V67" i="43"/>
  <c r="V19" i="21"/>
  <c r="V18" i="21"/>
  <c r="V34" i="21"/>
  <c r="V20" i="21"/>
  <c r="T98" i="37"/>
  <c r="AG98" i="37"/>
  <c r="AH98" i="37" s="1"/>
  <c r="AF98" i="37"/>
  <c r="T51" i="43"/>
  <c r="S51" i="43"/>
  <c r="U65" i="43"/>
  <c r="V65" i="43" s="1"/>
  <c r="AK113" i="21"/>
  <c r="AL97" i="36"/>
  <c r="T133" i="21"/>
  <c r="AM132" i="36"/>
  <c r="AN132" i="36" s="1"/>
  <c r="AL132" i="36"/>
  <c r="AL113" i="21"/>
  <c r="U133" i="21"/>
  <c r="V133" i="21" s="1"/>
  <c r="AA131" i="21"/>
  <c r="AB131" i="21" s="1"/>
  <c r="U68" i="21"/>
  <c r="V68" i="21" s="1"/>
  <c r="Z131" i="21"/>
  <c r="T68" i="21"/>
  <c r="Z68" i="21"/>
  <c r="AG68" i="21"/>
  <c r="AH68" i="21" s="1"/>
  <c r="U102" i="36"/>
  <c r="V102" i="36" s="1"/>
  <c r="AA68" i="21"/>
  <c r="AB68" i="21" s="1"/>
  <c r="T102" i="36"/>
  <c r="AF68" i="21"/>
  <c r="T68" i="43"/>
  <c r="S100" i="42"/>
  <c r="Z68" i="43"/>
  <c r="U100" i="42"/>
  <c r="V100" i="42" s="1"/>
  <c r="AA52" i="33"/>
  <c r="AB52" i="33" s="1"/>
  <c r="AM97" i="36"/>
  <c r="AN97" i="36" s="1"/>
  <c r="AK53" i="37"/>
  <c r="AA67" i="36"/>
  <c r="AB67" i="36" s="1"/>
  <c r="AA68" i="43"/>
  <c r="AB68" i="43" s="1"/>
  <c r="AF53" i="21"/>
  <c r="AM53" i="37"/>
  <c r="AN53" i="37" s="1"/>
  <c r="Z53" i="21"/>
  <c r="AG68" i="43"/>
  <c r="AH68" i="43" s="1"/>
  <c r="Z67" i="36"/>
  <c r="AF132" i="42"/>
  <c r="AG132" i="42"/>
  <c r="AH132" i="42" s="1"/>
  <c r="Z102" i="36"/>
  <c r="AA102" i="36"/>
  <c r="AB102" i="36" s="1"/>
  <c r="Z65" i="43"/>
  <c r="U68" i="43"/>
  <c r="V68" i="43" s="1"/>
  <c r="AA65" i="43"/>
  <c r="AB65" i="43" s="1"/>
  <c r="AF131" i="36"/>
  <c r="AG131" i="36"/>
  <c r="AH131" i="36" s="1"/>
  <c r="AA132" i="36"/>
  <c r="AB132" i="36" s="1"/>
  <c r="Z132" i="36"/>
  <c r="AF100" i="42"/>
  <c r="AG100" i="42"/>
  <c r="AH100" i="42" s="1"/>
  <c r="Z52" i="33"/>
  <c r="AA53" i="37"/>
  <c r="AB53" i="37" s="1"/>
  <c r="Z131" i="36"/>
  <c r="AA133" i="21"/>
  <c r="AB133" i="21" s="1"/>
  <c r="Z53" i="37"/>
  <c r="U97" i="37"/>
  <c r="V97" i="37" s="1"/>
  <c r="Z133" i="21"/>
  <c r="U132" i="36"/>
  <c r="V132" i="36" s="1"/>
  <c r="AA131" i="36"/>
  <c r="AB131" i="36" s="1"/>
  <c r="T132" i="36"/>
  <c r="AG100" i="21"/>
  <c r="AH100" i="21" s="1"/>
  <c r="AF100" i="21"/>
  <c r="AG98" i="42"/>
  <c r="AH98" i="42" s="1"/>
  <c r="AF68" i="43"/>
  <c r="AF98" i="42"/>
  <c r="AM100" i="21"/>
  <c r="AN100" i="21" s="1"/>
  <c r="AA53" i="21"/>
  <c r="AB53" i="21" s="1"/>
  <c r="AL100" i="21"/>
  <c r="AA66" i="33"/>
  <c r="AB66" i="33" s="1"/>
  <c r="AG53" i="21"/>
  <c r="AH53" i="21" s="1"/>
  <c r="AM53" i="21"/>
  <c r="AN53" i="21" s="1"/>
  <c r="AL134" i="33"/>
  <c r="AM134" i="33"/>
  <c r="AN134" i="33" s="1"/>
  <c r="AL98" i="42"/>
  <c r="T98" i="42"/>
  <c r="U98" i="42"/>
  <c r="V98" i="42" s="1"/>
  <c r="AM116" i="42"/>
  <c r="AN116" i="42" s="1"/>
  <c r="Z66" i="33"/>
  <c r="AG98" i="21"/>
  <c r="AH98" i="21" s="1"/>
  <c r="T134" i="33"/>
  <c r="AF98" i="21"/>
  <c r="AL116" i="42"/>
  <c r="AF116" i="42"/>
  <c r="AG116" i="42"/>
  <c r="AH116" i="42" s="1"/>
  <c r="U134" i="33"/>
  <c r="V134" i="33" s="1"/>
  <c r="T53" i="37"/>
  <c r="AA116" i="42"/>
  <c r="AB116" i="42" s="1"/>
  <c r="AF66" i="33"/>
  <c r="Y116" i="42"/>
  <c r="U53" i="37"/>
  <c r="V53" i="37" s="1"/>
  <c r="AG66" i="33"/>
  <c r="AH66" i="33" s="1"/>
  <c r="Z97" i="43"/>
  <c r="AF97" i="37"/>
  <c r="AG97" i="37"/>
  <c r="AH97" i="37" s="1"/>
  <c r="AA97" i="43"/>
  <c r="AB97" i="43" s="1"/>
  <c r="AM97" i="43"/>
  <c r="AN97" i="43" s="1"/>
  <c r="AL97" i="43"/>
  <c r="AA100" i="21"/>
  <c r="AB100" i="21" s="1"/>
  <c r="Z100" i="21"/>
  <c r="AA70" i="33"/>
  <c r="AB70" i="33" s="1"/>
  <c r="Z70" i="33"/>
  <c r="S70" i="21"/>
  <c r="T70" i="21"/>
  <c r="T97" i="42"/>
  <c r="AM70" i="21"/>
  <c r="AN70" i="21" s="1"/>
  <c r="Z97" i="42"/>
  <c r="AK70" i="21"/>
  <c r="U97" i="42"/>
  <c r="V97" i="42" s="1"/>
  <c r="AL70" i="33"/>
  <c r="AM70" i="33"/>
  <c r="AN70" i="33" s="1"/>
  <c r="S70" i="33"/>
  <c r="AA97" i="42"/>
  <c r="AB97" i="42" s="1"/>
  <c r="AG97" i="43"/>
  <c r="AH97" i="43" s="1"/>
  <c r="AF97" i="42"/>
  <c r="AG97" i="42"/>
  <c r="AH97" i="42" s="1"/>
</calcChain>
</file>

<file path=xl/sharedStrings.xml><?xml version="1.0" encoding="utf-8"?>
<sst xmlns="http://schemas.openxmlformats.org/spreadsheetml/2006/main" count="4695" uniqueCount="409">
  <si>
    <t>Summary of PRS Characteristics</t>
  </si>
  <si>
    <t>PRS Characteristics</t>
  </si>
  <si>
    <t>Odds Ratios</t>
  </si>
  <si>
    <t>Cancer Site</t>
  </si>
  <si>
    <t>PRS</t>
  </si>
  <si>
    <t>AUC</t>
  </si>
  <si>
    <t>OR/SD</t>
  </si>
  <si>
    <t xml:space="preserve">Top </t>
  </si>
  <si>
    <t>Breast</t>
  </si>
  <si>
    <t>Fritsche LG et al. Am J Hum Genet (2020)</t>
  </si>
  <si>
    <t>Prostate</t>
  </si>
  <si>
    <t>Colorectal</t>
  </si>
  <si>
    <t>Pancreas</t>
  </si>
  <si>
    <t>Ovary</t>
  </si>
  <si>
    <t>Kidney</t>
  </si>
  <si>
    <t>CLL</t>
  </si>
  <si>
    <t>Lung/Bronchus</t>
  </si>
  <si>
    <t>Testis</t>
  </si>
  <si>
    <t>Zhang YD et al. Nat Commun (2020)</t>
  </si>
  <si>
    <t>Percentage of cancers in PRS Proportion</t>
  </si>
  <si>
    <t>Fritsche - Current</t>
  </si>
  <si>
    <t>Zhang - Future</t>
  </si>
  <si>
    <t>Zhang - Ideal</t>
  </si>
  <si>
    <t>Cancer</t>
  </si>
  <si>
    <t>z(AUC)</t>
  </si>
  <si>
    <t>Mean</t>
  </si>
  <si>
    <t>SD</t>
  </si>
  <si>
    <t>Top Percent
 of PRS</t>
  </si>
  <si>
    <t>P</t>
  </si>
  <si>
    <t>z</t>
  </si>
  <si>
    <t>1-CDF(top x%)</t>
  </si>
  <si>
    <t>Percent of cases 
in percent of PRS</t>
  </si>
  <si>
    <t>Lung</t>
  </si>
  <si>
    <t>Absolute lifetime risks of cancer, and percentage of cancers captured by the PRS</t>
  </si>
  <si>
    <t>Absolute Lifetime Risk (%)</t>
  </si>
  <si>
    <t>Absolute lifetime risk in top 20% of the PRS</t>
  </si>
  <si>
    <t>Absolute lifetime risk in top 10% of the PRS</t>
  </si>
  <si>
    <t>Absolute lifetime risk in top 5% of the PRS</t>
  </si>
  <si>
    <t>Absolute lifetime risk in top 1% of the PRS</t>
  </si>
  <si>
    <t>PRS AUC</t>
  </si>
  <si>
    <t>Male</t>
  </si>
  <si>
    <t>Female</t>
  </si>
  <si>
    <t xml:space="preserve">Male </t>
  </si>
  <si>
    <t xml:space="preserve">Female </t>
  </si>
  <si>
    <t>Absolute lifetime risk calculator</t>
  </si>
  <si>
    <t>Descriptor</t>
  </si>
  <si>
    <t>Odds Ratio</t>
  </si>
  <si>
    <t>Prevalence of Exposure</t>
  </si>
  <si>
    <t>Baseline</t>
  </si>
  <si>
    <t>Top 1% vs Remainder - Current</t>
  </si>
  <si>
    <t>Result</t>
  </si>
  <si>
    <t>Top 5% vs Remainder - Current</t>
  </si>
  <si>
    <t>Top 10% vs Remainder - Current</t>
  </si>
  <si>
    <t>Lifetime Risk</t>
  </si>
  <si>
    <t>Top 20% vs Remainder - Current</t>
  </si>
  <si>
    <t>Top 1% vs Remainder - Future</t>
  </si>
  <si>
    <t>Top 5% vs Remainder - Future</t>
  </si>
  <si>
    <t>Top 10% vs Remainder - Future</t>
  </si>
  <si>
    <t>Top 20% vs Remainder - Future</t>
  </si>
  <si>
    <t>Top 1% vs Remainder - Ideal</t>
  </si>
  <si>
    <t>Top 5% vs Remainder - Ideal</t>
  </si>
  <si>
    <t>Top 10% vs Remainder - Ideal</t>
  </si>
  <si>
    <t>Top 20% vs Remainder - Ideal</t>
  </si>
  <si>
    <t>Demographics: cancer- specific</t>
  </si>
  <si>
    <t>Age Range</t>
  </si>
  <si>
    <t>All cause death rate per 100K</t>
  </si>
  <si>
    <t>Mortality</t>
  </si>
  <si>
    <t>Incidence</t>
  </si>
  <si>
    <t>(ONS 2009-2018)</t>
  </si>
  <si>
    <t>Male Rate</t>
  </si>
  <si>
    <t>Female Rates</t>
  </si>
  <si>
    <t>Male Rates</t>
  </si>
  <si>
    <t>0-4</t>
  </si>
  <si>
    <t>5-9</t>
  </si>
  <si>
    <t>10-14</t>
  </si>
  <si>
    <t>15-19</t>
  </si>
  <si>
    <t>20-24</t>
  </si>
  <si>
    <t>25-29</t>
  </si>
  <si>
    <t>30-34</t>
  </si>
  <si>
    <t>35-39</t>
  </si>
  <si>
    <t>40-44</t>
  </si>
  <si>
    <t>45-49</t>
  </si>
  <si>
    <t>50-54</t>
  </si>
  <si>
    <t>55-59</t>
  </si>
  <si>
    <t>60-64</t>
  </si>
  <si>
    <t>65-69</t>
  </si>
  <si>
    <t>70-74</t>
  </si>
  <si>
    <t>75-79</t>
  </si>
  <si>
    <t>80-84</t>
  </si>
  <si>
    <t>85-89</t>
  </si>
  <si>
    <t>90+</t>
  </si>
  <si>
    <t>MALE</t>
  </si>
  <si>
    <t>Age Band</t>
  </si>
  <si>
    <t>Age</t>
  </si>
  <si>
    <t>All cause death rate (EW 2018) per 100k</t>
  </si>
  <si>
    <t>Prevalence of exposure (proportion)</t>
  </si>
  <si>
    <t>OR</t>
  </si>
  <si>
    <t>Baseline incidence rate per 100k</t>
  </si>
  <si>
    <t>Incidence rate in exposed per 100k</t>
  </si>
  <si>
    <t>Death rate in exposed  (scaled by ratio of Death: Incidence rate) per 100k</t>
  </si>
  <si>
    <t>Age point (X)</t>
  </si>
  <si>
    <t>Exposed hypothetical cohort size</t>
  </si>
  <si>
    <t>Events in exposed hypothetical cohort</t>
  </si>
  <si>
    <t>Cumulative risk from birth to age X</t>
  </si>
  <si>
    <t>cancer death rate per 100k</t>
  </si>
  <si>
    <t>cancer incidence per 100k</t>
  </si>
  <si>
    <t>and competing cancer risk in exposed cohort</t>
  </si>
  <si>
    <t>5</t>
  </si>
  <si>
    <t>10</t>
  </si>
  <si>
    <t>Lifetime risk:</t>
  </si>
  <si>
    <t>Risk to age 80:</t>
  </si>
  <si>
    <t>FEMALE</t>
  </si>
  <si>
    <t>CLL cancer death rate per 100k</t>
  </si>
  <si>
    <t>CLL cancer incidence per 100k</t>
  </si>
  <si>
    <t>Notes and sources</t>
  </si>
  <si>
    <t>https://www.ons.gov.uk/peoplepopulationandcommunity/birthsdeathsandmarriages/deaths/datasets/deathsregisteredinenglandandwalesseriesdrreferencetables</t>
  </si>
  <si>
    <t>PRS Metrics - Odds Ratios of Top Percentile of PRS vs Remainder</t>
  </si>
  <si>
    <t>PRS Metrics</t>
  </si>
  <si>
    <t>Top</t>
  </si>
  <si>
    <t>Bottom</t>
  </si>
  <si>
    <t>1-CDF (top X%)</t>
  </si>
  <si>
    <t xml:space="preserve">CDF (bottom X%) </t>
  </si>
  <si>
    <t xml:space="preserve">CDF (bottom x%) </t>
  </si>
  <si>
    <t>(Cases)</t>
  </si>
  <si>
    <t>(Controls)</t>
  </si>
  <si>
    <t>Percent</t>
  </si>
  <si>
    <t>Unaffected</t>
  </si>
  <si>
    <t>Affected</t>
  </si>
  <si>
    <t>Calc</t>
  </si>
  <si>
    <t>Current</t>
  </si>
  <si>
    <t>Future</t>
  </si>
  <si>
    <t>Ideal</t>
  </si>
  <si>
    <t>Incidence and mortality data for liftime risk calculator</t>
  </si>
  <si>
    <t>Screening Tool</t>
  </si>
  <si>
    <t>Trial/Source</t>
  </si>
  <si>
    <t>Detail</t>
  </si>
  <si>
    <t>Sensitivity</t>
  </si>
  <si>
    <t>Specificity</t>
  </si>
  <si>
    <t>Overdiagnosis Risk</t>
  </si>
  <si>
    <t>FIT 20 µg/g threshold (CRC)</t>
  </si>
  <si>
    <t>FIT</t>
  </si>
  <si>
    <t>20 µg/g threshold (CRC)</t>
  </si>
  <si>
    <t>Low</t>
  </si>
  <si>
    <t>FIT 20-50 µg/g threshold (CRC)</t>
  </si>
  <si>
    <t>20-50 µg/g threshold (CRC)</t>
  </si>
  <si>
    <t>FIT &gt;50 µg/g threshold (CRC)</t>
  </si>
  <si>
    <t>&gt;50 µg/g threshold (CRC)</t>
  </si>
  <si>
    <t>CA19-9_20U/mL cutoff</t>
  </si>
  <si>
    <t>CA19-9</t>
  </si>
  <si>
    <t>Meta-analysis</t>
  </si>
  <si>
    <t>20 U/mL cutoff</t>
  </si>
  <si>
    <t>Medium</t>
  </si>
  <si>
    <t>CA19-9_37U/mL cutoff</t>
  </si>
  <si>
    <t>37 U/mL cutoff</t>
  </si>
  <si>
    <t>Low dose CT</t>
  </si>
  <si>
    <t>NELSON Trial</t>
  </si>
  <si>
    <t>Three rounds of low-dose CT</t>
  </si>
  <si>
    <t xml:space="preserve">Breast </t>
  </si>
  <si>
    <t>Film mammography</t>
  </si>
  <si>
    <t>DMIST Trial</t>
  </si>
  <si>
    <t>All women, with use of BIRADS Score</t>
  </si>
  <si>
    <t>High</t>
  </si>
  <si>
    <t>Digital mammography</t>
  </si>
  <si>
    <t>MMS (CA-125 + TVU)</t>
  </si>
  <si>
    <t>UKCTOCS Trial</t>
  </si>
  <si>
    <t>First line screening with CA-125 interpreted via ROCA and second-line screening via TVU</t>
  </si>
  <si>
    <t>USS</t>
  </si>
  <si>
    <t>First and second line screening via TVU</t>
  </si>
  <si>
    <t>PSA_4ng/mL cut-off</t>
  </si>
  <si>
    <t>PSA</t>
  </si>
  <si>
    <t>Prostate Cancer Prevention Trial (USA)</t>
  </si>
  <si>
    <t>4ng/mL cut-off</t>
  </si>
  <si>
    <t>PSA_3ng/mL cut-off</t>
  </si>
  <si>
    <t>3ng/mL cut-off</t>
  </si>
  <si>
    <t>Semen assay</t>
  </si>
  <si>
    <t>Single Study</t>
  </si>
  <si>
    <t>automated immunocytochemical staining, scanning microscopy and in silico image analysis</t>
  </si>
  <si>
    <t>Literature Review</t>
  </si>
  <si>
    <t>Renal ultrasound scan</t>
  </si>
  <si>
    <t>Bladder</t>
  </si>
  <si>
    <t>Other</t>
  </si>
  <si>
    <t>Cancer Type</t>
  </si>
  <si>
    <t xml:space="preserve">Age Groups </t>
  </si>
  <si>
    <t>Annual Incidence (per 100,000) for age-band</t>
  </si>
  <si>
    <t>Population</t>
  </si>
  <si>
    <t>of PRS</t>
  </si>
  <si>
    <t>Population size</t>
  </si>
  <si>
    <t>Male Population</t>
  </si>
  <si>
    <t>Female Population</t>
  </si>
  <si>
    <t>Cancers arising</t>
  </si>
  <si>
    <t>Number in 'high risk' screening group</t>
  </si>
  <si>
    <t xml:space="preserve">PRS false negative (missed cancers arising in 'low' risk group) </t>
  </si>
  <si>
    <t>40 to 44</t>
  </si>
  <si>
    <t>45 to 49</t>
  </si>
  <si>
    <t>50 to 54</t>
  </si>
  <si>
    <t>55 to 59</t>
  </si>
  <si>
    <t>60 to 64</t>
  </si>
  <si>
    <t>65 to 69</t>
  </si>
  <si>
    <t>70 to 74</t>
  </si>
  <si>
    <t>75 to 79</t>
  </si>
  <si>
    <t>Total 40-69</t>
  </si>
  <si>
    <t>Total 40-49</t>
  </si>
  <si>
    <t>Total 50-59</t>
  </si>
  <si>
    <t>Total 50-69</t>
  </si>
  <si>
    <t>Total 40-79</t>
  </si>
  <si>
    <t>Total (all ages)</t>
  </si>
  <si>
    <t>Total 20-39</t>
  </si>
  <si>
    <t>Screening sensitivity</t>
  </si>
  <si>
    <t>Screening offered to top</t>
  </si>
  <si>
    <t>Population Size</t>
  </si>
  <si>
    <t>screening false negatives</t>
  </si>
  <si>
    <t>Total detected by screening</t>
  </si>
  <si>
    <t>Percent of cancers identified</t>
  </si>
  <si>
    <t>Percent of cancers detected</t>
  </si>
  <si>
    <t>other</t>
  </si>
  <si>
    <t xml:space="preserve">10 year survival 
(no PRS) </t>
  </si>
  <si>
    <t xml:space="preserve">Proportion by route (normal) </t>
  </si>
  <si>
    <t xml:space="preserve">Number by stage (without PRS) </t>
  </si>
  <si>
    <t>Number survivng 10 years by stage</t>
  </si>
  <si>
    <t>Proportion by route</t>
  </si>
  <si>
    <t xml:space="preserve">Number by stage (with PRS) </t>
  </si>
  <si>
    <t>Number surviving 10 years by stage</t>
  </si>
  <si>
    <t xml:space="preserve">Absolute change in 10 year survival with PRS (cases) </t>
  </si>
  <si>
    <t xml:space="preserve">Pecentage change in cases surviving 10 years </t>
  </si>
  <si>
    <t>2WW</t>
  </si>
  <si>
    <t>Screening</t>
  </si>
  <si>
    <t>Emergency</t>
  </si>
  <si>
    <t>Routine</t>
  </si>
  <si>
    <t>Total</t>
  </si>
  <si>
    <t>40 to 49</t>
  </si>
  <si>
    <t>50 to 59</t>
  </si>
  <si>
    <t xml:space="preserve">Proportion by route by age </t>
  </si>
  <si>
    <t xml:space="preserve">Proportion by stage by route </t>
  </si>
  <si>
    <t xml:space="preserve">10 year age-stage specific survival </t>
  </si>
  <si>
    <t>30 to 39</t>
  </si>
  <si>
    <t>1</t>
  </si>
  <si>
    <t>2</t>
  </si>
  <si>
    <t>3</t>
  </si>
  <si>
    <t>4</t>
  </si>
  <si>
    <t>60 to 69</t>
  </si>
  <si>
    <t>70 to 79</t>
  </si>
  <si>
    <t>80+</t>
  </si>
  <si>
    <t>Age group</t>
  </si>
  <si>
    <t>Combined</t>
  </si>
  <si>
    <t>Female Cases</t>
  </si>
  <si>
    <t xml:space="preserve">Female Age specific Incidence per 100,000 </t>
  </si>
  <si>
    <t>F Population size</t>
  </si>
  <si>
    <t>Male cases</t>
  </si>
  <si>
    <t xml:space="preserve">Male Age specific Incidence per 100,000 </t>
  </si>
  <si>
    <t>M population</t>
  </si>
  <si>
    <t>Total Population Size</t>
  </si>
  <si>
    <t>0 to 04</t>
  </si>
  <si>
    <t>05 to 09</t>
  </si>
  <si>
    <t>10 to 14</t>
  </si>
  <si>
    <t>15 to 19</t>
  </si>
  <si>
    <t>20 to 24</t>
  </si>
  <si>
    <t>25 to 29</t>
  </si>
  <si>
    <t>30 to 34</t>
  </si>
  <si>
    <t>35 to 39</t>
  </si>
  <si>
    <t>80 to 84</t>
  </si>
  <si>
    <t>85 to 89</t>
  </si>
  <si>
    <t>Total (All ages)</t>
  </si>
  <si>
    <t xml:space="preserve">40 to 49 </t>
  </si>
  <si>
    <t>Systematic review and meta-analysis</t>
  </si>
  <si>
    <t>Route to Diagnosis Data: 2018 (NCR/NHSD)</t>
  </si>
  <si>
    <t>Screening offered to</t>
  </si>
  <si>
    <t>mpMRI</t>
  </si>
  <si>
    <t>Mend suspected or diagnosed with prostate cancer, with use of PI-RADSv2 score</t>
  </si>
  <si>
    <t>Number in screening group</t>
  </si>
  <si>
    <t>No PRS stratification</t>
  </si>
  <si>
    <t>of population</t>
  </si>
  <si>
    <t>Screening false negatives</t>
  </si>
  <si>
    <t>Total 60-69</t>
  </si>
  <si>
    <t xml:space="preserve">10 year survival 
(screening offered to whole population) </t>
  </si>
  <si>
    <t>T1M0</t>
  </si>
  <si>
    <t>T2M0</t>
  </si>
  <si>
    <t>T3M0</t>
  </si>
  <si>
    <t>T4M0</t>
  </si>
  <si>
    <t>T1M1</t>
  </si>
  <si>
    <t>T2M1</t>
  </si>
  <si>
    <t>T3M1</t>
  </si>
  <si>
    <t>T4M1</t>
  </si>
  <si>
    <t>Stage 1</t>
  </si>
  <si>
    <t>Stage 2</t>
  </si>
  <si>
    <t>Stage 3</t>
  </si>
  <si>
    <t>Stage 4</t>
  </si>
  <si>
    <t>MAP to Stage by Screening for Prostate cancer, using ESRC trial data</t>
  </si>
  <si>
    <t xml:space="preserve">Current PRS
</t>
  </si>
  <si>
    <t>Future PRS</t>
  </si>
  <si>
    <t>Optimsed PRS</t>
  </si>
  <si>
    <t xml:space="preserve">ten year survival (%) </t>
  </si>
  <si>
    <t>Cancers arising per year</t>
  </si>
  <si>
    <t>Total 60-74</t>
  </si>
  <si>
    <t>kidney</t>
  </si>
  <si>
    <t>prostate</t>
  </si>
  <si>
    <t>Optimised PRS</t>
  </si>
  <si>
    <t>58 to 59</t>
  </si>
  <si>
    <t>68 to 69</t>
  </si>
  <si>
    <t>48 to 49</t>
  </si>
  <si>
    <t>Contents</t>
  </si>
  <si>
    <t>Supplementary table 3</t>
  </si>
  <si>
    <t>Supplementary table 4</t>
  </si>
  <si>
    <t>Supplementary table 5</t>
  </si>
  <si>
    <t>Supplementary table 6</t>
  </si>
  <si>
    <t>Supplementary table 7</t>
  </si>
  <si>
    <t>Supplementary table 8</t>
  </si>
  <si>
    <t>Supplementary table 9</t>
  </si>
  <si>
    <t>a</t>
  </si>
  <si>
    <t>b</t>
  </si>
  <si>
    <t>c</t>
  </si>
  <si>
    <t>d</t>
  </si>
  <si>
    <r>
      <t>Cancers detected by offering risk stratified screening according to PRS (based on</t>
    </r>
    <r>
      <rPr>
        <u/>
        <sz val="12"/>
        <color theme="1"/>
        <rFont val="Calibri"/>
        <family val="2"/>
        <scheme val="minor"/>
      </rPr>
      <t xml:space="preserve"> idealised screening tool, sensitivity of 0.8</t>
    </r>
    <r>
      <rPr>
        <sz val="12"/>
        <color theme="1"/>
        <rFont val="Calibri"/>
        <family val="2"/>
        <scheme val="minor"/>
      </rPr>
      <t>)</t>
    </r>
  </si>
  <si>
    <r>
      <t xml:space="preserve">Cancers detected by offering risk stratified screening according to PRS (based on sensitivity of </t>
    </r>
    <r>
      <rPr>
        <u/>
        <sz val="12"/>
        <color theme="1"/>
        <rFont val="Calibri"/>
        <family val="2"/>
        <scheme val="minor"/>
      </rPr>
      <t>current screening tools</t>
    </r>
    <r>
      <rPr>
        <sz val="12"/>
        <color theme="1"/>
        <rFont val="Calibri"/>
        <family val="2"/>
        <scheme val="minor"/>
      </rPr>
      <t>)</t>
    </r>
  </si>
  <si>
    <r>
      <t xml:space="preserve">Based on stratification by </t>
    </r>
    <r>
      <rPr>
        <i/>
        <u/>
        <sz val="12"/>
        <color theme="1"/>
        <rFont val="Calibri"/>
        <family val="2"/>
        <scheme val="minor"/>
      </rPr>
      <t xml:space="preserve">current </t>
    </r>
    <r>
      <rPr>
        <i/>
        <sz val="12"/>
        <color theme="1"/>
        <rFont val="Calibri"/>
        <family val="2"/>
        <scheme val="minor"/>
      </rPr>
      <t>PRS</t>
    </r>
  </si>
  <si>
    <r>
      <t xml:space="preserve">Based on stratification by </t>
    </r>
    <r>
      <rPr>
        <i/>
        <u/>
        <sz val="12"/>
        <color theme="1"/>
        <rFont val="Calibri"/>
        <family val="2"/>
        <scheme val="minor"/>
      </rPr>
      <t>future</t>
    </r>
    <r>
      <rPr>
        <i/>
        <sz val="12"/>
        <color theme="1"/>
        <rFont val="Calibri"/>
        <family val="2"/>
        <scheme val="minor"/>
      </rPr>
      <t xml:space="preserve"> PRS</t>
    </r>
  </si>
  <si>
    <r>
      <t xml:space="preserve">Based on stratification by </t>
    </r>
    <r>
      <rPr>
        <i/>
        <u/>
        <sz val="11"/>
        <color theme="1"/>
        <rFont val="Calibri"/>
        <family val="2"/>
        <scheme val="minor"/>
      </rPr>
      <t xml:space="preserve">current </t>
    </r>
    <r>
      <rPr>
        <i/>
        <sz val="11"/>
        <color theme="1"/>
        <rFont val="Calibri"/>
        <family val="2"/>
        <scheme val="minor"/>
      </rPr>
      <t>PRS</t>
    </r>
  </si>
  <si>
    <r>
      <t xml:space="preserve">Based on stratification by </t>
    </r>
    <r>
      <rPr>
        <i/>
        <u/>
        <sz val="11"/>
        <color theme="1"/>
        <rFont val="Calibri"/>
        <family val="2"/>
        <scheme val="minor"/>
      </rPr>
      <t>future</t>
    </r>
    <r>
      <rPr>
        <i/>
        <sz val="11"/>
        <color theme="1"/>
        <rFont val="Calibri"/>
        <family val="2"/>
        <scheme val="minor"/>
      </rPr>
      <t xml:space="preserve"> PRS</t>
    </r>
  </si>
  <si>
    <t>Total number of cases</t>
  </si>
  <si>
    <t>Current PRS</t>
  </si>
  <si>
    <t>Percentage of cancers captured within the PRS-defined high risk quintile</t>
  </si>
  <si>
    <t>Data Validation</t>
  </si>
  <si>
    <t>Top 50% vs Remainder - Current</t>
  </si>
  <si>
    <t>Top 50% vs Remainder - Future</t>
  </si>
  <si>
    <t>Top 50% vs Remainder - Ideal</t>
  </si>
  <si>
    <t>Fill the cancer name, and select the group you wish to look at</t>
  </si>
  <si>
    <t>Absolute lifetime risk in top 50% of the PRS</t>
  </si>
  <si>
    <t>Average</t>
  </si>
  <si>
    <t>Males</t>
  </si>
  <si>
    <t>Females</t>
  </si>
  <si>
    <t>All</t>
  </si>
  <si>
    <t>0 to 4</t>
  </si>
  <si>
    <t>5 to 9</t>
  </si>
  <si>
    <t>Source: Analysis of Population Estimates Tool, Office for National Statistics   © Crown copyright 2021</t>
  </si>
  <si>
    <t>By Rate</t>
  </si>
  <si>
    <t>Ageband</t>
  </si>
  <si>
    <t>F Rate</t>
  </si>
  <si>
    <t>Rate</t>
  </si>
  <si>
    <t>5-year average</t>
  </si>
  <si>
    <t>48-49</t>
  </si>
  <si>
    <t>By Number of Cancers</t>
  </si>
  <si>
    <t>F number</t>
  </si>
  <si>
    <t>Number</t>
  </si>
  <si>
    <t>M Rate</t>
  </si>
  <si>
    <t>60 to 65</t>
  </si>
  <si>
    <t>M number</t>
  </si>
  <si>
    <t>F +M number</t>
  </si>
  <si>
    <t>Cancers arising in 'high risk' group</t>
  </si>
  <si>
    <t xml:space="preserve">Cancers arising in high risk group </t>
  </si>
  <si>
    <t>Reference</t>
  </si>
  <si>
    <t>10 year survival: current (no screening)</t>
  </si>
  <si>
    <t>10-year survival: screening offered to randomly selected 20% of population</t>
  </si>
  <si>
    <r>
      <t xml:space="preserve">Based on stratification by </t>
    </r>
    <r>
      <rPr>
        <i/>
        <u/>
        <sz val="11"/>
        <color theme="1"/>
        <rFont val="Calibri (Body)"/>
      </rPr>
      <t>optimised</t>
    </r>
    <r>
      <rPr>
        <i/>
        <sz val="11"/>
        <color theme="1"/>
        <rFont val="Calibri"/>
        <family val="2"/>
        <scheme val="minor"/>
      </rPr>
      <t xml:space="preserve"> PRS </t>
    </r>
  </si>
  <si>
    <t>Supplementary Table 7c. Cancers detected by offering risk stratified screening according to PRS (based on idealised screening tool, sensitivity of 0.8), based on stratification by optimised PRS</t>
  </si>
  <si>
    <t>Data from CRUK - mortality is 2017-2019, incidence 2016-2018</t>
  </si>
  <si>
    <t>Number requiring screening in  'high risk' group</t>
  </si>
  <si>
    <t>Missed cancers arising in unscreened 'low risk' group</t>
  </si>
  <si>
    <t>Cancers missed on screening in ‘high-risk’ group</t>
  </si>
  <si>
    <t>Cancers detected on screening in ‘high-risk’ group</t>
  </si>
  <si>
    <t>Cancer site</t>
  </si>
  <si>
    <t>Cases in UK-BioBank</t>
  </si>
  <si>
    <t>Variants in PRS</t>
  </si>
  <si>
    <t>AUC for predictive model including</t>
  </si>
  <si>
    <t>Age [+ sex]</t>
  </si>
  <si>
    <t>Age [+ sex] + family history</t>
  </si>
  <si>
    <t>Age [+ sex] + PRS (instead of family history)</t>
  </si>
  <si>
    <t>Age [+ sex] + other predictors</t>
  </si>
  <si>
    <t>Age [+ sex] + family history + other predictors</t>
  </si>
  <si>
    <t xml:space="preserve">Lung </t>
  </si>
  <si>
    <t xml:space="preserve">Colorectal </t>
  </si>
  <si>
    <r>
      <t xml:space="preserve">Lee J.K. et al. </t>
    </r>
    <r>
      <rPr>
        <i/>
        <sz val="10"/>
        <color theme="1"/>
        <rFont val="Times New Roman"/>
        <family val="1"/>
      </rPr>
      <t>Ann. Intern. Med.</t>
    </r>
    <r>
      <rPr>
        <sz val="10"/>
        <color theme="1"/>
        <rFont val="Times New Roman"/>
        <family val="1"/>
      </rPr>
      <t xml:space="preserve"> (2014). </t>
    </r>
  </si>
  <si>
    <r>
      <t xml:space="preserve">Zhang Y. et al. </t>
    </r>
    <r>
      <rPr>
        <i/>
        <sz val="10"/>
        <color theme="1"/>
        <rFont val="Times New Roman"/>
        <family val="1"/>
      </rPr>
      <t>Int. J. Clin. Exp. Med.</t>
    </r>
    <r>
      <rPr>
        <sz val="10"/>
        <color theme="1"/>
        <rFont val="Times New Roman"/>
        <family val="1"/>
      </rPr>
      <t xml:space="preserve"> (2015).</t>
    </r>
  </si>
  <si>
    <r>
      <t xml:space="preserve">Horeweg N. et al. </t>
    </r>
    <r>
      <rPr>
        <i/>
        <sz val="10"/>
        <color theme="1"/>
        <rFont val="Times New Roman"/>
        <family val="1"/>
      </rPr>
      <t>Lancet Oncol</t>
    </r>
    <r>
      <rPr>
        <sz val="10"/>
        <color theme="1"/>
        <rFont val="Times New Roman"/>
        <family val="1"/>
      </rPr>
      <t xml:space="preserve">. (2014). </t>
    </r>
  </si>
  <si>
    <r>
      <t xml:space="preserve">Pisano E.D. et al. </t>
    </r>
    <r>
      <rPr>
        <i/>
        <sz val="10"/>
        <color theme="1"/>
        <rFont val="Times New Roman"/>
        <family val="1"/>
      </rPr>
      <t xml:space="preserve">N. Engl. J. Med. </t>
    </r>
    <r>
      <rPr>
        <sz val="10"/>
        <color theme="1"/>
        <rFont val="Times New Roman"/>
        <family val="1"/>
      </rPr>
      <t>(2005).</t>
    </r>
  </si>
  <si>
    <r>
      <t xml:space="preserve">Jacobs I.J. et al. </t>
    </r>
    <r>
      <rPr>
        <i/>
        <sz val="10"/>
        <color theme="1"/>
        <rFont val="Times New Roman"/>
        <family val="1"/>
      </rPr>
      <t xml:space="preserve">Lancet </t>
    </r>
    <r>
      <rPr>
        <sz val="10"/>
        <color theme="1"/>
        <rFont val="Times New Roman"/>
        <family val="1"/>
      </rPr>
      <t>(2015).</t>
    </r>
  </si>
  <si>
    <r>
      <t xml:space="preserve">Wolf A.M.D. et al. </t>
    </r>
    <r>
      <rPr>
        <i/>
        <sz val="10"/>
        <color theme="1"/>
        <rFont val="Times New Roman"/>
        <family val="1"/>
      </rPr>
      <t>Cancer J Clin.</t>
    </r>
    <r>
      <rPr>
        <sz val="10"/>
        <color theme="1"/>
        <rFont val="Times New Roman"/>
        <family val="1"/>
      </rPr>
      <t xml:space="preserve"> (2010).</t>
    </r>
  </si>
  <si>
    <r>
      <t xml:space="preserve">Woo S. et al. </t>
    </r>
    <r>
      <rPr>
        <i/>
        <sz val="10"/>
        <color theme="1"/>
        <rFont val="Times New Roman"/>
        <family val="1"/>
      </rPr>
      <t>Eur. Urol.</t>
    </r>
    <r>
      <rPr>
        <sz val="10"/>
        <color theme="1"/>
        <rFont val="Times New Roman"/>
        <family val="1"/>
      </rPr>
      <t xml:space="preserve"> (2017).</t>
    </r>
  </si>
  <si>
    <r>
      <t xml:space="preserve">Almstrup K. et al. </t>
    </r>
    <r>
      <rPr>
        <i/>
        <sz val="10"/>
        <color theme="1"/>
        <rFont val="Times New Roman"/>
        <family val="1"/>
      </rPr>
      <t xml:space="preserve">Int. J. Androl. </t>
    </r>
    <r>
      <rPr>
        <sz val="10"/>
        <color theme="1"/>
        <rFont val="Times New Roman"/>
        <family val="1"/>
      </rPr>
      <t>(2011).</t>
    </r>
  </si>
  <si>
    <r>
      <t xml:space="preserve">Rossi S.H. et al. </t>
    </r>
    <r>
      <rPr>
        <i/>
        <sz val="10"/>
        <color theme="1"/>
        <rFont val="Times New Roman"/>
        <family val="1"/>
      </rPr>
      <t>World J. Urol</t>
    </r>
    <r>
      <rPr>
        <sz val="10"/>
        <color theme="1"/>
        <rFont val="Times New Roman"/>
        <family val="1"/>
      </rPr>
      <t>. (2018).</t>
    </r>
  </si>
  <si>
    <t>Number of variants</t>
  </si>
  <si>
    <r>
      <t>Supplementary Table 5: Lifetime risk of eight cancers for the general population, and for the top 50%, 20%, 10%, 5%, and 1% of current, future and optimised PRS.</t>
    </r>
    <r>
      <rPr>
        <sz val="10"/>
        <color theme="1"/>
        <rFont val="Times New Roman"/>
        <family val="1"/>
      </rPr>
      <t xml:space="preserve"> Lifetime risk is calculated using the current probability method and a period approach. Takes into account competing risks.</t>
    </r>
  </si>
  <si>
    <t>Screening tool</t>
  </si>
  <si>
    <r>
      <t>Supplementary Table 6b.</t>
    </r>
    <r>
      <rPr>
        <sz val="10"/>
        <color theme="1"/>
        <rFont val="Times New Roman"/>
        <family val="1"/>
      </rPr>
      <t xml:space="preserve"> Cancers detected by offering risk stratified screening according to future PRS using sensitivity of currently available screening tools</t>
    </r>
  </si>
  <si>
    <r>
      <t>Supplementary Table 6c.</t>
    </r>
    <r>
      <rPr>
        <sz val="10"/>
        <color theme="1"/>
        <rFont val="Times New Roman"/>
        <family val="1"/>
      </rPr>
      <t xml:space="preserve"> Cancers detected by offering risk stratified screening according to optimised PRS using sensitivity of currently available screening tools</t>
    </r>
  </si>
  <si>
    <r>
      <t xml:space="preserve">Supplementary Table 7a. </t>
    </r>
    <r>
      <rPr>
        <sz val="10"/>
        <color theme="1"/>
        <rFont val="Times New Roman"/>
        <family val="1"/>
      </rPr>
      <t>Cancers detected by offering risk stratified screening according to current PRS using an idealised screening tool with a sensitivity of 0.8</t>
    </r>
  </si>
  <si>
    <r>
      <t xml:space="preserve">Supplementary Table 7b. </t>
    </r>
    <r>
      <rPr>
        <sz val="10"/>
        <color theme="1"/>
        <rFont val="Times New Roman"/>
        <family val="1"/>
      </rPr>
      <t>Cancers detected by offering risk stratified screening according to future PRS using an idealised screening tool with a sensitivity of 0.8</t>
    </r>
  </si>
  <si>
    <t>Age [+ sex] + family history + PRSIV</t>
  </si>
  <si>
    <t>Age [+ sex] +other predictors + PRSIV</t>
  </si>
  <si>
    <t>Age [+ sex] + family history + other predictors + PRSIV</t>
  </si>
  <si>
    <r>
      <t xml:space="preserve">Supplementary Table 9: Improvement in AUC from addition of additional parameters into risk prediction model. </t>
    </r>
    <r>
      <rPr>
        <sz val="10"/>
        <color theme="1"/>
        <rFont val="Times New Roman"/>
        <family val="1"/>
      </rPr>
      <t>Adapted from Kachuri et al, Nature Communications 2020 Nov 27;11(1):6084. PRS IV are calculated from inverse variance (IV) weights.  AUC values were estimated at 5 years of follow-up using UK-Biobank.  Sex is only included in the predictive model for cancers of the colon/rectum, lung, kidney and pancreas.  Family history and other predictors are included where they have been demonstrated to predict cancer incidence.</t>
    </r>
  </si>
  <si>
    <t>Screening Tool Metrics</t>
  </si>
  <si>
    <t>10-year survival for breast, prostate, and colorectal cancers under different screening programme conditions.</t>
  </si>
  <si>
    <t>Improvement in AUC from addition of additional parameters into risk prediction model.</t>
  </si>
  <si>
    <t>10-year survival: screening offered to top 20% of PRS</t>
  </si>
  <si>
    <t>10-year survival: screening offered to top 10% of PRS</t>
  </si>
  <si>
    <t>New + Existing Screening</t>
  </si>
  <si>
    <t>Total cancers detected</t>
  </si>
  <si>
    <t>Percent of Cancers detected</t>
  </si>
  <si>
    <t>10 year survival: screening offered to full population</t>
  </si>
  <si>
    <t xml:space="preserve">Change in 10yr survival: screening offered to all people in the age group (replacement to any current screening in these groups) </t>
  </si>
  <si>
    <t xml:space="preserve">ii) Change in 10yr survival: screening offered to oldest people (top two years) in the age group  (adjusted for no screening in current population) </t>
  </si>
  <si>
    <r>
      <t xml:space="preserve">No screening 
</t>
    </r>
    <r>
      <rPr>
        <b/>
        <sz val="10"/>
        <color theme="1"/>
        <rFont val="Times New Roman"/>
        <family val="1"/>
      </rPr>
      <t>(baseline)</t>
    </r>
  </si>
  <si>
    <t>Screening Top 20% 
(current PRS)</t>
  </si>
  <si>
    <t>Screening Top 20% 
(future PRS)</t>
  </si>
  <si>
    <t>Screening oldest 20% in age group</t>
  </si>
  <si>
    <t>Screen randomly-selected 20%</t>
  </si>
  <si>
    <t>Supplementary Table 8. 10-year survival for breast, prostate, and colorectal cancers under different screening programme conditions.</t>
  </si>
  <si>
    <r>
      <t>Supplementary Table 6a.</t>
    </r>
    <r>
      <rPr>
        <sz val="10"/>
        <color theme="1"/>
        <rFont val="Times New Roman"/>
        <family val="1"/>
      </rPr>
      <t xml:space="preserve"> Cancers detected by offering risk stratified screening according to current PRS using sensitivity of currently available screening tools</t>
    </r>
  </si>
  <si>
    <r>
      <t xml:space="preserve">Supplementary Table 4. Summary of PRS Characteristics. </t>
    </r>
    <r>
      <rPr>
        <sz val="10"/>
        <color theme="1"/>
        <rFont val="Times New Roman"/>
        <family val="1"/>
      </rPr>
      <t>Performance metrics comprise (i) AUC (area under the curve), and for the top (high-risk) 50%, 20%, 10%, 5%, 1% of the PRS (ii) the odds ratios for cancer compared to the middle quintile (average) , (iii) the percentage of  cancers captured. AUC for 'Current PRS' as estimated by Fritsche et al 2020 (PRS as per amalgamation of published SNP associations). AUC for 'Future' PRS as estimated by Zhang et al 2020 (PRS projected for GWAS of sample size four times the largest metanalysis to date) and for 'Optimised' PRS based on the totality of variance ascribed to common variants.</t>
    </r>
  </si>
  <si>
    <r>
      <t xml:space="preserve">Supplementary Table 3. Screening tool characteristics. </t>
    </r>
    <r>
      <rPr>
        <sz val="10"/>
        <color theme="1"/>
        <rFont val="Times New Roman"/>
        <family val="1"/>
      </rPr>
      <t>Description of currently available screening tools for cancer, data source and their characteristics including sensitivity and specificity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</si>
</sst>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0.0"/>
    <numFmt numFmtId="166" formatCode="0.0%"/>
    <numFmt numFmtId="167" formatCode="#,##0.0"/>
    <numFmt numFmtId="168" formatCode="0.000"/>
    <numFmt numFmtId="169" formatCode="0.0000"/>
    <numFmt numFmtId="170" formatCode="_-* #,##0_-;\-* #,##0_-;_-* &quot;-&quot;??_-;_-@_-"/>
  </numFmts>
  <fonts count="47" x14ac:knownFonts="1">
    <font>
      <sz val="12"/>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2"/>
      <color theme="1"/>
      <name val="Calibri"/>
      <family val="2"/>
      <scheme val="minor"/>
    </font>
    <font>
      <sz val="12"/>
      <color rgb="FF000000"/>
      <name val="Calibri"/>
      <family val="2"/>
      <scheme val="minor"/>
    </font>
    <font>
      <sz val="11"/>
      <name val="Calibri"/>
      <family val="2"/>
      <scheme val="minor"/>
    </font>
    <font>
      <sz val="12"/>
      <color theme="1"/>
      <name val="Calibri"/>
      <family val="2"/>
      <scheme val="minor"/>
    </font>
    <font>
      <sz val="11"/>
      <color theme="1"/>
      <name val="Arial"/>
      <family val="2"/>
    </font>
    <font>
      <sz val="10"/>
      <color theme="1"/>
      <name val="Calibri"/>
      <family val="2"/>
      <scheme val="minor"/>
    </font>
    <font>
      <b/>
      <sz val="12"/>
      <color rgb="FFFF0000"/>
      <name val="Calibri"/>
      <family val="2"/>
      <scheme val="minor"/>
    </font>
    <font>
      <b/>
      <sz val="11"/>
      <name val="Calibri"/>
      <family val="2"/>
      <scheme val="minor"/>
    </font>
    <font>
      <sz val="11"/>
      <name val="Calibri"/>
      <family val="2"/>
    </font>
    <font>
      <sz val="12"/>
      <color rgb="FF000000"/>
      <name val="Calibri"/>
      <family val="2"/>
    </font>
    <font>
      <sz val="10"/>
      <name val="Arial"/>
      <family val="2"/>
    </font>
    <font>
      <sz val="11"/>
      <name val="Arial"/>
      <family val="2"/>
    </font>
    <font>
      <b/>
      <sz val="11"/>
      <name val="Arial"/>
      <family val="2"/>
    </font>
    <font>
      <sz val="11"/>
      <color theme="1"/>
      <name val="Calibri"/>
      <family val="2"/>
      <scheme val="minor"/>
    </font>
    <font>
      <b/>
      <sz val="11"/>
      <color theme="1"/>
      <name val="Arial"/>
      <family val="2"/>
    </font>
    <font>
      <i/>
      <sz val="11"/>
      <color theme="1"/>
      <name val="Arial"/>
      <family val="2"/>
    </font>
    <font>
      <i/>
      <sz val="12"/>
      <color theme="1"/>
      <name val="Calibri"/>
      <family val="2"/>
      <scheme val="minor"/>
    </font>
    <font>
      <u/>
      <sz val="12"/>
      <color theme="10"/>
      <name val="Calibri"/>
      <family val="2"/>
      <scheme val="minor"/>
    </font>
    <font>
      <sz val="10"/>
      <color rgb="FF000000"/>
      <name val="Calibri"/>
      <family val="2"/>
      <scheme val="minor"/>
    </font>
    <font>
      <sz val="8"/>
      <name val="Calibri"/>
      <family val="2"/>
      <scheme val="minor"/>
    </font>
    <font>
      <i/>
      <sz val="11"/>
      <color theme="1"/>
      <name val="Calibri"/>
      <family val="2"/>
      <scheme val="minor"/>
    </font>
    <font>
      <u/>
      <sz val="12"/>
      <color theme="1"/>
      <name val="Calibri"/>
      <family val="2"/>
      <scheme val="minor"/>
    </font>
    <font>
      <i/>
      <u/>
      <sz val="12"/>
      <color theme="1"/>
      <name val="Calibri"/>
      <family val="2"/>
      <scheme val="minor"/>
    </font>
    <font>
      <i/>
      <u/>
      <sz val="11"/>
      <color theme="1"/>
      <name val="Calibri"/>
      <family val="2"/>
      <scheme val="minor"/>
    </font>
    <font>
      <b/>
      <sz val="14"/>
      <color theme="1"/>
      <name val="Calibri"/>
      <family val="2"/>
      <scheme val="minor"/>
    </font>
    <font>
      <sz val="12"/>
      <color rgb="FF0070C0"/>
      <name val="Calibri"/>
      <family val="2"/>
      <scheme val="minor"/>
    </font>
    <font>
      <b/>
      <sz val="11"/>
      <color theme="1"/>
      <name val="Calibri"/>
      <family val="2"/>
      <scheme val="minor"/>
    </font>
    <font>
      <i/>
      <u/>
      <sz val="11"/>
      <color theme="1"/>
      <name val="Calibri (Body)"/>
    </font>
    <font>
      <sz val="10"/>
      <color theme="1"/>
      <name val="Times New Roman"/>
      <family val="1"/>
    </font>
    <font>
      <b/>
      <sz val="10"/>
      <color theme="1"/>
      <name val="Times New Roman"/>
      <family val="1"/>
    </font>
    <font>
      <i/>
      <sz val="10"/>
      <color theme="1"/>
      <name val="Times New Roman"/>
      <family val="1"/>
    </font>
    <font>
      <sz val="10"/>
      <color rgb="FFFF0000"/>
      <name val="Times New Roman"/>
      <family val="1"/>
    </font>
    <font>
      <u/>
      <sz val="10"/>
      <color theme="10"/>
      <name val="Times New Roman"/>
      <family val="1"/>
    </font>
    <font>
      <sz val="10"/>
      <color rgb="FF000000"/>
      <name val="Times New Roman"/>
      <family val="1"/>
    </font>
    <font>
      <b/>
      <sz val="10"/>
      <color rgb="FFFF0000"/>
      <name val="Times New Roman"/>
      <family val="1"/>
    </font>
    <font>
      <sz val="10"/>
      <name val="Times New Roman"/>
      <family val="1"/>
    </font>
    <font>
      <b/>
      <sz val="12"/>
      <color rgb="FF000000"/>
      <name val="Times New Roman"/>
      <family val="1"/>
    </font>
    <font>
      <b/>
      <sz val="12"/>
      <color theme="1"/>
      <name val="Times New Roman"/>
      <family val="1"/>
    </font>
    <font>
      <sz val="12"/>
      <color theme="1"/>
      <name val="Times New Roman"/>
      <family val="1"/>
    </font>
    <font>
      <b/>
      <sz val="12"/>
      <color rgb="FFFF0000"/>
      <name val="Times New Roman"/>
      <family val="1"/>
    </font>
    <font>
      <sz val="11"/>
      <name val="Times New Roman"/>
      <family val="1"/>
    </font>
    <font>
      <sz val="10"/>
      <color theme="0"/>
      <name val="Times New Roman"/>
      <family val="1"/>
    </font>
  </fonts>
  <fills count="29">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bgColor indexed="64"/>
      </patternFill>
    </fill>
    <fill>
      <patternFill patternType="solid">
        <fgColor rgb="FFFF00FF"/>
        <bgColor indexed="64"/>
      </patternFill>
    </fill>
    <fill>
      <patternFill patternType="solid">
        <fgColor theme="0" tint="-0.249977111117893"/>
        <bgColor indexed="64"/>
      </patternFill>
    </fill>
    <fill>
      <patternFill patternType="solid">
        <fgColor rgb="FFD9D9D9"/>
        <bgColor rgb="FF000000"/>
      </patternFill>
    </fill>
    <fill>
      <patternFill patternType="solid">
        <fgColor rgb="FFF3D3D3"/>
        <bgColor indexed="64"/>
      </patternFill>
    </fill>
    <fill>
      <patternFill patternType="solid">
        <fgColor theme="5" tint="0.79998168889431442"/>
        <bgColor indexed="64"/>
      </patternFill>
    </fill>
    <fill>
      <patternFill patternType="solid">
        <fgColor rgb="FFE2EFDA"/>
        <bgColor rgb="FF000000"/>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bgColor indexed="64"/>
      </patternFill>
    </fill>
  </fills>
  <borders count="103">
    <border>
      <left/>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style="medium">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double">
        <color indexed="64"/>
      </bottom>
      <diagonal/>
    </border>
    <border>
      <left style="medium">
        <color indexed="64"/>
      </left>
      <right style="thin">
        <color indexed="64"/>
      </right>
      <top style="thin">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style="double">
        <color indexed="64"/>
      </bottom>
      <diagonal/>
    </border>
    <border>
      <left style="medium">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12">
    <xf numFmtId="0" fontId="0" fillId="0" borderId="0"/>
    <xf numFmtId="9" fontId="8" fillId="0" borderId="0" applyFont="0" applyFill="0" applyBorder="0" applyAlignment="0" applyProtection="0"/>
    <xf numFmtId="0" fontId="4" fillId="0" borderId="0"/>
    <xf numFmtId="0" fontId="8" fillId="0" borderId="0"/>
    <xf numFmtId="9" fontId="8" fillId="0" borderId="0" applyFont="0" applyFill="0" applyBorder="0" applyAlignment="0" applyProtection="0"/>
    <xf numFmtId="0" fontId="15" fillId="0" borderId="0"/>
    <xf numFmtId="0" fontId="22" fillId="0" borderId="0" applyNumberFormat="0" applyFill="0" applyBorder="0" applyAlignment="0" applyProtection="0"/>
    <xf numFmtId="0" fontId="3" fillId="0" borderId="0"/>
    <xf numFmtId="0" fontId="2" fillId="0" borderId="0"/>
    <xf numFmtId="0" fontId="2" fillId="0" borderId="0"/>
    <xf numFmtId="0" fontId="1" fillId="0" borderId="0"/>
    <xf numFmtId="164" fontId="1" fillId="0" borderId="0" applyFont="0" applyFill="0" applyBorder="0" applyAlignment="0" applyProtection="0"/>
  </cellStyleXfs>
  <cellXfs count="1519">
    <xf numFmtId="0" fontId="0" fillId="0" borderId="0" xfId="0"/>
    <xf numFmtId="0" fontId="5" fillId="0" borderId="0" xfId="0" applyFont="1"/>
    <xf numFmtId="0" fontId="0" fillId="0" borderId="4" xfId="0" applyBorder="1"/>
    <xf numFmtId="0" fontId="0" fillId="0" borderId="7" xfId="0" applyBorder="1"/>
    <xf numFmtId="0" fontId="0" fillId="0" borderId="8" xfId="0" applyBorder="1"/>
    <xf numFmtId="0" fontId="0" fillId="0" borderId="9" xfId="0" applyBorder="1"/>
    <xf numFmtId="0" fontId="0" fillId="0" borderId="11" xfId="0" applyBorder="1"/>
    <xf numFmtId="0" fontId="0" fillId="0" borderId="18" xfId="0" applyBorder="1"/>
    <xf numFmtId="2" fontId="0" fillId="0" borderId="6" xfId="0" applyNumberFormat="1" applyBorder="1"/>
    <xf numFmtId="2" fontId="0" fillId="0" borderId="0" xfId="0" applyNumberFormat="1"/>
    <xf numFmtId="0" fontId="0" fillId="0" borderId="26" xfId="0" applyBorder="1"/>
    <xf numFmtId="2" fontId="0" fillId="0" borderId="9" xfId="0" applyNumberFormat="1" applyBorder="1"/>
    <xf numFmtId="0" fontId="0" fillId="0" borderId="14" xfId="0" applyBorder="1"/>
    <xf numFmtId="0" fontId="0" fillId="0" borderId="15" xfId="0" applyBorder="1"/>
    <xf numFmtId="3" fontId="0" fillId="0" borderId="0" xfId="0" applyNumberFormat="1"/>
    <xf numFmtId="9" fontId="0" fillId="0" borderId="10" xfId="1" applyFont="1" applyBorder="1"/>
    <xf numFmtId="167" fontId="7" fillId="15" borderId="11" xfId="0" applyNumberFormat="1" applyFont="1" applyFill="1" applyBorder="1" applyAlignment="1" applyProtection="1">
      <alignment wrapText="1"/>
      <protection locked="0"/>
    </xf>
    <xf numFmtId="167" fontId="7" fillId="15" borderId="18" xfId="0" applyNumberFormat="1" applyFont="1" applyFill="1" applyBorder="1" applyAlignment="1" applyProtection="1">
      <alignment wrapText="1"/>
      <protection locked="0"/>
    </xf>
    <xf numFmtId="3" fontId="0" fillId="0" borderId="37" xfId="0" applyNumberFormat="1" applyBorder="1"/>
    <xf numFmtId="3" fontId="0" fillId="0" borderId="6" xfId="0" applyNumberFormat="1" applyBorder="1"/>
    <xf numFmtId="167" fontId="7" fillId="15" borderId="12" xfId="0" applyNumberFormat="1" applyFont="1" applyFill="1" applyBorder="1" applyAlignment="1" applyProtection="1">
      <alignment wrapText="1"/>
      <protection locked="0"/>
    </xf>
    <xf numFmtId="0" fontId="0" fillId="0" borderId="21" xfId="0" applyBorder="1"/>
    <xf numFmtId="167" fontId="7" fillId="15" borderId="22" xfId="0" applyNumberFormat="1" applyFont="1" applyFill="1" applyBorder="1" applyAlignment="1" applyProtection="1">
      <alignment wrapText="1"/>
      <protection locked="0"/>
    </xf>
    <xf numFmtId="167" fontId="7" fillId="15" borderId="23" xfId="0" applyNumberFormat="1" applyFont="1" applyFill="1" applyBorder="1" applyAlignment="1" applyProtection="1">
      <alignment wrapText="1"/>
      <protection locked="0"/>
    </xf>
    <xf numFmtId="0" fontId="0" fillId="0" borderId="43" xfId="0" applyBorder="1"/>
    <xf numFmtId="3" fontId="0" fillId="0" borderId="24" xfId="0" applyNumberFormat="1" applyBorder="1"/>
    <xf numFmtId="3" fontId="0" fillId="0" borderId="42" xfId="0" applyNumberFormat="1" applyBorder="1"/>
    <xf numFmtId="3" fontId="0" fillId="0" borderId="25" xfId="0" applyNumberFormat="1" applyBorder="1"/>
    <xf numFmtId="0" fontId="0" fillId="0" borderId="44" xfId="0" applyBorder="1"/>
    <xf numFmtId="0" fontId="0" fillId="0" borderId="45" xfId="0" applyBorder="1"/>
    <xf numFmtId="0" fontId="0" fillId="0" borderId="47" xfId="0" applyBorder="1"/>
    <xf numFmtId="2" fontId="0" fillId="0" borderId="37" xfId="0" applyNumberFormat="1" applyBorder="1"/>
    <xf numFmtId="0" fontId="8" fillId="0" borderId="15" xfId="3" applyBorder="1" applyAlignment="1">
      <alignment wrapText="1"/>
    </xf>
    <xf numFmtId="0" fontId="8" fillId="0" borderId="15" xfId="3" applyBorder="1"/>
    <xf numFmtId="0" fontId="10" fillId="0" borderId="15" xfId="0" applyFont="1" applyBorder="1"/>
    <xf numFmtId="0" fontId="11" fillId="21" borderId="60" xfId="0" applyFont="1" applyFill="1" applyBorder="1" applyAlignment="1">
      <alignment horizontal="center" vertical="center" wrapText="1"/>
    </xf>
    <xf numFmtId="0" fontId="5" fillId="21" borderId="57" xfId="0" applyFont="1" applyFill="1" applyBorder="1" applyAlignment="1">
      <alignment horizontal="center"/>
    </xf>
    <xf numFmtId="0" fontId="5" fillId="21" borderId="61" xfId="0" applyFont="1" applyFill="1" applyBorder="1" applyAlignment="1">
      <alignment horizontal="center"/>
    </xf>
    <xf numFmtId="0" fontId="5" fillId="21" borderId="56" xfId="0" applyFont="1" applyFill="1" applyBorder="1" applyAlignment="1">
      <alignment horizontal="center" vertical="center" wrapText="1"/>
    </xf>
    <xf numFmtId="3" fontId="5" fillId="21" borderId="55" xfId="0" applyNumberFormat="1" applyFont="1" applyFill="1" applyBorder="1" applyAlignment="1">
      <alignment horizontal="center" vertical="center" wrapText="1"/>
    </xf>
    <xf numFmtId="3" fontId="5" fillId="21" borderId="54" xfId="0" applyNumberFormat="1" applyFont="1" applyFill="1" applyBorder="1" applyAlignment="1">
      <alignment horizontal="center" vertical="center" wrapText="1"/>
    </xf>
    <xf numFmtId="3" fontId="5" fillId="21" borderId="56" xfId="0" applyNumberFormat="1" applyFont="1" applyFill="1" applyBorder="1" applyAlignment="1">
      <alignment horizontal="center" vertical="center" wrapText="1"/>
    </xf>
    <xf numFmtId="0" fontId="5" fillId="0" borderId="58" xfId="0" applyFont="1" applyBorder="1" applyAlignment="1">
      <alignment horizontal="left" vertical="center"/>
    </xf>
    <xf numFmtId="0" fontId="5" fillId="0" borderId="0" xfId="0" applyFont="1" applyAlignment="1">
      <alignment horizontal="left" vertical="top"/>
    </xf>
    <xf numFmtId="0" fontId="0" fillId="0" borderId="0" xfId="0" applyAlignment="1">
      <alignment horizontal="left" vertical="top"/>
    </xf>
    <xf numFmtId="0" fontId="0" fillId="20" borderId="37" xfId="0" applyFill="1" applyBorder="1" applyAlignment="1">
      <alignment horizontal="left" vertical="top"/>
    </xf>
    <xf numFmtId="0" fontId="0" fillId="0" borderId="37" xfId="0" applyBorder="1" applyAlignment="1">
      <alignment horizontal="left" vertical="top"/>
    </xf>
    <xf numFmtId="0" fontId="0" fillId="20" borderId="44" xfId="0" applyFill="1" applyBorder="1" applyAlignment="1">
      <alignment horizontal="left" vertical="top"/>
    </xf>
    <xf numFmtId="165" fontId="7" fillId="0" borderId="33" xfId="3" applyNumberFormat="1" applyFont="1" applyBorder="1"/>
    <xf numFmtId="0" fontId="8" fillId="0" borderId="32" xfId="3" applyBorder="1"/>
    <xf numFmtId="0" fontId="8" fillId="0" borderId="32" xfId="3" applyBorder="1" applyAlignment="1">
      <alignment wrapText="1"/>
    </xf>
    <xf numFmtId="165" fontId="7" fillId="0" borderId="14" xfId="3" applyNumberFormat="1" applyFont="1" applyBorder="1"/>
    <xf numFmtId="165" fontId="7" fillId="0" borderId="49" xfId="3" applyNumberFormat="1" applyFont="1" applyBorder="1"/>
    <xf numFmtId="0" fontId="8" fillId="0" borderId="50" xfId="3" applyBorder="1"/>
    <xf numFmtId="0" fontId="8" fillId="0" borderId="50" xfId="3" applyBorder="1" applyAlignment="1">
      <alignment wrapText="1"/>
    </xf>
    <xf numFmtId="0" fontId="11" fillId="13" borderId="58" xfId="0" applyFont="1" applyFill="1" applyBorder="1" applyAlignment="1">
      <alignment horizontal="left" vertical="center" wrapText="1"/>
    </xf>
    <xf numFmtId="166" fontId="0" fillId="0" borderId="0" xfId="1" applyNumberFormat="1" applyFont="1" applyBorder="1"/>
    <xf numFmtId="165" fontId="13" fillId="0" borderId="33" xfId="3" applyNumberFormat="1" applyFont="1" applyBorder="1"/>
    <xf numFmtId="0" fontId="14" fillId="22" borderId="32" xfId="3" applyFont="1" applyFill="1" applyBorder="1" applyAlignment="1">
      <alignment wrapText="1"/>
    </xf>
    <xf numFmtId="0" fontId="14" fillId="0" borderId="32" xfId="3" applyFont="1" applyBorder="1"/>
    <xf numFmtId="165" fontId="13" fillId="0" borderId="14" xfId="3" applyNumberFormat="1" applyFont="1" applyBorder="1"/>
    <xf numFmtId="0" fontId="14" fillId="22" borderId="15" xfId="3" applyFont="1" applyFill="1" applyBorder="1" applyAlignment="1">
      <alignment wrapText="1"/>
    </xf>
    <xf numFmtId="0" fontId="14" fillId="0" borderId="15" xfId="3" applyFont="1" applyBorder="1"/>
    <xf numFmtId="165" fontId="13" fillId="0" borderId="49" xfId="3" applyNumberFormat="1" applyFont="1" applyBorder="1"/>
    <xf numFmtId="0" fontId="14" fillId="22" borderId="50" xfId="3" applyFont="1" applyFill="1" applyBorder="1" applyAlignment="1">
      <alignment wrapText="1"/>
    </xf>
    <xf numFmtId="0" fontId="14" fillId="0" borderId="50" xfId="3" applyFont="1" applyBorder="1"/>
    <xf numFmtId="0" fontId="8" fillId="0" borderId="13" xfId="3" applyBorder="1" applyAlignment="1">
      <alignment wrapText="1"/>
    </xf>
    <xf numFmtId="0" fontId="8" fillId="0" borderId="16" xfId="3" applyBorder="1" applyAlignment="1">
      <alignment wrapText="1"/>
    </xf>
    <xf numFmtId="0" fontId="8" fillId="0" borderId="63" xfId="3" applyBorder="1" applyAlignment="1">
      <alignment wrapText="1"/>
    </xf>
    <xf numFmtId="0" fontId="8" fillId="0" borderId="66" xfId="3" applyBorder="1"/>
    <xf numFmtId="0" fontId="8" fillId="0" borderId="67" xfId="3" applyBorder="1"/>
    <xf numFmtId="0" fontId="8" fillId="0" borderId="68" xfId="3" applyBorder="1"/>
    <xf numFmtId="3" fontId="5" fillId="17" borderId="41" xfId="0" applyNumberFormat="1" applyFont="1" applyFill="1" applyBorder="1" applyAlignment="1">
      <alignment horizontal="center" textRotation="90" wrapText="1"/>
    </xf>
    <xf numFmtId="3" fontId="5" fillId="17" borderId="9" xfId="0" applyNumberFormat="1" applyFont="1" applyFill="1" applyBorder="1" applyAlignment="1">
      <alignment horizontal="center" textRotation="90" wrapText="1"/>
    </xf>
    <xf numFmtId="3" fontId="5" fillId="17" borderId="9" xfId="0" applyNumberFormat="1" applyFont="1" applyFill="1" applyBorder="1" applyAlignment="1">
      <alignment horizontal="center" wrapText="1"/>
    </xf>
    <xf numFmtId="3" fontId="5" fillId="17" borderId="10" xfId="0" applyNumberFormat="1" applyFont="1" applyFill="1" applyBorder="1" applyAlignment="1">
      <alignment horizontal="center" wrapText="1"/>
    </xf>
    <xf numFmtId="3" fontId="5" fillId="17" borderId="19" xfId="0" applyNumberFormat="1" applyFont="1" applyFill="1" applyBorder="1" applyAlignment="1">
      <alignment horizontal="center" textRotation="90" wrapText="1"/>
    </xf>
    <xf numFmtId="3" fontId="5" fillId="17" borderId="19" xfId="0" applyNumberFormat="1" applyFont="1" applyFill="1" applyBorder="1" applyAlignment="1">
      <alignment horizontal="center" wrapText="1"/>
    </xf>
    <xf numFmtId="3" fontId="5" fillId="17" borderId="12" xfId="0" applyNumberFormat="1" applyFont="1" applyFill="1" applyBorder="1" applyAlignment="1">
      <alignment horizontal="center" wrapText="1"/>
    </xf>
    <xf numFmtId="3" fontId="5" fillId="17" borderId="72" xfId="0" applyNumberFormat="1" applyFont="1" applyFill="1" applyBorder="1" applyAlignment="1">
      <alignment horizontal="center" wrapText="1"/>
    </xf>
    <xf numFmtId="3" fontId="0" fillId="19" borderId="0" xfId="0" applyNumberFormat="1" applyFill="1"/>
    <xf numFmtId="3" fontId="0" fillId="19" borderId="24" xfId="0" applyNumberFormat="1" applyFill="1" applyBorder="1"/>
    <xf numFmtId="0" fontId="5" fillId="0" borderId="14" xfId="0" applyFont="1" applyBorder="1"/>
    <xf numFmtId="3" fontId="5" fillId="0" borderId="17" xfId="0" applyNumberFormat="1" applyFont="1" applyBorder="1"/>
    <xf numFmtId="3" fontId="0" fillId="0" borderId="69" xfId="0" applyNumberFormat="1" applyBorder="1"/>
    <xf numFmtId="166" fontId="5" fillId="0" borderId="69" xfId="1" applyNumberFormat="1" applyFont="1" applyBorder="1"/>
    <xf numFmtId="3" fontId="5" fillId="0" borderId="69" xfId="0" applyNumberFormat="1" applyFont="1" applyBorder="1"/>
    <xf numFmtId="3" fontId="0" fillId="0" borderId="70" xfId="0" applyNumberFormat="1" applyBorder="1"/>
    <xf numFmtId="3" fontId="0" fillId="0" borderId="17" xfId="0" applyNumberFormat="1" applyBorder="1"/>
    <xf numFmtId="10" fontId="5" fillId="0" borderId="69" xfId="1" applyNumberFormat="1" applyFont="1" applyFill="1" applyBorder="1"/>
    <xf numFmtId="3" fontId="5" fillId="0" borderId="69" xfId="0" applyNumberFormat="1" applyFont="1" applyBorder="1" applyAlignment="1">
      <alignment horizontal="center"/>
    </xf>
    <xf numFmtId="3" fontId="0" fillId="19" borderId="42" xfId="0" applyNumberFormat="1" applyFill="1" applyBorder="1"/>
    <xf numFmtId="3" fontId="0" fillId="19" borderId="25" xfId="0" applyNumberFormat="1" applyFill="1" applyBorder="1"/>
    <xf numFmtId="3" fontId="0" fillId="19" borderId="37" xfId="0" applyNumberFormat="1" applyFill="1" applyBorder="1"/>
    <xf numFmtId="3" fontId="0" fillId="19" borderId="6" xfId="0" applyNumberFormat="1" applyFill="1" applyBorder="1"/>
    <xf numFmtId="10" fontId="5" fillId="0" borderId="17" xfId="1" applyNumberFormat="1" applyFont="1" applyFill="1" applyBorder="1" applyAlignment="1">
      <alignment horizontal="center"/>
    </xf>
    <xf numFmtId="0" fontId="5" fillId="0" borderId="49" xfId="0" applyFont="1" applyBorder="1"/>
    <xf numFmtId="3" fontId="5" fillId="0" borderId="71" xfId="0" applyNumberFormat="1" applyFont="1" applyBorder="1"/>
    <xf numFmtId="3" fontId="0" fillId="0" borderId="72" xfId="0" applyNumberFormat="1" applyBorder="1"/>
    <xf numFmtId="166" fontId="5" fillId="0" borderId="72" xfId="1" applyNumberFormat="1" applyFont="1" applyBorder="1"/>
    <xf numFmtId="3" fontId="5" fillId="0" borderId="72" xfId="0" applyNumberFormat="1" applyFont="1" applyBorder="1"/>
    <xf numFmtId="3" fontId="0" fillId="0" borderId="73" xfId="0" applyNumberFormat="1" applyBorder="1"/>
    <xf numFmtId="3" fontId="0" fillId="0" borderId="71" xfId="0" applyNumberFormat="1" applyBorder="1"/>
    <xf numFmtId="10" fontId="5" fillId="0" borderId="72" xfId="1" applyNumberFormat="1" applyFont="1" applyFill="1" applyBorder="1"/>
    <xf numFmtId="3" fontId="5" fillId="0" borderId="72" xfId="0" applyNumberFormat="1" applyFont="1" applyBorder="1" applyAlignment="1">
      <alignment horizontal="center"/>
    </xf>
    <xf numFmtId="10" fontId="5" fillId="0" borderId="71" xfId="1" applyNumberFormat="1" applyFont="1" applyFill="1" applyBorder="1" applyAlignment="1">
      <alignment horizontal="center"/>
    </xf>
    <xf numFmtId="0" fontId="0" fillId="0" borderId="67" xfId="0" applyBorder="1"/>
    <xf numFmtId="0" fontId="0" fillId="0" borderId="68" xfId="0" applyBorder="1"/>
    <xf numFmtId="2" fontId="0" fillId="0" borderId="25" xfId="0" applyNumberFormat="1" applyBorder="1"/>
    <xf numFmtId="2" fontId="0" fillId="0" borderId="24" xfId="0" applyNumberFormat="1" applyBorder="1"/>
    <xf numFmtId="0" fontId="0" fillId="10" borderId="0" xfId="0" applyFill="1"/>
    <xf numFmtId="0" fontId="0" fillId="10" borderId="18" xfId="0" applyFill="1" applyBorder="1"/>
    <xf numFmtId="0" fontId="0" fillId="10" borderId="11" xfId="0" applyFill="1" applyBorder="1"/>
    <xf numFmtId="0" fontId="0" fillId="0" borderId="23" xfId="0" applyBorder="1"/>
    <xf numFmtId="49" fontId="16" fillId="0" borderId="0" xfId="0" applyNumberFormat="1" applyFont="1" applyAlignment="1">
      <alignment horizontal="center" wrapText="1"/>
    </xf>
    <xf numFmtId="0" fontId="7" fillId="0" borderId="0" xfId="0" applyFont="1" applyAlignment="1">
      <alignment horizontal="center"/>
    </xf>
    <xf numFmtId="0" fontId="7" fillId="0" borderId="0" xfId="0" applyFont="1"/>
    <xf numFmtId="165" fontId="16" fillId="0" borderId="0" xfId="1" applyNumberFormat="1" applyFont="1" applyBorder="1" applyProtection="1"/>
    <xf numFmtId="169" fontId="16" fillId="0" borderId="0" xfId="1" applyNumberFormat="1" applyFont="1" applyBorder="1" applyProtection="1"/>
    <xf numFmtId="0" fontId="16" fillId="0" borderId="0" xfId="0" applyFont="1"/>
    <xf numFmtId="168" fontId="16" fillId="0" borderId="0" xfId="0" applyNumberFormat="1" applyFont="1"/>
    <xf numFmtId="165" fontId="16" fillId="0" borderId="30" xfId="1" applyNumberFormat="1" applyFont="1" applyBorder="1" applyProtection="1"/>
    <xf numFmtId="169" fontId="16" fillId="0" borderId="30" xfId="1" applyNumberFormat="1" applyFont="1" applyBorder="1" applyProtection="1"/>
    <xf numFmtId="169" fontId="16" fillId="0" borderId="30" xfId="0" applyNumberFormat="1" applyFont="1" applyBorder="1"/>
    <xf numFmtId="0" fontId="16" fillId="0" borderId="30" xfId="0" applyFont="1" applyBorder="1"/>
    <xf numFmtId="165" fontId="16" fillId="0" borderId="0" xfId="5" applyNumberFormat="1" applyFont="1" applyAlignment="1">
      <alignment horizontal="center"/>
    </xf>
    <xf numFmtId="166" fontId="16" fillId="0" borderId="0" xfId="0" applyNumberFormat="1" applyFont="1"/>
    <xf numFmtId="165" fontId="16" fillId="0" borderId="30" xfId="0" applyNumberFormat="1" applyFont="1" applyBorder="1"/>
    <xf numFmtId="0" fontId="16" fillId="5" borderId="42" xfId="0" applyFont="1" applyFill="1" applyBorder="1"/>
    <xf numFmtId="0" fontId="17" fillId="5" borderId="24" xfId="0" applyFont="1" applyFill="1" applyBorder="1" applyAlignment="1">
      <alignment horizontal="right"/>
    </xf>
    <xf numFmtId="10" fontId="17" fillId="5" borderId="25" xfId="1" applyNumberFormat="1" applyFont="1" applyFill="1" applyBorder="1" applyProtection="1"/>
    <xf numFmtId="0" fontId="16" fillId="5" borderId="41" xfId="0" applyFont="1" applyFill="1" applyBorder="1"/>
    <xf numFmtId="0" fontId="17" fillId="5" borderId="9" xfId="0" applyFont="1" applyFill="1" applyBorder="1" applyAlignment="1">
      <alignment horizontal="right"/>
    </xf>
    <xf numFmtId="10" fontId="17" fillId="5" borderId="10" xfId="1" applyNumberFormat="1" applyFont="1" applyFill="1" applyBorder="1" applyProtection="1"/>
    <xf numFmtId="0" fontId="16" fillId="23" borderId="42" xfId="0" applyFont="1" applyFill="1" applyBorder="1"/>
    <xf numFmtId="0" fontId="17" fillId="23" borderId="24" xfId="0" applyFont="1" applyFill="1" applyBorder="1" applyAlignment="1">
      <alignment horizontal="right"/>
    </xf>
    <xf numFmtId="10" fontId="17" fillId="23" borderId="25" xfId="1" applyNumberFormat="1" applyFont="1" applyFill="1" applyBorder="1" applyProtection="1"/>
    <xf numFmtId="0" fontId="16" fillId="23" borderId="41" xfId="0" applyFont="1" applyFill="1" applyBorder="1"/>
    <xf numFmtId="0" fontId="17" fillId="23" borderId="9" xfId="0" applyFont="1" applyFill="1" applyBorder="1" applyAlignment="1">
      <alignment horizontal="right"/>
    </xf>
    <xf numFmtId="10" fontId="17" fillId="23" borderId="10" xfId="1" applyNumberFormat="1" applyFont="1" applyFill="1" applyBorder="1" applyProtection="1"/>
    <xf numFmtId="0" fontId="0" fillId="0" borderId="27" xfId="0" applyBorder="1"/>
    <xf numFmtId="0" fontId="0" fillId="0" borderId="42" xfId="0" applyBorder="1"/>
    <xf numFmtId="0" fontId="0" fillId="0" borderId="24" xfId="0" applyBorder="1"/>
    <xf numFmtId="0" fontId="0" fillId="0" borderId="37" xfId="0" applyBorder="1"/>
    <xf numFmtId="0" fontId="0" fillId="0" borderId="6" xfId="0" applyBorder="1"/>
    <xf numFmtId="169" fontId="16" fillId="0" borderId="0" xfId="0" applyNumberFormat="1" applyFont="1"/>
    <xf numFmtId="168" fontId="16" fillId="0" borderId="6" xfId="1" applyNumberFormat="1" applyFont="1" applyBorder="1" applyProtection="1"/>
    <xf numFmtId="168" fontId="16" fillId="0" borderId="31" xfId="1" applyNumberFormat="1" applyFont="1" applyBorder="1" applyProtection="1"/>
    <xf numFmtId="165" fontId="16" fillId="0" borderId="9" xfId="1" applyNumberFormat="1" applyFont="1" applyBorder="1" applyProtection="1"/>
    <xf numFmtId="169" fontId="16" fillId="0" borderId="9" xfId="1" applyNumberFormat="1" applyFont="1" applyBorder="1" applyProtection="1"/>
    <xf numFmtId="169" fontId="16" fillId="0" borderId="9" xfId="0" applyNumberFormat="1" applyFont="1" applyBorder="1"/>
    <xf numFmtId="168" fontId="16" fillId="0" borderId="10" xfId="1" applyNumberFormat="1" applyFont="1" applyBorder="1" applyProtection="1"/>
    <xf numFmtId="168" fontId="16" fillId="10" borderId="0" xfId="1" applyNumberFormat="1" applyFont="1" applyFill="1" applyBorder="1" applyAlignment="1">
      <alignment horizontal="center"/>
    </xf>
    <xf numFmtId="168" fontId="16" fillId="10" borderId="30" xfId="1" applyNumberFormat="1" applyFont="1" applyFill="1" applyBorder="1" applyAlignment="1">
      <alignment horizontal="center"/>
    </xf>
    <xf numFmtId="168" fontId="16" fillId="10" borderId="9" xfId="1" applyNumberFormat="1" applyFont="1" applyFill="1" applyBorder="1" applyAlignment="1">
      <alignment horizontal="center"/>
    </xf>
    <xf numFmtId="0" fontId="0" fillId="0" borderId="83" xfId="0" applyBorder="1"/>
    <xf numFmtId="0" fontId="0" fillId="0" borderId="84" xfId="0" applyBorder="1"/>
    <xf numFmtId="0" fontId="0" fillId="0" borderId="85" xfId="0" applyBorder="1"/>
    <xf numFmtId="0" fontId="0" fillId="0" borderId="86" xfId="0" applyBorder="1"/>
    <xf numFmtId="0" fontId="16" fillId="0" borderId="37" xfId="0" applyFont="1" applyBorder="1" applyAlignment="1">
      <alignment horizontal="right"/>
    </xf>
    <xf numFmtId="0" fontId="16" fillId="0" borderId="0" xfId="0" applyFont="1" applyAlignment="1">
      <alignment horizontal="center"/>
    </xf>
    <xf numFmtId="167" fontId="16" fillId="10" borderId="0" xfId="0" applyNumberFormat="1" applyFont="1" applyFill="1" applyProtection="1">
      <protection locked="0"/>
    </xf>
    <xf numFmtId="167" fontId="16" fillId="10" borderId="0" xfId="0" applyNumberFormat="1" applyFont="1" applyFill="1" applyAlignment="1" applyProtection="1">
      <alignment wrapText="1"/>
      <protection locked="0"/>
    </xf>
    <xf numFmtId="2" fontId="16" fillId="10" borderId="0" xfId="0" applyNumberFormat="1" applyFont="1" applyFill="1" applyAlignment="1">
      <alignment horizontal="center"/>
    </xf>
    <xf numFmtId="2" fontId="16" fillId="0" borderId="0" xfId="0" applyNumberFormat="1" applyFont="1"/>
    <xf numFmtId="165" fontId="16" fillId="0" borderId="0" xfId="0" applyNumberFormat="1" applyFont="1"/>
    <xf numFmtId="49" fontId="16" fillId="0" borderId="37" xfId="0" applyNumberFormat="1" applyFont="1" applyBorder="1" applyAlignment="1">
      <alignment horizontal="right"/>
    </xf>
    <xf numFmtId="49" fontId="16" fillId="0" borderId="0" xfId="0" applyNumberFormat="1" applyFont="1" applyAlignment="1">
      <alignment horizontal="center"/>
    </xf>
    <xf numFmtId="0" fontId="16" fillId="0" borderId="38" xfId="0" applyFont="1" applyBorder="1" applyAlignment="1">
      <alignment horizontal="right"/>
    </xf>
    <xf numFmtId="0" fontId="16" fillId="0" borderId="30" xfId="0" applyFont="1" applyBorder="1" applyAlignment="1">
      <alignment horizontal="center"/>
    </xf>
    <xf numFmtId="167" fontId="16" fillId="10" borderId="30" xfId="0" applyNumberFormat="1" applyFont="1" applyFill="1" applyBorder="1" applyProtection="1">
      <protection locked="0"/>
    </xf>
    <xf numFmtId="167" fontId="16" fillId="10" borderId="30" xfId="0" applyNumberFormat="1" applyFont="1" applyFill="1" applyBorder="1" applyAlignment="1" applyProtection="1">
      <alignment wrapText="1"/>
      <protection locked="0"/>
    </xf>
    <xf numFmtId="2" fontId="16" fillId="10" borderId="30" xfId="0" applyNumberFormat="1" applyFont="1" applyFill="1" applyBorder="1" applyAlignment="1">
      <alignment horizontal="center"/>
    </xf>
    <xf numFmtId="2" fontId="16" fillId="0" borderId="30" xfId="0" applyNumberFormat="1" applyFont="1" applyBorder="1"/>
    <xf numFmtId="0" fontId="16" fillId="0" borderId="41" xfId="0" applyFont="1" applyBorder="1" applyAlignment="1">
      <alignment horizontal="right"/>
    </xf>
    <xf numFmtId="0" fontId="16" fillId="0" borderId="9" xfId="0" applyFont="1" applyBorder="1" applyAlignment="1">
      <alignment horizontal="center"/>
    </xf>
    <xf numFmtId="167" fontId="16" fillId="10" borderId="9" xfId="0" applyNumberFormat="1" applyFont="1" applyFill="1" applyBorder="1" applyProtection="1">
      <protection locked="0"/>
    </xf>
    <xf numFmtId="167" fontId="16" fillId="10" borderId="9" xfId="0" applyNumberFormat="1" applyFont="1" applyFill="1" applyBorder="1" applyAlignment="1" applyProtection="1">
      <alignment wrapText="1"/>
      <protection locked="0"/>
    </xf>
    <xf numFmtId="0" fontId="16" fillId="0" borderId="9" xfId="0" applyFont="1" applyBorder="1"/>
    <xf numFmtId="2" fontId="16" fillId="10" borderId="9" xfId="0" applyNumberFormat="1" applyFont="1" applyFill="1" applyBorder="1" applyAlignment="1">
      <alignment horizontal="center"/>
    </xf>
    <xf numFmtId="2" fontId="16" fillId="0" borderId="9" xfId="0" applyNumberFormat="1" applyFont="1" applyBorder="1"/>
    <xf numFmtId="165" fontId="16" fillId="0" borderId="9" xfId="0" applyNumberFormat="1" applyFont="1" applyBorder="1"/>
    <xf numFmtId="0" fontId="17" fillId="23" borderId="58" xfId="0" applyFont="1" applyFill="1" applyBorder="1" applyAlignment="1">
      <alignment horizontal="center"/>
    </xf>
    <xf numFmtId="0" fontId="17" fillId="0" borderId="0" xfId="0" applyFont="1" applyAlignment="1">
      <alignment horizontal="center"/>
    </xf>
    <xf numFmtId="0" fontId="9" fillId="0" borderId="0" xfId="0" applyFont="1"/>
    <xf numFmtId="0" fontId="18" fillId="0" borderId="0" xfId="0" applyFont="1"/>
    <xf numFmtId="0" fontId="9" fillId="0" borderId="54" xfId="0" applyFont="1" applyBorder="1"/>
    <xf numFmtId="0" fontId="9" fillId="3" borderId="77" xfId="0" applyFont="1" applyFill="1" applyBorder="1"/>
    <xf numFmtId="0" fontId="19" fillId="0" borderId="0" xfId="0" applyFont="1"/>
    <xf numFmtId="0" fontId="9" fillId="0" borderId="24" xfId="0" applyFont="1" applyBorder="1"/>
    <xf numFmtId="0" fontId="9" fillId="0" borderId="42" xfId="0" applyFont="1" applyBorder="1"/>
    <xf numFmtId="0" fontId="9" fillId="0" borderId="82" xfId="0" applyFont="1" applyBorder="1" applyAlignment="1">
      <alignment horizontal="center"/>
    </xf>
    <xf numFmtId="0" fontId="9" fillId="0" borderId="81" xfId="0" applyFont="1" applyBorder="1" applyAlignment="1">
      <alignment horizontal="center"/>
    </xf>
    <xf numFmtId="0" fontId="9" fillId="0" borderId="41" xfId="0" applyFont="1" applyBorder="1"/>
    <xf numFmtId="10" fontId="9" fillId="5" borderId="12" xfId="0" applyNumberFormat="1" applyFont="1" applyFill="1" applyBorder="1" applyAlignment="1">
      <alignment horizontal="center"/>
    </xf>
    <xf numFmtId="10" fontId="9" fillId="23" borderId="10" xfId="0" applyNumberFormat="1" applyFont="1" applyFill="1" applyBorder="1" applyAlignment="1">
      <alignment horizontal="center"/>
    </xf>
    <xf numFmtId="0" fontId="9" fillId="0" borderId="84" xfId="0" applyFont="1" applyBorder="1"/>
    <xf numFmtId="0" fontId="9" fillId="0" borderId="86" xfId="0" applyFont="1" applyBorder="1"/>
    <xf numFmtId="0" fontId="9" fillId="0" borderId="83" xfId="0" applyFont="1" applyBorder="1"/>
    <xf numFmtId="0" fontId="9" fillId="0" borderId="85" xfId="0" applyFont="1" applyBorder="1"/>
    <xf numFmtId="0" fontId="9" fillId="0" borderId="5" xfId="0" applyFont="1" applyBorder="1"/>
    <xf numFmtId="0" fontId="9" fillId="5" borderId="0" xfId="0" applyFont="1" applyFill="1"/>
    <xf numFmtId="0" fontId="9" fillId="23" borderId="18" xfId="0" applyFont="1" applyFill="1" applyBorder="1"/>
    <xf numFmtId="0" fontId="9" fillId="5" borderId="11" xfId="0" applyFont="1" applyFill="1" applyBorder="1"/>
    <xf numFmtId="0" fontId="9" fillId="23" borderId="6" xfId="0" applyFont="1" applyFill="1" applyBorder="1"/>
    <xf numFmtId="0" fontId="9" fillId="0" borderId="8" xfId="0" applyFont="1" applyBorder="1"/>
    <xf numFmtId="0" fontId="9" fillId="5" borderId="9" xfId="0" applyFont="1" applyFill="1" applyBorder="1"/>
    <xf numFmtId="0" fontId="9" fillId="23" borderId="19" xfId="0" applyFont="1" applyFill="1" applyBorder="1"/>
    <xf numFmtId="0" fontId="9" fillId="5" borderId="12" xfId="0" applyFont="1" applyFill="1" applyBorder="1"/>
    <xf numFmtId="0" fontId="9" fillId="23" borderId="10" xfId="0" applyFont="1" applyFill="1" applyBorder="1"/>
    <xf numFmtId="0" fontId="19" fillId="5" borderId="58" xfId="0" applyFont="1" applyFill="1" applyBorder="1" applyAlignment="1">
      <alignment horizontal="center"/>
    </xf>
    <xf numFmtId="0" fontId="9" fillId="19" borderId="24" xfId="0" applyFont="1" applyFill="1" applyBorder="1" applyAlignment="1">
      <alignment horizontal="center"/>
    </xf>
    <xf numFmtId="0" fontId="9" fillId="0" borderId="24" xfId="0" applyFont="1" applyBorder="1" applyAlignment="1">
      <alignment horizontal="center"/>
    </xf>
    <xf numFmtId="49" fontId="16" fillId="0" borderId="84" xfId="0" applyNumberFormat="1" applyFont="1" applyBorder="1" applyAlignment="1">
      <alignment horizontal="center" vertical="top" wrapText="1"/>
    </xf>
    <xf numFmtId="49" fontId="16" fillId="19" borderId="84" xfId="0" applyNumberFormat="1" applyFont="1" applyFill="1" applyBorder="1" applyAlignment="1">
      <alignment horizontal="center" vertical="top" wrapText="1"/>
    </xf>
    <xf numFmtId="0" fontId="9" fillId="10" borderId="18" xfId="0" applyFont="1" applyFill="1" applyBorder="1"/>
    <xf numFmtId="0" fontId="9" fillId="10" borderId="9" xfId="0" applyFont="1" applyFill="1" applyBorder="1"/>
    <xf numFmtId="0" fontId="9" fillId="10" borderId="19" xfId="0" applyFont="1" applyFill="1" applyBorder="1"/>
    <xf numFmtId="0" fontId="0" fillId="21" borderId="11" xfId="0" applyFill="1" applyBorder="1"/>
    <xf numFmtId="0" fontId="0" fillId="21" borderId="18" xfId="0" applyFill="1" applyBorder="1"/>
    <xf numFmtId="0" fontId="0" fillId="0" borderId="28" xfId="0" applyBorder="1"/>
    <xf numFmtId="0" fontId="0" fillId="21" borderId="0" xfId="0" applyFill="1"/>
    <xf numFmtId="0" fontId="0" fillId="21" borderId="84" xfId="0" applyFill="1" applyBorder="1"/>
    <xf numFmtId="0" fontId="0" fillId="21" borderId="5" xfId="0" applyFill="1" applyBorder="1"/>
    <xf numFmtId="0" fontId="0" fillId="21" borderId="24" xfId="0" applyFill="1" applyBorder="1"/>
    <xf numFmtId="0" fontId="0" fillId="0" borderId="88" xfId="0" applyBorder="1"/>
    <xf numFmtId="0" fontId="0" fillId="21" borderId="37" xfId="0" applyFill="1" applyBorder="1"/>
    <xf numFmtId="0" fontId="0" fillId="21" borderId="6" xfId="0" applyFill="1" applyBorder="1"/>
    <xf numFmtId="0" fontId="0" fillId="21" borderId="41" xfId="0" applyFill="1" applyBorder="1"/>
    <xf numFmtId="0" fontId="0" fillId="21" borderId="9" xfId="0" applyFill="1" applyBorder="1"/>
    <xf numFmtId="0" fontId="0" fillId="21" borderId="12" xfId="0" applyFill="1" applyBorder="1"/>
    <xf numFmtId="0" fontId="0" fillId="21" borderId="19" xfId="0" applyFill="1" applyBorder="1"/>
    <xf numFmtId="0" fontId="0" fillId="21" borderId="10" xfId="0" applyFill="1" applyBorder="1"/>
    <xf numFmtId="0" fontId="0" fillId="10" borderId="6" xfId="0" applyFill="1" applyBorder="1"/>
    <xf numFmtId="0" fontId="0" fillId="19" borderId="78" xfId="0" applyFill="1" applyBorder="1" applyAlignment="1">
      <alignment horizontal="center"/>
    </xf>
    <xf numFmtId="0" fontId="0" fillId="19" borderId="80" xfId="0" applyFill="1" applyBorder="1" applyAlignment="1">
      <alignment horizontal="center"/>
    </xf>
    <xf numFmtId="0" fontId="0" fillId="19" borderId="81" xfId="0" applyFill="1" applyBorder="1" applyAlignment="1">
      <alignment horizontal="center"/>
    </xf>
    <xf numFmtId="0" fontId="0" fillId="19" borderId="79" xfId="0" applyFill="1" applyBorder="1" applyAlignment="1">
      <alignment horizontal="center" wrapText="1"/>
    </xf>
    <xf numFmtId="0" fontId="0" fillId="19" borderId="78" xfId="0" applyFill="1" applyBorder="1" applyAlignment="1">
      <alignment horizontal="center" wrapText="1"/>
    </xf>
    <xf numFmtId="0" fontId="0" fillId="13" borderId="0" xfId="0" applyFill="1" applyAlignment="1">
      <alignment horizontal="center"/>
    </xf>
    <xf numFmtId="2" fontId="0" fillId="19" borderId="0" xfId="0" applyNumberFormat="1" applyFill="1" applyAlignment="1">
      <alignment horizontal="center"/>
    </xf>
    <xf numFmtId="0" fontId="0" fillId="19" borderId="6" xfId="0" applyFill="1" applyBorder="1" applyAlignment="1">
      <alignment horizontal="center"/>
    </xf>
    <xf numFmtId="0" fontId="0" fillId="19" borderId="37" xfId="0" applyFill="1" applyBorder="1" applyAlignment="1">
      <alignment horizontal="center"/>
    </xf>
    <xf numFmtId="0" fontId="0" fillId="19" borderId="0" xfId="0" applyFill="1" applyAlignment="1">
      <alignment horizontal="center"/>
    </xf>
    <xf numFmtId="2" fontId="0" fillId="3" borderId="45" xfId="0" applyNumberFormat="1" applyFill="1" applyBorder="1" applyAlignment="1">
      <alignment horizontal="center"/>
    </xf>
    <xf numFmtId="2" fontId="0" fillId="19" borderId="45" xfId="0" applyNumberFormat="1" applyFill="1" applyBorder="1" applyAlignment="1">
      <alignment horizontal="center"/>
    </xf>
    <xf numFmtId="2" fontId="0" fillId="19" borderId="9" xfId="0" applyNumberFormat="1" applyFill="1" applyBorder="1" applyAlignment="1">
      <alignment horizontal="center"/>
    </xf>
    <xf numFmtId="0" fontId="0" fillId="19" borderId="10" xfId="0" applyFill="1" applyBorder="1" applyAlignment="1">
      <alignment horizontal="center"/>
    </xf>
    <xf numFmtId="0" fontId="0" fillId="19" borderId="41" xfId="0" applyFill="1" applyBorder="1" applyAlignment="1">
      <alignment horizontal="center"/>
    </xf>
    <xf numFmtId="0" fontId="0" fillId="19" borderId="9" xfId="0" applyFill="1" applyBorder="1" applyAlignment="1">
      <alignment horizontal="center"/>
    </xf>
    <xf numFmtId="2" fontId="0" fillId="19" borderId="47" xfId="0" applyNumberFormat="1" applyFill="1" applyBorder="1" applyAlignment="1">
      <alignment horizontal="center"/>
    </xf>
    <xf numFmtId="0" fontId="0" fillId="13" borderId="24" xfId="0" applyFill="1" applyBorder="1" applyAlignment="1">
      <alignment horizontal="center"/>
    </xf>
    <xf numFmtId="2" fontId="0" fillId="19" borderId="24" xfId="0" applyNumberFormat="1" applyFill="1" applyBorder="1" applyAlignment="1">
      <alignment horizontal="center"/>
    </xf>
    <xf numFmtId="0" fontId="0" fillId="19" borderId="25" xfId="0" applyFill="1" applyBorder="1" applyAlignment="1">
      <alignment horizontal="center"/>
    </xf>
    <xf numFmtId="0" fontId="0" fillId="13" borderId="42" xfId="0" applyFill="1" applyBorder="1" applyAlignment="1">
      <alignment horizontal="center"/>
    </xf>
    <xf numFmtId="0" fontId="0" fillId="19" borderId="42" xfId="0" applyFill="1" applyBorder="1" applyAlignment="1">
      <alignment horizontal="center"/>
    </xf>
    <xf numFmtId="0" fontId="0" fillId="19" borderId="24" xfId="0" applyFill="1" applyBorder="1" applyAlignment="1">
      <alignment horizontal="center"/>
    </xf>
    <xf numFmtId="2" fontId="0" fillId="3" borderId="44" xfId="0" applyNumberFormat="1" applyFill="1" applyBorder="1" applyAlignment="1">
      <alignment horizontal="center"/>
    </xf>
    <xf numFmtId="2" fontId="0" fillId="3" borderId="47" xfId="0" applyNumberFormat="1" applyFill="1" applyBorder="1" applyAlignment="1">
      <alignment horizontal="center"/>
    </xf>
    <xf numFmtId="0" fontId="0" fillId="19" borderId="42" xfId="0" applyFill="1" applyBorder="1" applyAlignment="1">
      <alignment horizontal="center" wrapText="1"/>
    </xf>
    <xf numFmtId="0" fontId="0" fillId="19" borderId="44" xfId="0" applyFill="1" applyBorder="1" applyAlignment="1">
      <alignment horizontal="center" wrapText="1"/>
    </xf>
    <xf numFmtId="0" fontId="20" fillId="0" borderId="0" xfId="0" applyFont="1"/>
    <xf numFmtId="0" fontId="21" fillId="0" borderId="0" xfId="0" applyFont="1"/>
    <xf numFmtId="0" fontId="22" fillId="0" borderId="0" xfId="6"/>
    <xf numFmtId="0" fontId="12" fillId="0" borderId="0" xfId="0" applyFont="1"/>
    <xf numFmtId="0" fontId="0" fillId="0" borderId="10" xfId="0" applyBorder="1"/>
    <xf numFmtId="0" fontId="9" fillId="3" borderId="10" xfId="0" applyFont="1" applyFill="1" applyBorder="1"/>
    <xf numFmtId="0" fontId="9" fillId="10" borderId="0" xfId="0" applyFont="1" applyFill="1"/>
    <xf numFmtId="2" fontId="9" fillId="0" borderId="0" xfId="0" applyNumberFormat="1" applyFont="1"/>
    <xf numFmtId="0" fontId="9" fillId="0" borderId="0" xfId="0" applyFont="1" applyAlignment="1">
      <alignment horizontal="center" vertical="center" textRotation="90" wrapText="1"/>
    </xf>
    <xf numFmtId="0" fontId="0" fillId="11" borderId="5" xfId="0" applyFill="1" applyBorder="1" applyAlignment="1">
      <alignment horizontal="center" vertical="center"/>
    </xf>
    <xf numFmtId="0" fontId="0" fillId="14" borderId="34" xfId="0" applyFill="1" applyBorder="1" applyAlignment="1">
      <alignment horizontal="center"/>
    </xf>
    <xf numFmtId="0" fontId="0" fillId="14" borderId="20" xfId="0" applyFill="1" applyBorder="1" applyAlignment="1">
      <alignment horizontal="center"/>
    </xf>
    <xf numFmtId="0" fontId="0" fillId="14" borderId="6" xfId="0" applyFill="1" applyBorder="1" applyAlignment="1">
      <alignment horizontal="center"/>
    </xf>
    <xf numFmtId="0" fontId="0" fillId="18" borderId="34" xfId="0" applyFill="1" applyBorder="1" applyAlignment="1">
      <alignment horizontal="center"/>
    </xf>
    <xf numFmtId="0" fontId="0" fillId="18" borderId="20" xfId="0" applyFill="1" applyBorder="1" applyAlignment="1">
      <alignment horizontal="center"/>
    </xf>
    <xf numFmtId="0" fontId="0" fillId="18" borderId="0" xfId="0" applyFill="1" applyAlignment="1">
      <alignment horizontal="center"/>
    </xf>
    <xf numFmtId="0" fontId="0" fillId="11" borderId="8" xfId="0" applyFill="1" applyBorder="1" applyAlignment="1">
      <alignment horizontal="center" vertical="center"/>
    </xf>
    <xf numFmtId="0" fontId="0" fillId="14" borderId="7" xfId="0" applyFill="1" applyBorder="1" applyAlignment="1">
      <alignment horizontal="center"/>
    </xf>
    <xf numFmtId="0" fontId="0" fillId="14" borderId="8" xfId="0" applyFill="1" applyBorder="1" applyAlignment="1">
      <alignment horizontal="center"/>
    </xf>
    <xf numFmtId="0" fontId="0" fillId="14" borderId="10" xfId="0" applyFill="1" applyBorder="1" applyAlignment="1">
      <alignment horizontal="center"/>
    </xf>
    <xf numFmtId="0" fontId="0" fillId="18" borderId="7" xfId="0" applyFill="1" applyBorder="1" applyAlignment="1">
      <alignment horizontal="center"/>
    </xf>
    <xf numFmtId="0" fontId="0" fillId="18" borderId="8" xfId="0" applyFill="1" applyBorder="1" applyAlignment="1">
      <alignment horizontal="center"/>
    </xf>
    <xf numFmtId="0" fontId="0" fillId="18" borderId="9" xfId="0" applyFill="1" applyBorder="1" applyAlignment="1">
      <alignment horizontal="center"/>
    </xf>
    <xf numFmtId="2" fontId="0" fillId="3" borderId="24" xfId="0" applyNumberFormat="1" applyFill="1" applyBorder="1"/>
    <xf numFmtId="0" fontId="0" fillId="3" borderId="24" xfId="0" applyFill="1" applyBorder="1"/>
    <xf numFmtId="0" fontId="0" fillId="3" borderId="25" xfId="0" applyFill="1" applyBorder="1"/>
    <xf numFmtId="0" fontId="0" fillId="3" borderId="42" xfId="0" applyFill="1" applyBorder="1"/>
    <xf numFmtId="2" fontId="0" fillId="3" borderId="44" xfId="0" applyNumberFormat="1" applyFill="1" applyBorder="1"/>
    <xf numFmtId="0" fontId="0" fillId="3" borderId="37" xfId="0" applyFill="1" applyBorder="1"/>
    <xf numFmtId="2" fontId="0" fillId="3" borderId="0" xfId="0" applyNumberFormat="1" applyFill="1"/>
    <xf numFmtId="0" fontId="0" fillId="3" borderId="0" xfId="0" applyFill="1"/>
    <xf numFmtId="0" fontId="0" fillId="3" borderId="6" xfId="0" applyFill="1" applyBorder="1"/>
    <xf numFmtId="2" fontId="0" fillId="3" borderId="45" xfId="0" applyNumberFormat="1" applyFill="1" applyBorder="1"/>
    <xf numFmtId="0" fontId="0" fillId="3" borderId="41" xfId="0" applyFill="1" applyBorder="1"/>
    <xf numFmtId="2" fontId="0" fillId="3" borderId="9" xfId="0" applyNumberFormat="1" applyFill="1" applyBorder="1"/>
    <xf numFmtId="0" fontId="0" fillId="3" borderId="9" xfId="0" applyFill="1" applyBorder="1"/>
    <xf numFmtId="0" fontId="0" fillId="3" borderId="10" xfId="0" applyFill="1" applyBorder="1"/>
    <xf numFmtId="2" fontId="0" fillId="3" borderId="47" xfId="0" applyNumberFormat="1" applyFill="1" applyBorder="1"/>
    <xf numFmtId="0" fontId="0" fillId="0" borderId="25" xfId="0" applyBorder="1"/>
    <xf numFmtId="2" fontId="0" fillId="0" borderId="44" xfId="0" applyNumberFormat="1" applyBorder="1"/>
    <xf numFmtId="2" fontId="0" fillId="0" borderId="45" xfId="0" applyNumberFormat="1" applyBorder="1"/>
    <xf numFmtId="0" fontId="0" fillId="0" borderId="41" xfId="0" applyBorder="1"/>
    <xf numFmtId="2" fontId="0" fillId="0" borderId="47" xfId="0" applyNumberFormat="1" applyBorder="1"/>
    <xf numFmtId="2" fontId="0" fillId="0" borderId="92" xfId="0" applyNumberFormat="1" applyBorder="1"/>
    <xf numFmtId="0" fontId="0" fillId="5" borderId="37" xfId="0" applyFill="1" applyBorder="1"/>
    <xf numFmtId="0" fontId="0" fillId="5" borderId="6" xfId="0" applyFill="1" applyBorder="1"/>
    <xf numFmtId="2" fontId="0" fillId="5" borderId="45" xfId="0" applyNumberFormat="1" applyFill="1" applyBorder="1"/>
    <xf numFmtId="2" fontId="0" fillId="3" borderId="92" xfId="0" applyNumberFormat="1" applyFill="1" applyBorder="1"/>
    <xf numFmtId="0" fontId="5" fillId="4" borderId="44" xfId="0" applyFont="1" applyFill="1" applyBorder="1" applyAlignment="1">
      <alignment horizontal="center"/>
    </xf>
    <xf numFmtId="0" fontId="0" fillId="4" borderId="45" xfId="0" applyFill="1" applyBorder="1" applyAlignment="1">
      <alignment horizontal="center"/>
    </xf>
    <xf numFmtId="0" fontId="0" fillId="3" borderId="44" xfId="0" applyFill="1" applyBorder="1"/>
    <xf numFmtId="0" fontId="0" fillId="3" borderId="45" xfId="0" applyFill="1" applyBorder="1"/>
    <xf numFmtId="0" fontId="0" fillId="3" borderId="47" xfId="0" applyFill="1" applyBorder="1"/>
    <xf numFmtId="0" fontId="0" fillId="5" borderId="45" xfId="0" applyFill="1" applyBorder="1"/>
    <xf numFmtId="0" fontId="5" fillId="4" borderId="47" xfId="0" applyFont="1" applyFill="1" applyBorder="1" applyAlignment="1">
      <alignment horizontal="center"/>
    </xf>
    <xf numFmtId="0" fontId="6" fillId="25" borderId="45" xfId="0" applyFont="1" applyFill="1" applyBorder="1"/>
    <xf numFmtId="0" fontId="6" fillId="25" borderId="47" xfId="0" applyFont="1" applyFill="1" applyBorder="1"/>
    <xf numFmtId="2" fontId="9" fillId="0" borderId="81" xfId="0" applyNumberFormat="1" applyFont="1" applyBorder="1"/>
    <xf numFmtId="0" fontId="0" fillId="3" borderId="96" xfId="0" applyFill="1" applyBorder="1"/>
    <xf numFmtId="0" fontId="0" fillId="0" borderId="38" xfId="0" applyBorder="1"/>
    <xf numFmtId="2" fontId="0" fillId="0" borderId="30" xfId="0" applyNumberFormat="1" applyBorder="1"/>
    <xf numFmtId="0" fontId="0" fillId="0" borderId="30" xfId="0" applyBorder="1"/>
    <xf numFmtId="0" fontId="0" fillId="0" borderId="31" xfId="0" applyBorder="1"/>
    <xf numFmtId="0" fontId="0" fillId="0" borderId="76" xfId="0" applyBorder="1"/>
    <xf numFmtId="2" fontId="0" fillId="0" borderId="76" xfId="0" applyNumberFormat="1" applyBorder="1"/>
    <xf numFmtId="0" fontId="0" fillId="0" borderId="97" xfId="0" applyBorder="1"/>
    <xf numFmtId="2" fontId="0" fillId="0" borderId="39" xfId="0" applyNumberFormat="1" applyBorder="1"/>
    <xf numFmtId="0" fontId="0" fillId="0" borderId="39" xfId="0" applyBorder="1"/>
    <xf numFmtId="0" fontId="0" fillId="0" borderId="35" xfId="0" applyBorder="1"/>
    <xf numFmtId="0" fontId="0" fillId="0" borderId="40" xfId="0" applyBorder="1"/>
    <xf numFmtId="0" fontId="0" fillId="0" borderId="46" xfId="0" applyBorder="1"/>
    <xf numFmtId="2" fontId="0" fillId="0" borderId="46" xfId="0" applyNumberFormat="1" applyBorder="1"/>
    <xf numFmtId="2" fontId="0" fillId="5" borderId="39" xfId="0" applyNumberFormat="1" applyFill="1" applyBorder="1"/>
    <xf numFmtId="0" fontId="0" fillId="5" borderId="39" xfId="0" applyFill="1" applyBorder="1"/>
    <xf numFmtId="0" fontId="0" fillId="5" borderId="35" xfId="0" applyFill="1" applyBorder="1"/>
    <xf numFmtId="0" fontId="0" fillId="5" borderId="40" xfId="0" applyFill="1" applyBorder="1"/>
    <xf numFmtId="0" fontId="0" fillId="5" borderId="46" xfId="0" applyFill="1" applyBorder="1"/>
    <xf numFmtId="2" fontId="0" fillId="5" borderId="46" xfId="0" applyNumberFormat="1" applyFill="1" applyBorder="1"/>
    <xf numFmtId="0" fontId="0" fillId="5" borderId="0" xfId="0" applyFill="1"/>
    <xf numFmtId="0" fontId="0" fillId="0" borderId="96" xfId="0" applyBorder="1"/>
    <xf numFmtId="0" fontId="0" fillId="5" borderId="38" xfId="0" applyFill="1" applyBorder="1"/>
    <xf numFmtId="2" fontId="0" fillId="5" borderId="30" xfId="0" applyNumberFormat="1" applyFill="1" applyBorder="1"/>
    <xf numFmtId="0" fontId="0" fillId="5" borderId="30" xfId="0" applyFill="1" applyBorder="1"/>
    <xf numFmtId="0" fontId="0" fillId="5" borderId="31" xfId="0" applyFill="1" applyBorder="1"/>
    <xf numFmtId="0" fontId="0" fillId="5" borderId="76" xfId="0" applyFill="1" applyBorder="1"/>
    <xf numFmtId="2" fontId="0" fillId="5" borderId="76" xfId="0" applyNumberFormat="1" applyFill="1" applyBorder="1"/>
    <xf numFmtId="0" fontId="9" fillId="0" borderId="92" xfId="0" applyFont="1" applyBorder="1" applyAlignment="1">
      <alignment horizontal="center" vertical="center" wrapText="1"/>
    </xf>
    <xf numFmtId="0" fontId="9" fillId="0" borderId="7" xfId="0" applyFont="1" applyBorder="1" applyAlignment="1">
      <alignment wrapText="1"/>
    </xf>
    <xf numFmtId="0" fontId="9" fillId="0" borderId="93" xfId="0" applyFont="1" applyBorder="1" applyAlignment="1">
      <alignment horizontal="center"/>
    </xf>
    <xf numFmtId="2" fontId="9" fillId="0" borderId="81" xfId="0" applyNumberFormat="1" applyFont="1" applyBorder="1" applyAlignment="1">
      <alignment horizontal="center"/>
    </xf>
    <xf numFmtId="2" fontId="9" fillId="3" borderId="8" xfId="0" applyNumberFormat="1" applyFont="1" applyFill="1" applyBorder="1"/>
    <xf numFmtId="0" fontId="0" fillId="6" borderId="6" xfId="0" applyFill="1" applyBorder="1" applyAlignment="1">
      <alignment horizontal="center"/>
    </xf>
    <xf numFmtId="2" fontId="0" fillId="6" borderId="6" xfId="0" applyNumberFormat="1" applyFill="1" applyBorder="1" applyAlignment="1">
      <alignment horizontal="center"/>
    </xf>
    <xf numFmtId="2" fontId="0" fillId="6" borderId="31" xfId="0" applyNumberFormat="1" applyFill="1" applyBorder="1" applyAlignment="1">
      <alignment horizontal="center"/>
    </xf>
    <xf numFmtId="0" fontId="0" fillId="6" borderId="35" xfId="0" applyFill="1" applyBorder="1" applyAlignment="1">
      <alignment horizontal="center"/>
    </xf>
    <xf numFmtId="2" fontId="0" fillId="6" borderId="10" xfId="0" applyNumberFormat="1" applyFill="1" applyBorder="1" applyAlignment="1">
      <alignment horizontal="center"/>
    </xf>
    <xf numFmtId="2" fontId="9" fillId="0" borderId="98" xfId="0" applyNumberFormat="1" applyFont="1" applyBorder="1" applyAlignment="1">
      <alignment horizontal="center"/>
    </xf>
    <xf numFmtId="3" fontId="0" fillId="0" borderId="43" xfId="0" applyNumberFormat="1" applyBorder="1"/>
    <xf numFmtId="3" fontId="0" fillId="0" borderId="5" xfId="0" applyNumberFormat="1" applyBorder="1"/>
    <xf numFmtId="3" fontId="5" fillId="21" borderId="62" xfId="0" applyNumberFormat="1" applyFont="1" applyFill="1" applyBorder="1" applyAlignment="1">
      <alignment horizontal="center" vertical="center" wrapText="1"/>
    </xf>
    <xf numFmtId="167" fontId="7" fillId="15" borderId="16" xfId="0" applyNumberFormat="1" applyFont="1" applyFill="1" applyBorder="1" applyAlignment="1" applyProtection="1">
      <alignment wrapText="1"/>
      <protection locked="0"/>
    </xf>
    <xf numFmtId="167" fontId="7" fillId="15" borderId="64" xfId="0" applyNumberFormat="1" applyFont="1" applyFill="1" applyBorder="1" applyAlignment="1" applyProtection="1">
      <alignment wrapText="1"/>
      <protection locked="0"/>
    </xf>
    <xf numFmtId="3" fontId="0" fillId="0" borderId="15" xfId="0" applyNumberFormat="1" applyBorder="1"/>
    <xf numFmtId="167" fontId="7" fillId="15" borderId="63" xfId="0" applyNumberFormat="1" applyFont="1" applyFill="1" applyBorder="1" applyAlignment="1" applyProtection="1">
      <alignment wrapText="1"/>
      <protection locked="0"/>
    </xf>
    <xf numFmtId="167" fontId="7" fillId="15" borderId="65" xfId="0" applyNumberFormat="1" applyFont="1" applyFill="1" applyBorder="1" applyAlignment="1" applyProtection="1">
      <alignment wrapText="1"/>
      <protection locked="0"/>
    </xf>
    <xf numFmtId="3" fontId="0" fillId="0" borderId="50" xfId="0" applyNumberFormat="1" applyBorder="1"/>
    <xf numFmtId="166" fontId="5" fillId="0" borderId="70" xfId="1" applyNumberFormat="1" applyFont="1" applyBorder="1"/>
    <xf numFmtId="166" fontId="5" fillId="0" borderId="73" xfId="1" applyNumberFormat="1" applyFont="1" applyBorder="1"/>
    <xf numFmtId="166" fontId="5" fillId="0" borderId="70" xfId="1" applyNumberFormat="1" applyFont="1" applyFill="1" applyBorder="1"/>
    <xf numFmtId="166" fontId="5" fillId="0" borderId="73" xfId="1" applyNumberFormat="1" applyFont="1" applyFill="1" applyBorder="1"/>
    <xf numFmtId="0" fontId="0" fillId="0" borderId="49" xfId="0" applyBorder="1"/>
    <xf numFmtId="0" fontId="10" fillId="0" borderId="20" xfId="0" applyFont="1" applyBorder="1" applyAlignment="1">
      <alignment horizontal="left" vertical="top"/>
    </xf>
    <xf numFmtId="0" fontId="10" fillId="0" borderId="5" xfId="0" applyFont="1" applyBorder="1" applyAlignment="1">
      <alignment horizontal="left" vertical="top"/>
    </xf>
    <xf numFmtId="0" fontId="10" fillId="0" borderId="29" xfId="0" applyFont="1" applyBorder="1" applyAlignment="1">
      <alignment horizontal="left" vertical="top"/>
    </xf>
    <xf numFmtId="165" fontId="13" fillId="0" borderId="4" xfId="3" applyNumberFormat="1" applyFont="1" applyBorder="1"/>
    <xf numFmtId="165" fontId="13" fillId="0" borderId="21" xfId="3" applyNumberFormat="1" applyFont="1" applyBorder="1"/>
    <xf numFmtId="165" fontId="13" fillId="0" borderId="7" xfId="3" applyNumberFormat="1" applyFont="1" applyBorder="1"/>
    <xf numFmtId="165" fontId="7" fillId="0" borderId="4" xfId="3" applyNumberFormat="1" applyFont="1" applyBorder="1"/>
    <xf numFmtId="165" fontId="7" fillId="0" borderId="21" xfId="3" applyNumberFormat="1" applyFont="1" applyBorder="1"/>
    <xf numFmtId="165" fontId="7" fillId="0" borderId="7" xfId="3" applyNumberFormat="1" applyFont="1" applyBorder="1"/>
    <xf numFmtId="0" fontId="8" fillId="0" borderId="46" xfId="3" applyBorder="1"/>
    <xf numFmtId="0" fontId="8" fillId="0" borderId="94" xfId="3" applyBorder="1"/>
    <xf numFmtId="0" fontId="8" fillId="0" borderId="70" xfId="3" applyBorder="1"/>
    <xf numFmtId="0" fontId="8" fillId="0" borderId="73" xfId="3" applyBorder="1"/>
    <xf numFmtId="0" fontId="8" fillId="0" borderId="29" xfId="3" applyBorder="1"/>
    <xf numFmtId="0" fontId="8" fillId="0" borderId="27" xfId="3" applyBorder="1" applyAlignment="1">
      <alignment wrapText="1"/>
    </xf>
    <xf numFmtId="0" fontId="8" fillId="0" borderId="38" xfId="3" applyBorder="1"/>
    <xf numFmtId="165" fontId="13" fillId="0" borderId="34" xfId="3" applyNumberFormat="1" applyFont="1" applyBorder="1"/>
    <xf numFmtId="0" fontId="14" fillId="22" borderId="20" xfId="3" applyFont="1" applyFill="1" applyBorder="1" applyAlignment="1">
      <alignment wrapText="1"/>
    </xf>
    <xf numFmtId="0" fontId="14" fillId="0" borderId="20" xfId="3" applyFont="1" applyBorder="1"/>
    <xf numFmtId="0" fontId="10" fillId="0" borderId="15" xfId="0" applyFont="1" applyBorder="1" applyAlignment="1">
      <alignment horizontal="left" vertical="top"/>
    </xf>
    <xf numFmtId="0" fontId="10" fillId="0" borderId="15" xfId="0" applyFont="1" applyBorder="1" applyAlignment="1">
      <alignment vertical="top"/>
    </xf>
    <xf numFmtId="9" fontId="0" fillId="24" borderId="48" xfId="1" applyFont="1" applyFill="1" applyBorder="1"/>
    <xf numFmtId="9" fontId="0" fillId="24" borderId="36" xfId="1" applyFont="1" applyFill="1" applyBorder="1"/>
    <xf numFmtId="9" fontId="0" fillId="24" borderId="51" xfId="1" applyFont="1" applyFill="1" applyBorder="1"/>
    <xf numFmtId="166" fontId="0" fillId="24" borderId="75" xfId="4" applyNumberFormat="1" applyFont="1" applyFill="1" applyBorder="1" applyAlignment="1">
      <alignment horizontal="center"/>
    </xf>
    <xf numFmtId="166" fontId="0" fillId="24" borderId="59" xfId="4" applyNumberFormat="1" applyFont="1" applyFill="1" applyBorder="1" applyAlignment="1">
      <alignment horizontal="center"/>
    </xf>
    <xf numFmtId="166" fontId="0" fillId="24" borderId="51" xfId="4" applyNumberFormat="1" applyFont="1" applyFill="1" applyBorder="1" applyAlignment="1">
      <alignment horizontal="center"/>
    </xf>
    <xf numFmtId="166" fontId="0" fillId="24" borderId="36" xfId="4" applyNumberFormat="1" applyFont="1" applyFill="1" applyBorder="1" applyAlignment="1">
      <alignment horizontal="center"/>
    </xf>
    <xf numFmtId="166" fontId="0" fillId="24" borderId="53" xfId="4" applyNumberFormat="1" applyFont="1" applyFill="1" applyBorder="1" applyAlignment="1">
      <alignment horizontal="center"/>
    </xf>
    <xf numFmtId="166" fontId="0" fillId="24" borderId="48" xfId="4" applyNumberFormat="1" applyFont="1" applyFill="1" applyBorder="1" applyAlignment="1">
      <alignment horizontal="center"/>
    </xf>
    <xf numFmtId="0" fontId="8" fillId="0" borderId="2" xfId="3" applyBorder="1" applyAlignment="1">
      <alignment horizontal="center"/>
    </xf>
    <xf numFmtId="0" fontId="8" fillId="0" borderId="64" xfId="3" applyBorder="1" applyAlignment="1">
      <alignment horizontal="center"/>
    </xf>
    <xf numFmtId="0" fontId="8" fillId="0" borderId="65" xfId="3" applyBorder="1" applyAlignment="1">
      <alignment horizontal="center"/>
    </xf>
    <xf numFmtId="0" fontId="8" fillId="0" borderId="32" xfId="3" applyBorder="1" applyAlignment="1">
      <alignment horizontal="center"/>
    </xf>
    <xf numFmtId="0" fontId="8" fillId="0" borderId="15" xfId="3" applyBorder="1" applyAlignment="1">
      <alignment horizontal="center"/>
    </xf>
    <xf numFmtId="0" fontId="8" fillId="0" borderId="50" xfId="3" applyBorder="1" applyAlignment="1">
      <alignment horizontal="center"/>
    </xf>
    <xf numFmtId="0" fontId="8" fillId="0" borderId="20" xfId="3" applyBorder="1" applyAlignment="1">
      <alignment horizontal="center"/>
    </xf>
    <xf numFmtId="0" fontId="0" fillId="0" borderId="33" xfId="0" applyBorder="1"/>
    <xf numFmtId="166" fontId="0" fillId="24" borderId="48" xfId="1" applyNumberFormat="1" applyFont="1" applyFill="1" applyBorder="1"/>
    <xf numFmtId="166" fontId="0" fillId="24" borderId="36" xfId="1" applyNumberFormat="1" applyFont="1" applyFill="1" applyBorder="1"/>
    <xf numFmtId="166" fontId="0" fillId="24" borderId="51" xfId="1" applyNumberFormat="1" applyFont="1" applyFill="1" applyBorder="1"/>
    <xf numFmtId="166" fontId="0" fillId="24" borderId="53" xfId="1" applyNumberFormat="1" applyFont="1" applyFill="1" applyBorder="1"/>
    <xf numFmtId="166" fontId="0" fillId="24" borderId="59" xfId="1" applyNumberFormat="1" applyFont="1" applyFill="1" applyBorder="1"/>
    <xf numFmtId="0" fontId="14" fillId="0" borderId="32" xfId="3" applyFont="1" applyBorder="1" applyAlignment="1">
      <alignment horizontal="center"/>
    </xf>
    <xf numFmtId="0" fontId="14" fillId="0" borderId="15" xfId="3" applyFont="1" applyBorder="1" applyAlignment="1">
      <alignment horizontal="center"/>
    </xf>
    <xf numFmtId="0" fontId="14" fillId="0" borderId="50" xfId="3" applyFont="1" applyBorder="1" applyAlignment="1">
      <alignment horizontal="center"/>
    </xf>
    <xf numFmtId="0" fontId="14" fillId="0" borderId="29" xfId="3" applyFont="1" applyBorder="1" applyAlignment="1">
      <alignment horizontal="center"/>
    </xf>
    <xf numFmtId="0" fontId="14" fillId="0" borderId="20" xfId="3" applyFont="1" applyBorder="1" applyAlignment="1">
      <alignment horizontal="center"/>
    </xf>
    <xf numFmtId="2" fontId="10" fillId="24" borderId="15" xfId="0" applyNumberFormat="1" applyFont="1" applyFill="1" applyBorder="1"/>
    <xf numFmtId="0" fontId="23" fillId="24" borderId="15" xfId="0" applyFont="1" applyFill="1" applyBorder="1"/>
    <xf numFmtId="9" fontId="0" fillId="24" borderId="48" xfId="1" applyFont="1" applyFill="1" applyBorder="1" applyAlignment="1">
      <alignment horizontal="center" vertical="center"/>
    </xf>
    <xf numFmtId="9" fontId="0" fillId="24" borderId="36" xfId="1" applyFont="1" applyFill="1" applyBorder="1" applyAlignment="1">
      <alignment horizontal="center" vertical="center"/>
    </xf>
    <xf numFmtId="9" fontId="0" fillId="24" borderId="51" xfId="1" applyFont="1" applyFill="1" applyBorder="1" applyAlignment="1">
      <alignment horizontal="center" vertical="center"/>
    </xf>
    <xf numFmtId="9" fontId="0" fillId="24" borderId="53" xfId="1" applyFont="1" applyFill="1" applyBorder="1" applyAlignment="1">
      <alignment horizontal="center" vertical="center"/>
    </xf>
    <xf numFmtId="3" fontId="5" fillId="0" borderId="0" xfId="0" applyNumberFormat="1" applyFont="1"/>
    <xf numFmtId="167" fontId="7" fillId="15" borderId="99" xfId="0" applyNumberFormat="1" applyFont="1" applyFill="1" applyBorder="1" applyAlignment="1" applyProtection="1">
      <alignment wrapText="1"/>
      <protection locked="0"/>
    </xf>
    <xf numFmtId="167" fontId="7" fillId="15" borderId="30" xfId="0" applyNumberFormat="1" applyFont="1" applyFill="1" applyBorder="1" applyAlignment="1" applyProtection="1">
      <alignment wrapText="1"/>
      <protection locked="0"/>
    </xf>
    <xf numFmtId="0" fontId="0" fillId="0" borderId="40" xfId="0" applyBorder="1" applyAlignment="1">
      <alignment horizontal="left" vertical="top"/>
    </xf>
    <xf numFmtId="0" fontId="5" fillId="0" borderId="65" xfId="0" applyFont="1" applyBorder="1"/>
    <xf numFmtId="0" fontId="0" fillId="0" borderId="45" xfId="0" applyBorder="1" applyAlignment="1">
      <alignment horizontal="left" vertical="top"/>
    </xf>
    <xf numFmtId="0" fontId="0" fillId="0" borderId="47" xfId="0" applyBorder="1" applyAlignment="1">
      <alignment horizontal="left" vertical="top"/>
    </xf>
    <xf numFmtId="0" fontId="0" fillId="0" borderId="67" xfId="0" applyBorder="1" applyAlignment="1">
      <alignment horizontal="left" vertical="top"/>
    </xf>
    <xf numFmtId="0" fontId="0" fillId="0" borderId="68" xfId="0" applyBorder="1" applyAlignment="1">
      <alignment horizontal="left" vertical="top"/>
    </xf>
    <xf numFmtId="3" fontId="5" fillId="0" borderId="0" xfId="0" applyNumberFormat="1" applyFont="1" applyAlignment="1">
      <alignment horizontal="center"/>
    </xf>
    <xf numFmtId="167" fontId="7" fillId="0" borderId="0" xfId="0" applyNumberFormat="1" applyFont="1" applyAlignment="1" applyProtection="1">
      <alignment wrapText="1"/>
      <protection locked="0"/>
    </xf>
    <xf numFmtId="166" fontId="5" fillId="0" borderId="0" xfId="1" applyNumberFormat="1" applyFont="1" applyFill="1" applyBorder="1"/>
    <xf numFmtId="10" fontId="5" fillId="0" borderId="0" xfId="1" applyNumberFormat="1" applyFont="1" applyFill="1" applyBorder="1"/>
    <xf numFmtId="10" fontId="5" fillId="0" borderId="0" xfId="1" applyNumberFormat="1" applyFont="1" applyFill="1" applyBorder="1" applyAlignment="1">
      <alignment horizontal="center"/>
    </xf>
    <xf numFmtId="167" fontId="7" fillId="15" borderId="95" xfId="0" applyNumberFormat="1" applyFont="1" applyFill="1" applyBorder="1" applyAlignment="1" applyProtection="1">
      <alignment wrapText="1"/>
      <protection locked="0"/>
    </xf>
    <xf numFmtId="3" fontId="0" fillId="0" borderId="20" xfId="0" applyNumberFormat="1" applyBorder="1"/>
    <xf numFmtId="0" fontId="0" fillId="3" borderId="15" xfId="0" applyFill="1" applyBorder="1"/>
    <xf numFmtId="0" fontId="0" fillId="4" borderId="15" xfId="0" applyFill="1" applyBorder="1"/>
    <xf numFmtId="9" fontId="0" fillId="0" borderId="36" xfId="1" applyFont="1" applyBorder="1"/>
    <xf numFmtId="0" fontId="0" fillId="4" borderId="8" xfId="0" applyFill="1" applyBorder="1"/>
    <xf numFmtId="0" fontId="0" fillId="3" borderId="8" xfId="0" applyFill="1" applyBorder="1"/>
    <xf numFmtId="165" fontId="13" fillId="0" borderId="0" xfId="3" applyNumberFormat="1" applyFont="1"/>
    <xf numFmtId="0" fontId="5" fillId="0" borderId="34" xfId="0" applyFont="1" applyBorder="1"/>
    <xf numFmtId="3" fontId="0" fillId="0" borderId="35" xfId="0" applyNumberFormat="1" applyBorder="1"/>
    <xf numFmtId="166" fontId="5" fillId="0" borderId="40" xfId="1" applyNumberFormat="1" applyFont="1" applyBorder="1"/>
    <xf numFmtId="166" fontId="5" fillId="0" borderId="39" xfId="1" applyNumberFormat="1" applyFont="1" applyBorder="1"/>
    <xf numFmtId="3" fontId="5" fillId="0" borderId="39" xfId="0" applyNumberFormat="1" applyFont="1" applyBorder="1"/>
    <xf numFmtId="3" fontId="0" fillId="0" borderId="40" xfId="0" applyNumberFormat="1" applyBorder="1"/>
    <xf numFmtId="3" fontId="0" fillId="0" borderId="39" xfId="0" applyNumberFormat="1" applyBorder="1"/>
    <xf numFmtId="10" fontId="5" fillId="0" borderId="39" xfId="1" applyNumberFormat="1" applyFont="1" applyFill="1" applyBorder="1"/>
    <xf numFmtId="3" fontId="5" fillId="0" borderId="39" xfId="0" applyNumberFormat="1" applyFont="1" applyBorder="1" applyAlignment="1">
      <alignment horizontal="center"/>
    </xf>
    <xf numFmtId="10" fontId="5" fillId="0" borderId="35" xfId="1" applyNumberFormat="1" applyFont="1" applyFill="1" applyBorder="1" applyAlignment="1">
      <alignment horizontal="center"/>
    </xf>
    <xf numFmtId="166" fontId="5" fillId="0" borderId="40" xfId="1" applyNumberFormat="1" applyFont="1" applyFill="1" applyBorder="1"/>
    <xf numFmtId="165" fontId="0" fillId="0" borderId="0" xfId="0" applyNumberFormat="1"/>
    <xf numFmtId="0" fontId="5" fillId="5" borderId="24" xfId="0" applyFont="1" applyFill="1" applyBorder="1" applyAlignment="1">
      <alignment horizontal="center" vertical="center"/>
    </xf>
    <xf numFmtId="0" fontId="5" fillId="5" borderId="30" xfId="0" applyFont="1" applyFill="1" applyBorder="1" applyAlignment="1">
      <alignment horizontal="center" vertical="center"/>
    </xf>
    <xf numFmtId="10" fontId="0" fillId="0" borderId="0" xfId="1" applyNumberFormat="1" applyFont="1"/>
    <xf numFmtId="0" fontId="5" fillId="5" borderId="0" xfId="0" applyFont="1" applyFill="1" applyAlignment="1">
      <alignment horizontal="center" vertical="center"/>
    </xf>
    <xf numFmtId="3" fontId="5" fillId="17" borderId="0" xfId="0" applyNumberFormat="1" applyFont="1" applyFill="1" applyAlignment="1">
      <alignment horizontal="center" vertical="center" wrapText="1"/>
    </xf>
    <xf numFmtId="3" fontId="5" fillId="17" borderId="0" xfId="0" applyNumberFormat="1" applyFont="1" applyFill="1" applyAlignment="1">
      <alignment horizontal="center" wrapText="1"/>
    </xf>
    <xf numFmtId="3" fontId="5" fillId="21" borderId="58" xfId="0" applyNumberFormat="1" applyFont="1" applyFill="1" applyBorder="1" applyAlignment="1">
      <alignment horizontal="center" vertical="center" wrapText="1"/>
    </xf>
    <xf numFmtId="3" fontId="0" fillId="19" borderId="44" xfId="0" applyNumberFormat="1" applyFill="1" applyBorder="1"/>
    <xf numFmtId="3" fontId="0" fillId="19" borderId="45" xfId="0" applyNumberFormat="1" applyFill="1" applyBorder="1"/>
    <xf numFmtId="166" fontId="5" fillId="0" borderId="68" xfId="1" applyNumberFormat="1" applyFont="1" applyBorder="1"/>
    <xf numFmtId="3" fontId="5" fillId="21" borderId="47" xfId="0" applyNumberFormat="1" applyFont="1" applyFill="1" applyBorder="1" applyAlignment="1">
      <alignment horizontal="center" vertical="center" wrapText="1"/>
    </xf>
    <xf numFmtId="166" fontId="5" fillId="0" borderId="67" xfId="1" applyNumberFormat="1" applyFont="1" applyBorder="1"/>
    <xf numFmtId="166" fontId="5" fillId="0" borderId="0" xfId="1" applyNumberFormat="1" applyFont="1" applyBorder="1"/>
    <xf numFmtId="0" fontId="21" fillId="10" borderId="0" xfId="0" applyFont="1" applyFill="1" applyAlignment="1">
      <alignment vertical="center" wrapText="1"/>
    </xf>
    <xf numFmtId="0" fontId="29" fillId="10" borderId="0" xfId="0" applyFont="1" applyFill="1"/>
    <xf numFmtId="0" fontId="22" fillId="19" borderId="15" xfId="6" applyFill="1" applyBorder="1" applyAlignment="1">
      <alignment horizontal="center" vertical="top"/>
    </xf>
    <xf numFmtId="0" fontId="18" fillId="10" borderId="0" xfId="0" applyFont="1" applyFill="1" applyAlignment="1">
      <alignment vertical="center"/>
    </xf>
    <xf numFmtId="0" fontId="18" fillId="0" borderId="0" xfId="0" applyFont="1" applyAlignment="1">
      <alignment vertical="center"/>
    </xf>
    <xf numFmtId="0" fontId="18" fillId="10" borderId="0" xfId="0" applyFont="1" applyFill="1" applyAlignment="1">
      <alignment vertical="top"/>
    </xf>
    <xf numFmtId="0" fontId="18" fillId="0" borderId="0" xfId="0" applyFont="1" applyAlignment="1">
      <alignment vertical="top"/>
    </xf>
    <xf numFmtId="0" fontId="18" fillId="19" borderId="99" xfId="0" applyFont="1" applyFill="1" applyBorder="1" applyAlignment="1">
      <alignment vertical="center"/>
    </xf>
    <xf numFmtId="0" fontId="18" fillId="19" borderId="95" xfId="0" applyFont="1" applyFill="1" applyBorder="1" applyAlignment="1">
      <alignment vertical="center"/>
    </xf>
    <xf numFmtId="0" fontId="18" fillId="19" borderId="11" xfId="0" applyFont="1" applyFill="1" applyBorder="1" applyAlignment="1">
      <alignment vertical="center"/>
    </xf>
    <xf numFmtId="0" fontId="18" fillId="19" borderId="18" xfId="0" applyFont="1" applyFill="1" applyBorder="1" applyAlignment="1">
      <alignment vertical="center"/>
    </xf>
    <xf numFmtId="0" fontId="0" fillId="19" borderId="37" xfId="0" applyFill="1" applyBorder="1" applyAlignment="1">
      <alignment horizontal="left" vertical="top"/>
    </xf>
    <xf numFmtId="2" fontId="0" fillId="0" borderId="35" xfId="0" applyNumberFormat="1" applyBorder="1"/>
    <xf numFmtId="2" fontId="0" fillId="5" borderId="0" xfId="0" applyNumberFormat="1" applyFill="1"/>
    <xf numFmtId="2" fontId="0" fillId="0" borderId="97" xfId="0" applyNumberFormat="1" applyBorder="1"/>
    <xf numFmtId="2" fontId="0" fillId="5" borderId="97" xfId="0" applyNumberFormat="1" applyFill="1" applyBorder="1"/>
    <xf numFmtId="0" fontId="0" fillId="3" borderId="9" xfId="0" applyFill="1" applyBorder="1" applyAlignment="1">
      <alignment horizontal="center" vertical="center" textRotation="90"/>
    </xf>
    <xf numFmtId="2" fontId="0" fillId="3" borderId="10" xfId="0" applyNumberFormat="1" applyFill="1" applyBorder="1"/>
    <xf numFmtId="2" fontId="0" fillId="3" borderId="25" xfId="0" applyNumberFormat="1" applyFill="1" applyBorder="1"/>
    <xf numFmtId="2" fontId="0" fillId="3" borderId="6" xfId="0" applyNumberFormat="1" applyFill="1" applyBorder="1"/>
    <xf numFmtId="2" fontId="0" fillId="0" borderId="31" xfId="0" applyNumberFormat="1" applyBorder="1"/>
    <xf numFmtId="2" fontId="0" fillId="5" borderId="35" xfId="0" applyNumberFormat="1" applyFill="1" applyBorder="1"/>
    <xf numFmtId="2" fontId="0" fillId="5" borderId="6" xfId="0" applyNumberFormat="1" applyFill="1" applyBorder="1"/>
    <xf numFmtId="2" fontId="0" fillId="5" borderId="31" xfId="0" applyNumberFormat="1" applyFill="1" applyBorder="1"/>
    <xf numFmtId="0" fontId="0" fillId="3" borderId="97" xfId="0" applyFill="1" applyBorder="1"/>
    <xf numFmtId="2" fontId="0" fillId="3" borderId="39" xfId="0" applyNumberFormat="1" applyFill="1" applyBorder="1"/>
    <xf numFmtId="0" fontId="0" fillId="3" borderId="39" xfId="0" applyFill="1" applyBorder="1"/>
    <xf numFmtId="0" fontId="0" fillId="3" borderId="35" xfId="0" applyFill="1" applyBorder="1"/>
    <xf numFmtId="0" fontId="0" fillId="3" borderId="40" xfId="0" applyFill="1" applyBorder="1"/>
    <xf numFmtId="0" fontId="0" fillId="3" borderId="46" xfId="0" applyFill="1" applyBorder="1"/>
    <xf numFmtId="2" fontId="0" fillId="3" borderId="46" xfId="0" applyNumberFormat="1" applyFill="1" applyBorder="1"/>
    <xf numFmtId="2" fontId="0" fillId="3" borderId="76" xfId="0" applyNumberFormat="1" applyFill="1" applyBorder="1"/>
    <xf numFmtId="2" fontId="0" fillId="0" borderId="100" xfId="0" applyNumberFormat="1" applyBorder="1"/>
    <xf numFmtId="0" fontId="0" fillId="3" borderId="86" xfId="0" applyFill="1" applyBorder="1"/>
    <xf numFmtId="2" fontId="0" fillId="3" borderId="86" xfId="0" applyNumberFormat="1" applyFill="1" applyBorder="1"/>
    <xf numFmtId="0" fontId="9" fillId="0" borderId="37" xfId="0" applyFont="1" applyBorder="1"/>
    <xf numFmtId="0" fontId="9" fillId="0" borderId="38" xfId="0" applyFont="1" applyBorder="1"/>
    <xf numFmtId="0" fontId="9" fillId="0" borderId="79" xfId="0" applyFont="1" applyBorder="1" applyAlignment="1">
      <alignment horizontal="center" vertical="center"/>
    </xf>
    <xf numFmtId="0" fontId="9" fillId="0" borderId="101" xfId="0" applyFont="1" applyBorder="1" applyAlignment="1">
      <alignment horizontal="center" vertical="center"/>
    </xf>
    <xf numFmtId="0" fontId="9" fillId="0" borderId="40" xfId="0" applyFont="1" applyBorder="1"/>
    <xf numFmtId="0" fontId="9" fillId="0" borderId="93" xfId="0" applyFont="1" applyBorder="1"/>
    <xf numFmtId="0" fontId="9" fillId="0" borderId="102" xfId="0" applyFont="1" applyBorder="1" applyAlignment="1">
      <alignment horizontal="center"/>
    </xf>
    <xf numFmtId="2" fontId="9" fillId="0" borderId="20" xfId="0" applyNumberFormat="1" applyFont="1" applyBorder="1" applyAlignment="1">
      <alignment horizontal="center"/>
    </xf>
    <xf numFmtId="2" fontId="9" fillId="0" borderId="5" xfId="0" applyNumberFormat="1" applyFont="1" applyBorder="1" applyAlignment="1">
      <alignment horizontal="center"/>
    </xf>
    <xf numFmtId="2" fontId="9" fillId="0" borderId="29" xfId="0" applyNumberFormat="1" applyFont="1" applyBorder="1" applyAlignment="1">
      <alignment horizontal="center"/>
    </xf>
    <xf numFmtId="2" fontId="9" fillId="0" borderId="8" xfId="0" applyNumberFormat="1" applyFont="1" applyBorder="1" applyAlignment="1">
      <alignment horizontal="center"/>
    </xf>
    <xf numFmtId="10" fontId="9" fillId="0" borderId="0" xfId="0" applyNumberFormat="1" applyFont="1" applyAlignment="1">
      <alignment horizontal="center"/>
    </xf>
    <xf numFmtId="0" fontId="1" fillId="0" borderId="0" xfId="10"/>
    <xf numFmtId="0" fontId="31" fillId="19" borderId="0" xfId="10" applyFont="1" applyFill="1"/>
    <xf numFmtId="0" fontId="1" fillId="0" borderId="15" xfId="10" applyBorder="1"/>
    <xf numFmtId="0" fontId="1" fillId="19" borderId="0" xfId="10" applyFill="1"/>
    <xf numFmtId="170" fontId="0" fillId="19" borderId="0" xfId="11" applyNumberFormat="1" applyFont="1" applyFill="1"/>
    <xf numFmtId="170" fontId="1" fillId="0" borderId="15" xfId="10" applyNumberFormat="1" applyBorder="1"/>
    <xf numFmtId="16" fontId="1" fillId="19" borderId="0" xfId="10" applyNumberFormat="1" applyFill="1"/>
    <xf numFmtId="0" fontId="1" fillId="0" borderId="15" xfId="10" applyBorder="1" applyAlignment="1">
      <alignment horizontal="left"/>
    </xf>
    <xf numFmtId="170" fontId="31" fillId="19" borderId="0" xfId="11" applyNumberFormat="1" applyFont="1" applyFill="1"/>
    <xf numFmtId="0" fontId="1" fillId="13" borderId="15" xfId="10" applyFill="1" applyBorder="1"/>
    <xf numFmtId="170" fontId="1" fillId="13" borderId="15" xfId="10" applyNumberFormat="1" applyFill="1" applyBorder="1"/>
    <xf numFmtId="0" fontId="7" fillId="19" borderId="37" xfId="10" applyFont="1" applyFill="1" applyBorder="1"/>
    <xf numFmtId="3" fontId="1" fillId="19" borderId="0" xfId="10" applyNumberFormat="1" applyFill="1"/>
    <xf numFmtId="0" fontId="1" fillId="13" borderId="5" xfId="10" applyFill="1" applyBorder="1"/>
    <xf numFmtId="170" fontId="1" fillId="13" borderId="29" xfId="10" applyNumberFormat="1" applyFill="1" applyBorder="1"/>
    <xf numFmtId="165" fontId="1" fillId="0" borderId="0" xfId="10" applyNumberFormat="1"/>
    <xf numFmtId="0" fontId="1" fillId="3" borderId="0" xfId="10" applyFill="1"/>
    <xf numFmtId="0" fontId="1" fillId="15" borderId="0" xfId="10" applyFill="1"/>
    <xf numFmtId="0" fontId="1" fillId="0" borderId="0" xfId="10" applyAlignment="1">
      <alignment horizontal="right"/>
    </xf>
    <xf numFmtId="1" fontId="1" fillId="0" borderId="0" xfId="10" applyNumberFormat="1"/>
    <xf numFmtId="0" fontId="1" fillId="0" borderId="0" xfId="0" applyFont="1"/>
    <xf numFmtId="165" fontId="1" fillId="0" borderId="0" xfId="0" applyNumberFormat="1" applyFont="1"/>
    <xf numFmtId="0" fontId="1" fillId="3" borderId="0" xfId="0" applyFont="1" applyFill="1"/>
    <xf numFmtId="0" fontId="1" fillId="15" borderId="0" xfId="0" applyFont="1" applyFill="1"/>
    <xf numFmtId="0" fontId="1" fillId="0" borderId="0" xfId="0" applyFont="1" applyAlignment="1">
      <alignment horizontal="right"/>
    </xf>
    <xf numFmtId="1" fontId="1" fillId="0" borderId="0" xfId="0" applyNumberFormat="1" applyFont="1"/>
    <xf numFmtId="0" fontId="33" fillId="0" borderId="0" xfId="0" applyFont="1"/>
    <xf numFmtId="0" fontId="34" fillId="4" borderId="33" xfId="0" applyFont="1" applyFill="1" applyBorder="1" applyAlignment="1">
      <alignment horizontal="center"/>
    </xf>
    <xf numFmtId="0" fontId="34" fillId="4" borderId="2" xfId="0" applyFont="1" applyFill="1" applyBorder="1" applyAlignment="1">
      <alignment horizontal="center"/>
    </xf>
    <xf numFmtId="0" fontId="34" fillId="4" borderId="32" xfId="0" applyFont="1" applyFill="1" applyBorder="1" applyAlignment="1">
      <alignment horizontal="center"/>
    </xf>
    <xf numFmtId="0" fontId="34" fillId="4" borderId="3" xfId="0" applyFont="1" applyFill="1" applyBorder="1" applyAlignment="1">
      <alignment horizontal="center"/>
    </xf>
    <xf numFmtId="0" fontId="34" fillId="4" borderId="48" xfId="0" applyFont="1" applyFill="1" applyBorder="1" applyAlignment="1">
      <alignment horizontal="center"/>
    </xf>
    <xf numFmtId="0" fontId="33" fillId="0" borderId="4" xfId="0" applyFont="1" applyBorder="1"/>
    <xf numFmtId="0" fontId="33" fillId="0" borderId="5" xfId="0" applyFont="1" applyBorder="1"/>
    <xf numFmtId="0" fontId="33" fillId="0" borderId="5" xfId="0" applyFont="1" applyBorder="1" applyAlignment="1">
      <alignment horizontal="center"/>
    </xf>
    <xf numFmtId="0" fontId="33" fillId="0" borderId="6" xfId="0" applyFont="1" applyBorder="1" applyAlignment="1">
      <alignment horizontal="center"/>
    </xf>
    <xf numFmtId="0" fontId="33" fillId="0" borderId="26" xfId="0" applyFont="1" applyBorder="1"/>
    <xf numFmtId="0" fontId="33" fillId="0" borderId="29" xfId="0" applyFont="1" applyBorder="1"/>
    <xf numFmtId="0" fontId="33" fillId="0" borderId="29" xfId="0" applyFont="1" applyBorder="1" applyAlignment="1">
      <alignment horizontal="center"/>
    </xf>
    <xf numFmtId="0" fontId="33" fillId="0" borderId="31" xfId="0" applyFont="1" applyBorder="1" applyAlignment="1">
      <alignment horizontal="center"/>
    </xf>
    <xf numFmtId="0" fontId="33" fillId="0" borderId="14" xfId="0" applyFont="1" applyBorder="1"/>
    <xf numFmtId="0" fontId="33" fillId="0" borderId="15" xfId="0" applyFont="1" applyBorder="1"/>
    <xf numFmtId="0" fontId="33" fillId="0" borderId="15" xfId="0" applyFont="1" applyBorder="1" applyAlignment="1">
      <alignment horizontal="center"/>
    </xf>
    <xf numFmtId="0" fontId="33" fillId="0" borderId="17" xfId="0" applyFont="1" applyBorder="1" applyAlignment="1">
      <alignment horizontal="center"/>
    </xf>
    <xf numFmtId="0" fontId="33" fillId="0" borderId="36" xfId="0" applyFont="1" applyBorder="1"/>
    <xf numFmtId="0" fontId="33" fillId="0" borderId="34" xfId="0" applyFont="1" applyBorder="1"/>
    <xf numFmtId="0" fontId="33" fillId="0" borderId="20" xfId="0" applyFont="1" applyBorder="1"/>
    <xf numFmtId="0" fontId="33" fillId="0" borderId="20" xfId="0" applyFont="1" applyBorder="1" applyAlignment="1">
      <alignment horizontal="center"/>
    </xf>
    <xf numFmtId="0" fontId="33" fillId="0" borderId="35" xfId="0" applyFont="1" applyBorder="1" applyAlignment="1">
      <alignment horizontal="center"/>
    </xf>
    <xf numFmtId="0" fontId="33" fillId="0" borderId="99" xfId="0" applyFont="1" applyBorder="1"/>
    <xf numFmtId="0" fontId="33" fillId="0" borderId="18" xfId="0" applyFont="1" applyBorder="1"/>
    <xf numFmtId="0" fontId="33" fillId="0" borderId="53" xfId="0" applyFont="1" applyBorder="1"/>
    <xf numFmtId="0" fontId="33" fillId="0" borderId="49" xfId="0" applyFont="1" applyBorder="1"/>
    <xf numFmtId="0" fontId="33" fillId="0" borderId="50" xfId="0" applyFont="1" applyBorder="1"/>
    <xf numFmtId="0" fontId="33" fillId="0" borderId="50" xfId="0" applyFont="1" applyBorder="1" applyAlignment="1">
      <alignment horizontal="center"/>
    </xf>
    <xf numFmtId="0" fontId="33" fillId="0" borderId="71" xfId="0" applyFont="1" applyBorder="1" applyAlignment="1">
      <alignment horizontal="center"/>
    </xf>
    <xf numFmtId="0" fontId="33" fillId="0" borderId="10" xfId="0" applyFont="1" applyBorder="1"/>
    <xf numFmtId="2" fontId="33" fillId="0" borderId="0" xfId="0" applyNumberFormat="1" applyFont="1"/>
    <xf numFmtId="2" fontId="33" fillId="4" borderId="21" xfId="0" applyNumberFormat="1" applyFont="1" applyFill="1" applyBorder="1" applyAlignment="1">
      <alignment horizontal="center"/>
    </xf>
    <xf numFmtId="9" fontId="33" fillId="4" borderId="23" xfId="1" applyFont="1" applyFill="1" applyBorder="1" applyAlignment="1">
      <alignment horizontal="center"/>
    </xf>
    <xf numFmtId="9" fontId="33" fillId="4" borderId="43" xfId="1" applyFont="1" applyFill="1" applyBorder="1" applyAlignment="1">
      <alignment horizontal="center"/>
    </xf>
    <xf numFmtId="9" fontId="33" fillId="4" borderId="75" xfId="1" applyFont="1" applyFill="1" applyBorder="1" applyAlignment="1">
      <alignment horizontal="center"/>
    </xf>
    <xf numFmtId="0" fontId="33" fillId="4" borderId="21" xfId="0" applyFont="1" applyFill="1" applyBorder="1" applyAlignment="1">
      <alignment horizontal="center" vertical="center" wrapText="1"/>
    </xf>
    <xf numFmtId="0" fontId="33" fillId="4" borderId="43" xfId="0" applyFont="1" applyFill="1" applyBorder="1" applyAlignment="1">
      <alignment horizontal="center" vertical="center" wrapText="1"/>
    </xf>
    <xf numFmtId="0" fontId="33" fillId="4" borderId="25" xfId="0" applyFont="1" applyFill="1" applyBorder="1" applyAlignment="1">
      <alignment horizontal="center" vertical="center" wrapText="1"/>
    </xf>
    <xf numFmtId="9" fontId="36" fillId="4" borderId="4" xfId="1" applyFont="1" applyFill="1" applyBorder="1" applyAlignment="1">
      <alignment horizontal="center"/>
    </xf>
    <xf numFmtId="9" fontId="36" fillId="4" borderId="18" xfId="1" applyFont="1" applyFill="1" applyBorder="1" applyAlignment="1">
      <alignment horizontal="center"/>
    </xf>
    <xf numFmtId="9" fontId="36" fillId="4" borderId="5" xfId="1" applyFont="1" applyFill="1" applyBorder="1" applyAlignment="1">
      <alignment horizontal="center"/>
    </xf>
    <xf numFmtId="9" fontId="36" fillId="4" borderId="52" xfId="1" applyFont="1" applyFill="1" applyBorder="1" applyAlignment="1">
      <alignment horizontal="center"/>
    </xf>
    <xf numFmtId="9" fontId="33" fillId="4" borderId="4" xfId="0" applyNumberFormat="1" applyFont="1" applyFill="1" applyBorder="1" applyAlignment="1">
      <alignment horizontal="center" vertical="center"/>
    </xf>
    <xf numFmtId="9" fontId="33" fillId="4" borderId="5" xfId="0" applyNumberFormat="1" applyFont="1" applyFill="1" applyBorder="1" applyAlignment="1">
      <alignment horizontal="center" vertical="center"/>
    </xf>
    <xf numFmtId="9" fontId="33" fillId="4" borderId="5" xfId="1" applyFont="1" applyFill="1" applyBorder="1" applyAlignment="1">
      <alignment horizontal="center" vertical="center" wrapText="1"/>
    </xf>
    <xf numFmtId="9" fontId="33" fillId="4" borderId="6" xfId="1" applyFont="1" applyFill="1" applyBorder="1" applyAlignment="1">
      <alignment horizontal="center" vertical="center"/>
    </xf>
    <xf numFmtId="0" fontId="33" fillId="0" borderId="21" xfId="0" applyFont="1" applyBorder="1"/>
    <xf numFmtId="0" fontId="33" fillId="0" borderId="43" xfId="0" applyFont="1" applyBorder="1"/>
    <xf numFmtId="2" fontId="33" fillId="0" borderId="75" xfId="0" applyNumberFormat="1" applyFont="1" applyBorder="1"/>
    <xf numFmtId="2" fontId="33" fillId="0" borderId="25" xfId="0" applyNumberFormat="1" applyFont="1" applyBorder="1"/>
    <xf numFmtId="2" fontId="33" fillId="0" borderId="24" xfId="0" applyNumberFormat="1" applyFont="1" applyBorder="1"/>
    <xf numFmtId="2" fontId="33" fillId="0" borderId="24" xfId="2" applyNumberFormat="1" applyFont="1" applyBorder="1"/>
    <xf numFmtId="2" fontId="33" fillId="0" borderId="25" xfId="2" applyNumberFormat="1" applyFont="1" applyBorder="1"/>
    <xf numFmtId="9" fontId="33" fillId="0" borderId="42" xfId="0" applyNumberFormat="1" applyFont="1" applyBorder="1"/>
    <xf numFmtId="9" fontId="33" fillId="0" borderId="24" xfId="0" applyNumberFormat="1" applyFont="1" applyBorder="1"/>
    <xf numFmtId="9" fontId="33" fillId="0" borderId="24" xfId="1" applyFont="1" applyBorder="1"/>
    <xf numFmtId="9" fontId="33" fillId="0" borderId="25" xfId="2" applyNumberFormat="1" applyFont="1" applyBorder="1"/>
    <xf numFmtId="2" fontId="33" fillId="0" borderId="52" xfId="0" applyNumberFormat="1" applyFont="1" applyBorder="1"/>
    <xf numFmtId="2" fontId="33" fillId="0" borderId="6" xfId="0" applyNumberFormat="1" applyFont="1" applyBorder="1"/>
    <xf numFmtId="2" fontId="33" fillId="0" borderId="37" xfId="0" applyNumberFormat="1" applyFont="1" applyBorder="1"/>
    <xf numFmtId="2" fontId="33" fillId="0" borderId="0" xfId="2" applyNumberFormat="1" applyFont="1"/>
    <xf numFmtId="2" fontId="33" fillId="0" borderId="6" xfId="2" applyNumberFormat="1" applyFont="1" applyBorder="1"/>
    <xf numFmtId="9" fontId="33" fillId="0" borderId="37" xfId="0" applyNumberFormat="1" applyFont="1" applyBorder="1"/>
    <xf numFmtId="9" fontId="33" fillId="0" borderId="0" xfId="0" applyNumberFormat="1" applyFont="1"/>
    <xf numFmtId="9" fontId="33" fillId="0" borderId="0" xfId="1" applyFont="1" applyBorder="1"/>
    <xf numFmtId="9" fontId="33" fillId="0" borderId="6" xfId="2" applyNumberFormat="1" applyFont="1" applyBorder="1"/>
    <xf numFmtId="0" fontId="33" fillId="0" borderId="7" xfId="0" applyFont="1" applyBorder="1"/>
    <xf numFmtId="0" fontId="33" fillId="0" borderId="8" xfId="0" applyFont="1" applyBorder="1"/>
    <xf numFmtId="2" fontId="33" fillId="0" borderId="74" xfId="0" applyNumberFormat="1" applyFont="1" applyBorder="1"/>
    <xf numFmtId="2" fontId="33" fillId="0" borderId="10" xfId="0" applyNumberFormat="1" applyFont="1" applyBorder="1"/>
    <xf numFmtId="2" fontId="33" fillId="0" borderId="41" xfId="0" applyNumberFormat="1" applyFont="1" applyBorder="1"/>
    <xf numFmtId="2" fontId="33" fillId="0" borderId="9" xfId="0" applyNumberFormat="1" applyFont="1" applyBorder="1"/>
    <xf numFmtId="2" fontId="33" fillId="0" borderId="9" xfId="2" applyNumberFormat="1" applyFont="1" applyBorder="1"/>
    <xf numFmtId="2" fontId="33" fillId="0" borderId="10" xfId="2" applyNumberFormat="1" applyFont="1" applyBorder="1"/>
    <xf numFmtId="9" fontId="33" fillId="0" borderId="41" xfId="0" applyNumberFormat="1" applyFont="1" applyBorder="1"/>
    <xf numFmtId="9" fontId="33" fillId="0" borderId="9" xfId="0" applyNumberFormat="1" applyFont="1" applyBorder="1"/>
    <xf numFmtId="9" fontId="33" fillId="0" borderId="9" xfId="1" applyFont="1" applyBorder="1"/>
    <xf numFmtId="9" fontId="33" fillId="0" borderId="10" xfId="2" applyNumberFormat="1" applyFont="1" applyBorder="1"/>
    <xf numFmtId="0" fontId="33" fillId="10" borderId="43" xfId="0" applyFont="1" applyFill="1" applyBorder="1"/>
    <xf numFmtId="2" fontId="33" fillId="0" borderId="42" xfId="0" applyNumberFormat="1" applyFont="1" applyBorder="1"/>
    <xf numFmtId="0" fontId="33" fillId="10" borderId="5" xfId="0" applyFont="1" applyFill="1" applyBorder="1"/>
    <xf numFmtId="0" fontId="33" fillId="10" borderId="8" xfId="0" applyFont="1" applyFill="1" applyBorder="1"/>
    <xf numFmtId="0" fontId="33" fillId="0" borderId="75" xfId="0" applyFont="1" applyBorder="1"/>
    <xf numFmtId="0" fontId="33" fillId="0" borderId="52" xfId="0" applyFont="1" applyBorder="1"/>
    <xf numFmtId="0" fontId="33" fillId="0" borderId="74" xfId="0" applyFont="1" applyBorder="1"/>
    <xf numFmtId="0" fontId="34" fillId="0" borderId="0" xfId="0" applyFont="1"/>
    <xf numFmtId="0" fontId="37" fillId="0" borderId="0" xfId="6" applyFont="1"/>
    <xf numFmtId="165" fontId="33" fillId="0" borderId="0" xfId="0" applyNumberFormat="1" applyFont="1"/>
    <xf numFmtId="0" fontId="33" fillId="0" borderId="0" xfId="0" applyFont="1" applyAlignment="1">
      <alignment textRotation="90" wrapText="1"/>
    </xf>
    <xf numFmtId="0" fontId="33" fillId="0" borderId="0" xfId="0" applyFont="1" applyAlignment="1">
      <alignment textRotation="90"/>
    </xf>
    <xf numFmtId="165" fontId="33" fillId="11" borderId="39" xfId="0" applyNumberFormat="1" applyFont="1" applyFill="1" applyBorder="1" applyAlignment="1">
      <alignment horizontal="center" textRotation="90"/>
    </xf>
    <xf numFmtId="165" fontId="33" fillId="11" borderId="95" xfId="0" applyNumberFormat="1" applyFont="1" applyFill="1" applyBorder="1" applyAlignment="1">
      <alignment horizontal="center" textRotation="90"/>
    </xf>
    <xf numFmtId="165" fontId="33" fillId="7" borderId="99" xfId="0" applyNumberFormat="1" applyFont="1" applyFill="1" applyBorder="1" applyAlignment="1">
      <alignment horizontal="center" textRotation="90"/>
    </xf>
    <xf numFmtId="165" fontId="33" fillId="7" borderId="95" xfId="0" applyNumberFormat="1" applyFont="1" applyFill="1" applyBorder="1" applyAlignment="1">
      <alignment horizontal="center" textRotation="90"/>
    </xf>
    <xf numFmtId="165" fontId="33" fillId="12" borderId="99" xfId="0" applyNumberFormat="1" applyFont="1" applyFill="1" applyBorder="1" applyAlignment="1">
      <alignment horizontal="center" textRotation="90"/>
    </xf>
    <xf numFmtId="165" fontId="33" fillId="12" borderId="95" xfId="0" applyNumberFormat="1" applyFont="1" applyFill="1" applyBorder="1" applyAlignment="1">
      <alignment horizontal="center" textRotation="90"/>
    </xf>
    <xf numFmtId="165" fontId="33" fillId="7" borderId="35" xfId="0" applyNumberFormat="1" applyFont="1" applyFill="1" applyBorder="1" applyAlignment="1">
      <alignment horizontal="center" textRotation="90"/>
    </xf>
    <xf numFmtId="2" fontId="33" fillId="0" borderId="95" xfId="0" applyNumberFormat="1" applyFont="1" applyBorder="1"/>
    <xf numFmtId="165" fontId="33" fillId="4" borderId="39" xfId="0" applyNumberFormat="1" applyFont="1" applyFill="1" applyBorder="1"/>
    <xf numFmtId="165" fontId="33" fillId="0" borderId="95" xfId="0" applyNumberFormat="1" applyFont="1" applyBorder="1"/>
    <xf numFmtId="165" fontId="33" fillId="0" borderId="39" xfId="0" applyNumberFormat="1" applyFont="1" applyBorder="1"/>
    <xf numFmtId="165" fontId="33" fillId="4" borderId="99" xfId="0" applyNumberFormat="1" applyFont="1" applyFill="1" applyBorder="1"/>
    <xf numFmtId="165" fontId="33" fillId="0" borderId="35" xfId="0" applyNumberFormat="1" applyFont="1" applyBorder="1"/>
    <xf numFmtId="2" fontId="33" fillId="0" borderId="18" xfId="0" applyNumberFormat="1" applyFont="1" applyBorder="1"/>
    <xf numFmtId="165" fontId="33" fillId="4" borderId="18" xfId="0" applyNumberFormat="1" applyFont="1" applyFill="1" applyBorder="1"/>
    <xf numFmtId="165" fontId="33" fillId="4" borderId="0" xfId="0" applyNumberFormat="1" applyFont="1" applyFill="1"/>
    <xf numFmtId="165" fontId="33" fillId="0" borderId="11" xfId="0" applyNumberFormat="1" applyFont="1" applyBorder="1"/>
    <xf numFmtId="165" fontId="33" fillId="4" borderId="6" xfId="0" applyNumberFormat="1" applyFont="1" applyFill="1" applyBorder="1"/>
    <xf numFmtId="165" fontId="33" fillId="0" borderId="18" xfId="0" applyNumberFormat="1" applyFont="1" applyBorder="1"/>
    <xf numFmtId="165" fontId="33" fillId="0" borderId="6" xfId="0" applyNumberFormat="1" applyFont="1" applyBorder="1"/>
    <xf numFmtId="165" fontId="33" fillId="4" borderId="11" xfId="0" applyNumberFormat="1" applyFont="1" applyFill="1" applyBorder="1"/>
    <xf numFmtId="2" fontId="33" fillId="0" borderId="19" xfId="0" applyNumberFormat="1" applyFont="1" applyBorder="1"/>
    <xf numFmtId="165" fontId="33" fillId="0" borderId="9" xfId="0" applyNumberFormat="1" applyFont="1" applyBorder="1"/>
    <xf numFmtId="165" fontId="33" fillId="4" borderId="19" xfId="0" applyNumberFormat="1" applyFont="1" applyFill="1" applyBorder="1"/>
    <xf numFmtId="165" fontId="33" fillId="4" borderId="9" xfId="0" applyNumberFormat="1" applyFont="1" applyFill="1" applyBorder="1"/>
    <xf numFmtId="165" fontId="33" fillId="0" borderId="12" xfId="0" applyNumberFormat="1" applyFont="1" applyBorder="1"/>
    <xf numFmtId="165" fontId="33" fillId="4" borderId="10" xfId="0" applyNumberFormat="1" applyFont="1" applyFill="1" applyBorder="1"/>
    <xf numFmtId="2" fontId="33" fillId="0" borderId="23" xfId="0" applyNumberFormat="1" applyFont="1" applyBorder="1"/>
    <xf numFmtId="165" fontId="33" fillId="4" borderId="22" xfId="0" applyNumberFormat="1" applyFont="1" applyFill="1" applyBorder="1"/>
    <xf numFmtId="165" fontId="33" fillId="0" borderId="23" xfId="0" applyNumberFormat="1" applyFont="1" applyBorder="1"/>
    <xf numFmtId="165" fontId="33" fillId="0" borderId="25" xfId="0" applyNumberFormat="1" applyFont="1" applyBorder="1"/>
    <xf numFmtId="165" fontId="33" fillId="4" borderId="0" xfId="1" applyNumberFormat="1" applyFont="1" applyFill="1" applyBorder="1"/>
    <xf numFmtId="165" fontId="33" fillId="0" borderId="18" xfId="1" applyNumberFormat="1" applyFont="1" applyBorder="1"/>
    <xf numFmtId="165" fontId="33" fillId="0" borderId="0" xfId="1" applyNumberFormat="1" applyFont="1" applyBorder="1"/>
    <xf numFmtId="165" fontId="33" fillId="4" borderId="11" xfId="1" applyNumberFormat="1" applyFont="1" applyFill="1" applyBorder="1"/>
    <xf numFmtId="165" fontId="33" fillId="0" borderId="6" xfId="1" applyNumberFormat="1" applyFont="1" applyBorder="1"/>
    <xf numFmtId="165" fontId="33" fillId="4" borderId="18" xfId="1" applyNumberFormat="1" applyFont="1" applyFill="1" applyBorder="1"/>
    <xf numFmtId="165" fontId="33" fillId="0" borderId="0" xfId="1" applyNumberFormat="1" applyFont="1" applyFill="1" applyBorder="1"/>
    <xf numFmtId="165" fontId="33" fillId="0" borderId="11" xfId="1" applyNumberFormat="1" applyFont="1" applyBorder="1"/>
    <xf numFmtId="165" fontId="33" fillId="4" borderId="6" xfId="1" applyNumberFormat="1" applyFont="1" applyFill="1" applyBorder="1"/>
    <xf numFmtId="165" fontId="33" fillId="0" borderId="11" xfId="1" applyNumberFormat="1" applyFont="1" applyFill="1" applyBorder="1"/>
    <xf numFmtId="165" fontId="33" fillId="0" borderId="18" xfId="1" applyNumberFormat="1" applyFont="1" applyFill="1" applyBorder="1"/>
    <xf numFmtId="165" fontId="33" fillId="0" borderId="6" xfId="1" applyNumberFormat="1" applyFont="1" applyFill="1" applyBorder="1"/>
    <xf numFmtId="165" fontId="33" fillId="0" borderId="9" xfId="1" applyNumberFormat="1" applyFont="1" applyBorder="1"/>
    <xf numFmtId="165" fontId="33" fillId="4" borderId="19" xfId="1" applyNumberFormat="1" applyFont="1" applyFill="1" applyBorder="1"/>
    <xf numFmtId="165" fontId="33" fillId="0" borderId="9" xfId="1" applyNumberFormat="1" applyFont="1" applyFill="1" applyBorder="1"/>
    <xf numFmtId="165" fontId="33" fillId="4" borderId="9" xfId="1" applyNumberFormat="1" applyFont="1" applyFill="1" applyBorder="1"/>
    <xf numFmtId="165" fontId="33" fillId="0" borderId="12" xfId="1" applyNumberFormat="1" applyFont="1" applyBorder="1"/>
    <xf numFmtId="165" fontId="33" fillId="4" borderId="10" xfId="1" applyNumberFormat="1" applyFont="1" applyFill="1" applyBorder="1"/>
    <xf numFmtId="0" fontId="34" fillId="0" borderId="58" xfId="0" applyFont="1" applyBorder="1" applyAlignment="1">
      <alignment horizontal="left" vertical="center"/>
    </xf>
    <xf numFmtId="0" fontId="39" fillId="13" borderId="58" xfId="0" applyFont="1" applyFill="1" applyBorder="1" applyAlignment="1">
      <alignment horizontal="left" vertical="center" wrapText="1"/>
    </xf>
    <xf numFmtId="0" fontId="39" fillId="21" borderId="60" xfId="0" applyFont="1" applyFill="1" applyBorder="1" applyAlignment="1">
      <alignment horizontal="center" vertical="center" wrapText="1"/>
    </xf>
    <xf numFmtId="0" fontId="34" fillId="21" borderId="57" xfId="0" applyFont="1" applyFill="1" applyBorder="1" applyAlignment="1">
      <alignment horizontal="center"/>
    </xf>
    <xf numFmtId="0" fontId="34" fillId="21" borderId="61" xfId="0" applyFont="1" applyFill="1" applyBorder="1" applyAlignment="1">
      <alignment horizontal="center"/>
    </xf>
    <xf numFmtId="3" fontId="34" fillId="21" borderId="62" xfId="0" applyNumberFormat="1" applyFont="1" applyFill="1" applyBorder="1" applyAlignment="1">
      <alignment horizontal="center" vertical="center" wrapText="1"/>
    </xf>
    <xf numFmtId="0" fontId="34" fillId="21" borderId="62" xfId="0" applyFont="1" applyFill="1" applyBorder="1" applyAlignment="1">
      <alignment horizontal="center" vertical="center" wrapText="1"/>
    </xf>
    <xf numFmtId="0" fontId="34" fillId="21" borderId="56" xfId="0" applyFont="1" applyFill="1" applyBorder="1" applyAlignment="1">
      <alignment horizontal="center" vertical="center" wrapText="1"/>
    </xf>
    <xf numFmtId="0" fontId="34" fillId="21" borderId="55" xfId="0" applyFont="1" applyFill="1" applyBorder="1" applyAlignment="1">
      <alignment horizontal="center" vertical="center" wrapText="1"/>
    </xf>
    <xf numFmtId="3" fontId="34" fillId="21" borderId="54" xfId="0" applyNumberFormat="1" applyFont="1" applyFill="1" applyBorder="1" applyAlignment="1">
      <alignment horizontal="center" vertical="center" wrapText="1"/>
    </xf>
    <xf numFmtId="3" fontId="34" fillId="21" borderId="55" xfId="0" applyNumberFormat="1" applyFont="1" applyFill="1" applyBorder="1" applyAlignment="1">
      <alignment horizontal="center" vertical="center" wrapText="1"/>
    </xf>
    <xf numFmtId="3" fontId="34" fillId="21" borderId="61" xfId="0" applyNumberFormat="1" applyFont="1" applyFill="1" applyBorder="1" applyAlignment="1">
      <alignment horizontal="center" vertical="center" wrapText="1"/>
    </xf>
    <xf numFmtId="4" fontId="39" fillId="21" borderId="55" xfId="0" applyNumberFormat="1" applyFont="1" applyFill="1" applyBorder="1" applyAlignment="1">
      <alignment horizontal="center" vertical="center" wrapText="1"/>
    </xf>
    <xf numFmtId="3" fontId="34" fillId="21" borderId="56" xfId="0" applyNumberFormat="1" applyFont="1" applyFill="1" applyBorder="1" applyAlignment="1">
      <alignment horizontal="center" vertical="center" wrapText="1"/>
    </xf>
    <xf numFmtId="0" fontId="33" fillId="0" borderId="45" xfId="0" applyFont="1" applyBorder="1"/>
    <xf numFmtId="167" fontId="40" fillId="15" borderId="22" xfId="0" applyNumberFormat="1" applyFont="1" applyFill="1" applyBorder="1" applyAlignment="1" applyProtection="1">
      <alignment wrapText="1"/>
      <protection locked="0"/>
    </xf>
    <xf numFmtId="167" fontId="40" fillId="15" borderId="23" xfId="0" applyNumberFormat="1" applyFont="1" applyFill="1" applyBorder="1" applyAlignment="1" applyProtection="1">
      <alignment wrapText="1"/>
      <protection locked="0"/>
    </xf>
    <xf numFmtId="3" fontId="33" fillId="0" borderId="43" xfId="0" applyNumberFormat="1" applyFont="1" applyBorder="1"/>
    <xf numFmtId="1" fontId="33" fillId="0" borderId="43" xfId="0" applyNumberFormat="1" applyFont="1" applyBorder="1"/>
    <xf numFmtId="3" fontId="33" fillId="0" borderId="25" xfId="0" applyNumberFormat="1" applyFont="1" applyBorder="1"/>
    <xf numFmtId="3" fontId="33" fillId="0" borderId="0" xfId="0" applyNumberFormat="1" applyFont="1"/>
    <xf numFmtId="3" fontId="33" fillId="0" borderId="37" xfId="0" applyNumberFormat="1" applyFont="1" applyBorder="1"/>
    <xf numFmtId="3" fontId="33" fillId="0" borderId="18" xfId="0" applyNumberFormat="1" applyFont="1" applyBorder="1"/>
    <xf numFmtId="3" fontId="33" fillId="0" borderId="6" xfId="0" applyNumberFormat="1" applyFont="1" applyBorder="1"/>
    <xf numFmtId="167" fontId="40" fillId="15" borderId="11" xfId="0" applyNumberFormat="1" applyFont="1" applyFill="1" applyBorder="1" applyAlignment="1" applyProtection="1">
      <alignment wrapText="1"/>
      <protection locked="0"/>
    </xf>
    <xf numFmtId="167" fontId="40" fillId="15" borderId="18" xfId="0" applyNumberFormat="1" applyFont="1" applyFill="1" applyBorder="1" applyAlignment="1" applyProtection="1">
      <alignment wrapText="1"/>
      <protection locked="0"/>
    </xf>
    <xf numFmtId="3" fontId="33" fillId="0" borderId="5" xfId="0" applyNumberFormat="1" applyFont="1" applyBorder="1"/>
    <xf numFmtId="1" fontId="33" fillId="0" borderId="5" xfId="0" applyNumberFormat="1" applyFont="1" applyBorder="1"/>
    <xf numFmtId="3" fontId="33" fillId="9" borderId="0" xfId="0" applyNumberFormat="1" applyFont="1" applyFill="1"/>
    <xf numFmtId="3" fontId="33" fillId="11" borderId="37" xfId="0" applyNumberFormat="1" applyFont="1" applyFill="1" applyBorder="1"/>
    <xf numFmtId="3" fontId="33" fillId="11" borderId="0" xfId="0" applyNumberFormat="1" applyFont="1" applyFill="1"/>
    <xf numFmtId="3" fontId="33" fillId="11" borderId="18" xfId="0" applyNumberFormat="1" applyFont="1" applyFill="1" applyBorder="1"/>
    <xf numFmtId="3" fontId="33" fillId="11" borderId="6" xfId="0" applyNumberFormat="1" applyFont="1" applyFill="1" applyBorder="1"/>
    <xf numFmtId="3" fontId="33" fillId="21" borderId="55" xfId="0" applyNumberFormat="1" applyFont="1" applyFill="1" applyBorder="1"/>
    <xf numFmtId="0" fontId="33" fillId="19" borderId="37" xfId="0" applyFont="1" applyFill="1" applyBorder="1" applyAlignment="1">
      <alignment horizontal="left" vertical="top"/>
    </xf>
    <xf numFmtId="0" fontId="33" fillId="0" borderId="37" xfId="0" applyFont="1" applyBorder="1" applyAlignment="1">
      <alignment horizontal="left" vertical="top"/>
    </xf>
    <xf numFmtId="167" fontId="40" fillId="15" borderId="12" xfId="0" applyNumberFormat="1" applyFont="1" applyFill="1" applyBorder="1" applyAlignment="1" applyProtection="1">
      <alignment wrapText="1"/>
      <protection locked="0"/>
    </xf>
    <xf numFmtId="167" fontId="40" fillId="15" borderId="19" xfId="0" applyNumberFormat="1" applyFont="1" applyFill="1" applyBorder="1" applyAlignment="1" applyProtection="1">
      <alignment wrapText="1"/>
      <protection locked="0"/>
    </xf>
    <xf numFmtId="3" fontId="33" fillId="0" borderId="8" xfId="0" applyNumberFormat="1" applyFont="1" applyBorder="1"/>
    <xf numFmtId="1" fontId="33" fillId="0" borderId="8" xfId="0" applyNumberFormat="1" applyFont="1" applyBorder="1"/>
    <xf numFmtId="0" fontId="34" fillId="21" borderId="57" xfId="0" applyFont="1" applyFill="1" applyBorder="1" applyAlignment="1">
      <alignment horizontal="center" vertical="center" wrapText="1"/>
    </xf>
    <xf numFmtId="3" fontId="33" fillId="21" borderId="77" xfId="0" applyNumberFormat="1" applyFont="1" applyFill="1" applyBorder="1"/>
    <xf numFmtId="0" fontId="33" fillId="0" borderId="44" xfId="0" applyFont="1" applyBorder="1"/>
    <xf numFmtId="3" fontId="33" fillId="0" borderId="24" xfId="0" applyNumberFormat="1" applyFont="1" applyBorder="1"/>
    <xf numFmtId="3" fontId="33" fillId="0" borderId="42" xfId="0" applyNumberFormat="1" applyFont="1" applyBorder="1"/>
    <xf numFmtId="0" fontId="33" fillId="0" borderId="47" xfId="0" applyFont="1" applyBorder="1"/>
    <xf numFmtId="3" fontId="33" fillId="0" borderId="10" xfId="0" applyNumberFormat="1" applyFont="1" applyBorder="1"/>
    <xf numFmtId="3" fontId="33" fillId="9" borderId="9" xfId="0" applyNumberFormat="1" applyFont="1" applyFill="1" applyBorder="1"/>
    <xf numFmtId="3" fontId="33" fillId="11" borderId="41" xfId="0" applyNumberFormat="1" applyFont="1" applyFill="1" applyBorder="1"/>
    <xf numFmtId="3" fontId="33" fillId="11" borderId="9" xfId="0" applyNumberFormat="1" applyFont="1" applyFill="1" applyBorder="1"/>
    <xf numFmtId="3" fontId="33" fillId="11" borderId="10" xfId="0" applyNumberFormat="1" applyFont="1" applyFill="1" applyBorder="1"/>
    <xf numFmtId="0" fontId="35" fillId="0" borderId="0" xfId="0" applyFont="1"/>
    <xf numFmtId="0" fontId="34" fillId="0" borderId="0" xfId="0" applyFont="1" applyAlignment="1">
      <alignment horizontal="left" vertical="top"/>
    </xf>
    <xf numFmtId="0" fontId="33" fillId="0" borderId="0" xfId="0" applyFont="1" applyAlignment="1">
      <alignment wrapText="1"/>
    </xf>
    <xf numFmtId="0" fontId="33" fillId="0" borderId="0" xfId="0" applyFont="1" applyAlignment="1">
      <alignment horizontal="left" vertical="top"/>
    </xf>
    <xf numFmtId="0" fontId="33" fillId="20" borderId="37" xfId="0" applyFont="1" applyFill="1" applyBorder="1" applyAlignment="1">
      <alignment horizontal="left" vertical="top"/>
    </xf>
    <xf numFmtId="0" fontId="33" fillId="19" borderId="44" xfId="0" applyFont="1" applyFill="1" applyBorder="1" applyAlignment="1">
      <alignment horizontal="left" vertical="top"/>
    </xf>
    <xf numFmtId="3" fontId="33" fillId="0" borderId="23" xfId="0" applyNumberFormat="1" applyFont="1" applyBorder="1"/>
    <xf numFmtId="0" fontId="33" fillId="0" borderId="41" xfId="0" applyFont="1" applyBorder="1" applyAlignment="1">
      <alignment horizontal="left" vertical="top"/>
    </xf>
    <xf numFmtId="3" fontId="33" fillId="11" borderId="19" xfId="0" applyNumberFormat="1" applyFont="1" applyFill="1" applyBorder="1"/>
    <xf numFmtId="3" fontId="34" fillId="21" borderId="41" xfId="0" applyNumberFormat="1" applyFont="1" applyFill="1" applyBorder="1" applyAlignment="1">
      <alignment horizontal="center" vertical="center" wrapText="1"/>
    </xf>
    <xf numFmtId="3" fontId="34" fillId="21" borderId="9" xfId="0" applyNumberFormat="1" applyFont="1" applyFill="1" applyBorder="1" applyAlignment="1">
      <alignment horizontal="center" vertical="center" wrapText="1"/>
    </xf>
    <xf numFmtId="3" fontId="34" fillId="21" borderId="10" xfId="0" applyNumberFormat="1" applyFont="1" applyFill="1" applyBorder="1" applyAlignment="1">
      <alignment horizontal="center" vertical="center" wrapText="1"/>
    </xf>
    <xf numFmtId="0" fontId="33" fillId="20" borderId="44" xfId="0" applyFont="1" applyFill="1" applyBorder="1" applyAlignment="1">
      <alignment horizontal="left" vertical="top"/>
    </xf>
    <xf numFmtId="0" fontId="41" fillId="0" borderId="0" xfId="0" applyFont="1"/>
    <xf numFmtId="0" fontId="42" fillId="0" borderId="0" xfId="0" applyFont="1" applyAlignment="1">
      <alignment horizontal="left" vertical="top"/>
    </xf>
    <xf numFmtId="0" fontId="43" fillId="0" borderId="0" xfId="0" applyFont="1"/>
    <xf numFmtId="3" fontId="43" fillId="0" borderId="0" xfId="0" applyNumberFormat="1" applyFont="1"/>
    <xf numFmtId="0" fontId="42" fillId="0" borderId="58" xfId="0" applyFont="1" applyBorder="1" applyAlignment="1">
      <alignment horizontal="left" vertical="center"/>
    </xf>
    <xf numFmtId="0" fontId="44" fillId="13" borderId="58" xfId="0" applyFont="1" applyFill="1" applyBorder="1" applyAlignment="1">
      <alignment horizontal="left" vertical="center" wrapText="1"/>
    </xf>
    <xf numFmtId="0" fontId="44" fillId="21" borderId="60" xfId="0" applyFont="1" applyFill="1" applyBorder="1" applyAlignment="1">
      <alignment horizontal="center" vertical="center" wrapText="1"/>
    </xf>
    <xf numFmtId="0" fontId="42" fillId="21" borderId="57" xfId="0" applyFont="1" applyFill="1" applyBorder="1" applyAlignment="1">
      <alignment horizontal="center"/>
    </xf>
    <xf numFmtId="0" fontId="42" fillId="21" borderId="61" xfId="0" applyFont="1" applyFill="1" applyBorder="1" applyAlignment="1">
      <alignment horizontal="center"/>
    </xf>
    <xf numFmtId="3" fontId="42" fillId="21" borderId="62" xfId="0" applyNumberFormat="1" applyFont="1" applyFill="1" applyBorder="1" applyAlignment="1">
      <alignment horizontal="center" vertical="center" wrapText="1"/>
    </xf>
    <xf numFmtId="0" fontId="42" fillId="21" borderId="62" xfId="0" applyFont="1" applyFill="1" applyBorder="1" applyAlignment="1">
      <alignment horizontal="center" vertical="center" wrapText="1"/>
    </xf>
    <xf numFmtId="0" fontId="42" fillId="21" borderId="56" xfId="0" applyFont="1" applyFill="1" applyBorder="1" applyAlignment="1">
      <alignment horizontal="center" vertical="center" wrapText="1"/>
    </xf>
    <xf numFmtId="0" fontId="42" fillId="21" borderId="55" xfId="0" applyFont="1" applyFill="1" applyBorder="1" applyAlignment="1">
      <alignment horizontal="center" vertical="center" wrapText="1"/>
    </xf>
    <xf numFmtId="3" fontId="42" fillId="21" borderId="54" xfId="0" applyNumberFormat="1" applyFont="1" applyFill="1" applyBorder="1" applyAlignment="1">
      <alignment horizontal="center" vertical="center" wrapText="1"/>
    </xf>
    <xf numFmtId="3" fontId="42" fillId="21" borderId="55" xfId="0" applyNumberFormat="1" applyFont="1" applyFill="1" applyBorder="1" applyAlignment="1">
      <alignment horizontal="center" vertical="center" wrapText="1"/>
    </xf>
    <xf numFmtId="3" fontId="42" fillId="21" borderId="61" xfId="0" applyNumberFormat="1" applyFont="1" applyFill="1" applyBorder="1" applyAlignment="1">
      <alignment horizontal="center" vertical="center" wrapText="1"/>
    </xf>
    <xf numFmtId="4" fontId="44" fillId="21" borderId="55" xfId="0" applyNumberFormat="1" applyFont="1" applyFill="1" applyBorder="1" applyAlignment="1">
      <alignment horizontal="center" vertical="center" wrapText="1"/>
    </xf>
    <xf numFmtId="3" fontId="42" fillId="21" borderId="56" xfId="0" applyNumberFormat="1" applyFont="1" applyFill="1" applyBorder="1" applyAlignment="1">
      <alignment horizontal="center" vertical="center" wrapText="1"/>
    </xf>
    <xf numFmtId="0" fontId="43" fillId="0" borderId="45" xfId="0" applyFont="1" applyBorder="1"/>
    <xf numFmtId="0" fontId="43" fillId="20" borderId="37" xfId="0" applyFont="1" applyFill="1" applyBorder="1" applyAlignment="1">
      <alignment horizontal="left" vertical="top"/>
    </xf>
    <xf numFmtId="0" fontId="43" fillId="0" borderId="21" xfId="0" applyFont="1" applyBorder="1"/>
    <xf numFmtId="167" fontId="45" fillId="15" borderId="22" xfId="0" applyNumberFormat="1" applyFont="1" applyFill="1" applyBorder="1" applyAlignment="1" applyProtection="1">
      <alignment wrapText="1"/>
      <protection locked="0"/>
    </xf>
    <xf numFmtId="167" fontId="45" fillId="15" borderId="23" xfId="0" applyNumberFormat="1" applyFont="1" applyFill="1" applyBorder="1" applyAlignment="1" applyProtection="1">
      <alignment wrapText="1"/>
      <protection locked="0"/>
    </xf>
    <xf numFmtId="3" fontId="43" fillId="0" borderId="43" xfId="0" applyNumberFormat="1" applyFont="1" applyBorder="1"/>
    <xf numFmtId="1" fontId="43" fillId="0" borderId="43" xfId="0" applyNumberFormat="1" applyFont="1" applyBorder="1"/>
    <xf numFmtId="3" fontId="43" fillId="0" borderId="25" xfId="0" applyNumberFormat="1" applyFont="1" applyBorder="1"/>
    <xf numFmtId="3" fontId="43" fillId="0" borderId="37" xfId="0" applyNumberFormat="1" applyFont="1" applyBorder="1"/>
    <xf numFmtId="3" fontId="43" fillId="0" borderId="18" xfId="0" applyNumberFormat="1" applyFont="1" applyBorder="1"/>
    <xf numFmtId="3" fontId="43" fillId="0" borderId="6" xfId="0" applyNumberFormat="1" applyFont="1" applyBorder="1"/>
    <xf numFmtId="0" fontId="43" fillId="0" borderId="37" xfId="0" applyFont="1" applyBorder="1" applyAlignment="1">
      <alignment horizontal="left" vertical="top"/>
    </xf>
    <xf numFmtId="0" fontId="43" fillId="0" borderId="4" xfId="0" applyFont="1" applyBorder="1"/>
    <xf numFmtId="167" fontId="45" fillId="15" borderId="11" xfId="0" applyNumberFormat="1" applyFont="1" applyFill="1" applyBorder="1" applyAlignment="1" applyProtection="1">
      <alignment wrapText="1"/>
      <protection locked="0"/>
    </xf>
    <xf numFmtId="167" fontId="45" fillId="15" borderId="18" xfId="0" applyNumberFormat="1" applyFont="1" applyFill="1" applyBorder="1" applyAlignment="1" applyProtection="1">
      <alignment wrapText="1"/>
      <protection locked="0"/>
    </xf>
    <xf numFmtId="3" fontId="43" fillId="0" borderId="5" xfId="0" applyNumberFormat="1" applyFont="1" applyBorder="1"/>
    <xf numFmtId="1" fontId="43" fillId="0" borderId="5" xfId="0" applyNumberFormat="1" applyFont="1" applyBorder="1"/>
    <xf numFmtId="0" fontId="43" fillId="0" borderId="47" xfId="0" applyFont="1" applyBorder="1"/>
    <xf numFmtId="0" fontId="43" fillId="0" borderId="41" xfId="0" applyFont="1" applyBorder="1" applyAlignment="1">
      <alignment horizontal="left" vertical="top"/>
    </xf>
    <xf numFmtId="0" fontId="43" fillId="0" borderId="7" xfId="0" applyFont="1" applyBorder="1"/>
    <xf numFmtId="167" fontId="45" fillId="15" borderId="12" xfId="0" applyNumberFormat="1" applyFont="1" applyFill="1" applyBorder="1" applyAlignment="1" applyProtection="1">
      <alignment wrapText="1"/>
      <protection locked="0"/>
    </xf>
    <xf numFmtId="167" fontId="45" fillId="15" borderId="19" xfId="0" applyNumberFormat="1" applyFont="1" applyFill="1" applyBorder="1" applyAlignment="1" applyProtection="1">
      <alignment wrapText="1"/>
      <protection locked="0"/>
    </xf>
    <xf numFmtId="3" fontId="43" fillId="0" borderId="8" xfId="0" applyNumberFormat="1" applyFont="1" applyBorder="1"/>
    <xf numFmtId="1" fontId="43" fillId="0" borderId="8" xfId="0" applyNumberFormat="1" applyFont="1" applyBorder="1"/>
    <xf numFmtId="3" fontId="43" fillId="11" borderId="0" xfId="0" applyNumberFormat="1" applyFont="1" applyFill="1"/>
    <xf numFmtId="3" fontId="43" fillId="11" borderId="41" xfId="0" applyNumberFormat="1" applyFont="1" applyFill="1" applyBorder="1"/>
    <xf numFmtId="3" fontId="43" fillId="11" borderId="9" xfId="0" applyNumberFormat="1" applyFont="1" applyFill="1" applyBorder="1"/>
    <xf numFmtId="3" fontId="43" fillId="11" borderId="19" xfId="0" applyNumberFormat="1" applyFont="1" applyFill="1" applyBorder="1"/>
    <xf numFmtId="3" fontId="43" fillId="11" borderId="10" xfId="0" applyNumberFormat="1" applyFont="1" applyFill="1" applyBorder="1"/>
    <xf numFmtId="0" fontId="43" fillId="0" borderId="44" xfId="0" applyFont="1" applyBorder="1"/>
    <xf numFmtId="0" fontId="43" fillId="20" borderId="44" xfId="0" applyFont="1" applyFill="1" applyBorder="1" applyAlignment="1">
      <alignment horizontal="left" vertical="top"/>
    </xf>
    <xf numFmtId="3" fontId="43" fillId="0" borderId="24" xfId="0" applyNumberFormat="1" applyFont="1" applyBorder="1"/>
    <xf numFmtId="3" fontId="43" fillId="0" borderId="42" xfId="0" applyNumberFormat="1" applyFont="1" applyBorder="1"/>
    <xf numFmtId="3" fontId="43" fillId="0" borderId="23" xfId="0" applyNumberFormat="1" applyFont="1" applyBorder="1"/>
    <xf numFmtId="3" fontId="43" fillId="0" borderId="10" xfId="0" applyNumberFormat="1" applyFont="1" applyBorder="1"/>
    <xf numFmtId="0" fontId="43" fillId="0" borderId="0" xfId="0" applyFont="1" applyAlignment="1">
      <alignment horizontal="left" vertical="top"/>
    </xf>
    <xf numFmtId="0" fontId="34" fillId="0" borderId="76" xfId="0" applyFont="1" applyBorder="1" applyAlignment="1">
      <alignment horizontal="center" vertical="center"/>
    </xf>
    <xf numFmtId="0" fontId="34" fillId="0" borderId="67" xfId="0" applyFont="1" applyBorder="1" applyAlignment="1">
      <alignment horizontal="center" vertical="center"/>
    </xf>
    <xf numFmtId="0" fontId="34" fillId="0" borderId="68" xfId="0" applyFont="1" applyBorder="1" applyAlignment="1">
      <alignment horizontal="center" vertical="center"/>
    </xf>
    <xf numFmtId="0" fontId="34" fillId="10" borderId="60" xfId="0" applyFont="1" applyFill="1" applyBorder="1" applyAlignment="1">
      <alignment horizontal="center" textRotation="90"/>
    </xf>
    <xf numFmtId="0" fontId="34" fillId="10" borderId="62" xfId="0" applyFont="1" applyFill="1" applyBorder="1" applyAlignment="1">
      <alignment horizontal="center" textRotation="90"/>
    </xf>
    <xf numFmtId="0" fontId="34" fillId="10" borderId="77" xfId="0" applyFont="1" applyFill="1" applyBorder="1" applyAlignment="1">
      <alignment horizontal="center" textRotation="90"/>
    </xf>
    <xf numFmtId="0" fontId="33" fillId="0" borderId="76" xfId="0" applyFont="1" applyBorder="1" applyAlignment="1">
      <alignment horizontal="center" vertical="center"/>
    </xf>
    <xf numFmtId="0" fontId="33" fillId="0" borderId="30" xfId="0" applyFont="1" applyBorder="1" applyAlignment="1">
      <alignment horizontal="center" vertical="center"/>
    </xf>
    <xf numFmtId="168" fontId="33" fillId="0" borderId="26" xfId="0" applyNumberFormat="1" applyFont="1" applyBorder="1"/>
    <xf numFmtId="168" fontId="33" fillId="0" borderId="29" xfId="0" applyNumberFormat="1" applyFont="1" applyBorder="1"/>
    <xf numFmtId="0" fontId="33" fillId="0" borderId="67" xfId="0" applyFont="1" applyBorder="1" applyAlignment="1">
      <alignment horizontal="center" vertical="center"/>
    </xf>
    <xf numFmtId="0" fontId="33" fillId="0" borderId="69" xfId="0" applyFont="1" applyBorder="1" applyAlignment="1">
      <alignment horizontal="center" vertical="center"/>
    </xf>
    <xf numFmtId="168" fontId="33" fillId="0" borderId="14" xfId="0" applyNumberFormat="1" applyFont="1" applyBorder="1"/>
    <xf numFmtId="168" fontId="33" fillId="0" borderId="15" xfId="0" applyNumberFormat="1" applyFont="1" applyBorder="1"/>
    <xf numFmtId="168" fontId="33" fillId="0" borderId="36" xfId="0" applyNumberFormat="1" applyFont="1" applyBorder="1"/>
    <xf numFmtId="0" fontId="33" fillId="0" borderId="68" xfId="0" applyFont="1" applyBorder="1" applyAlignment="1">
      <alignment horizontal="center" vertical="center"/>
    </xf>
    <xf numFmtId="0" fontId="33" fillId="0" borderId="72" xfId="0" applyFont="1" applyBorder="1" applyAlignment="1">
      <alignment horizontal="center" vertical="center"/>
    </xf>
    <xf numFmtId="168" fontId="33" fillId="0" borderId="49" xfId="0" applyNumberFormat="1" applyFont="1" applyBorder="1"/>
    <xf numFmtId="168" fontId="33" fillId="0" borderId="50" xfId="0" applyNumberFormat="1" applyFont="1" applyBorder="1"/>
    <xf numFmtId="0" fontId="33" fillId="0" borderId="51" xfId="0" applyFont="1" applyBorder="1"/>
    <xf numFmtId="0" fontId="33" fillId="0" borderId="0" xfId="0" applyFont="1" applyAlignment="1">
      <alignment horizontal="center" vertical="center"/>
    </xf>
    <xf numFmtId="168" fontId="33" fillId="0" borderId="0" xfId="0" applyNumberFormat="1" applyFont="1"/>
    <xf numFmtId="0" fontId="34" fillId="0" borderId="0" xfId="0" applyFont="1" applyAlignment="1">
      <alignment horizontal="center" vertical="center"/>
    </xf>
    <xf numFmtId="3" fontId="5" fillId="15" borderId="35" xfId="0" applyNumberFormat="1" applyFont="1" applyFill="1" applyBorder="1" applyAlignment="1">
      <alignment horizontal="center" vertical="center" wrapText="1"/>
    </xf>
    <xf numFmtId="3" fontId="5" fillId="15" borderId="6" xfId="0" applyNumberFormat="1" applyFont="1" applyFill="1" applyBorder="1" applyAlignment="1">
      <alignment horizontal="center" vertical="center" wrapText="1"/>
    </xf>
    <xf numFmtId="0" fontId="5" fillId="5" borderId="42" xfId="0" applyFont="1" applyFill="1" applyBorder="1" applyAlignment="1">
      <alignment horizontal="center"/>
    </xf>
    <xf numFmtId="0" fontId="5" fillId="5" borderId="25" xfId="0" applyFont="1" applyFill="1" applyBorder="1" applyAlignment="1">
      <alignment horizontal="center"/>
    </xf>
    <xf numFmtId="0" fontId="5" fillId="5" borderId="24"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0" xfId="0" applyFont="1" applyFill="1" applyAlignment="1">
      <alignment horizontal="center" vertical="center" wrapText="1"/>
    </xf>
    <xf numFmtId="0" fontId="5" fillId="5" borderId="6"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5" fillId="5" borderId="31" xfId="0" applyFont="1" applyFill="1" applyBorder="1" applyAlignment="1">
      <alignment horizontal="center" vertical="center" wrapText="1"/>
    </xf>
    <xf numFmtId="9" fontId="5" fillId="5" borderId="37" xfId="0" applyNumberFormat="1" applyFont="1" applyFill="1" applyBorder="1" applyAlignment="1">
      <alignment horizontal="center" vertical="center"/>
    </xf>
    <xf numFmtId="9" fontId="5" fillId="5" borderId="6" xfId="0" applyNumberFormat="1" applyFont="1" applyFill="1" applyBorder="1" applyAlignment="1">
      <alignment horizontal="center" vertical="center"/>
    </xf>
    <xf numFmtId="0" fontId="5" fillId="5" borderId="38" xfId="0" applyFont="1" applyFill="1" applyBorder="1" applyAlignment="1">
      <alignment horizontal="center" vertical="top"/>
    </xf>
    <xf numFmtId="0" fontId="5" fillId="5" borderId="31" xfId="0" applyFont="1" applyFill="1" applyBorder="1" applyAlignment="1">
      <alignment horizontal="center" vertical="top"/>
    </xf>
    <xf numFmtId="3" fontId="5" fillId="17" borderId="70" xfId="0" applyNumberFormat="1" applyFont="1" applyFill="1" applyBorder="1" applyAlignment="1">
      <alignment horizontal="center" vertical="center" wrapText="1"/>
    </xf>
    <xf numFmtId="3" fontId="5" fillId="17" borderId="69" xfId="0" applyNumberFormat="1" applyFont="1" applyFill="1" applyBorder="1" applyAlignment="1">
      <alignment horizontal="center" vertical="center" wrapText="1"/>
    </xf>
    <xf numFmtId="3" fontId="5" fillId="17" borderId="64" xfId="0" applyNumberFormat="1" applyFont="1" applyFill="1" applyBorder="1" applyAlignment="1">
      <alignment horizontal="center" vertical="center" wrapText="1"/>
    </xf>
    <xf numFmtId="3" fontId="5" fillId="17" borderId="16" xfId="0" applyNumberFormat="1" applyFont="1" applyFill="1" applyBorder="1" applyAlignment="1">
      <alignment horizontal="left" vertical="center" wrapText="1"/>
    </xf>
    <xf numFmtId="3" fontId="5" fillId="17" borderId="69" xfId="0" applyNumberFormat="1" applyFont="1" applyFill="1" applyBorder="1" applyAlignment="1">
      <alignment horizontal="left" vertical="center" wrapText="1"/>
    </xf>
    <xf numFmtId="3" fontId="5" fillId="17" borderId="64" xfId="0" applyNumberFormat="1" applyFont="1" applyFill="1" applyBorder="1" applyAlignment="1">
      <alignment horizontal="left" vertical="center" wrapText="1"/>
    </xf>
    <xf numFmtId="3" fontId="5" fillId="17" borderId="16" xfId="0" applyNumberFormat="1" applyFont="1" applyFill="1" applyBorder="1" applyAlignment="1">
      <alignment horizontal="center" vertical="center" wrapText="1"/>
    </xf>
    <xf numFmtId="3" fontId="5" fillId="17" borderId="46" xfId="0" applyNumberFormat="1" applyFont="1" applyFill="1" applyBorder="1" applyAlignment="1">
      <alignment horizontal="center" vertical="center" wrapText="1"/>
    </xf>
    <xf numFmtId="3" fontId="5" fillId="17" borderId="47" xfId="0" applyNumberFormat="1" applyFont="1" applyFill="1" applyBorder="1" applyAlignment="1">
      <alignment horizontal="center" vertical="center" wrapText="1"/>
    </xf>
    <xf numFmtId="3" fontId="5" fillId="17" borderId="45" xfId="0" applyNumberFormat="1" applyFont="1" applyFill="1" applyBorder="1" applyAlignment="1">
      <alignment horizontal="center" vertical="center" wrapText="1"/>
    </xf>
    <xf numFmtId="10" fontId="0" fillId="0" borderId="0" xfId="0" applyNumberFormat="1"/>
    <xf numFmtId="0" fontId="5" fillId="3" borderId="42" xfId="0" applyFont="1" applyFill="1" applyBorder="1" applyAlignment="1">
      <alignment horizontal="center"/>
    </xf>
    <xf numFmtId="0" fontId="5" fillId="3" borderId="25" xfId="0" applyFont="1" applyFill="1" applyBorder="1" applyAlignment="1">
      <alignment horizontal="center"/>
    </xf>
    <xf numFmtId="9" fontId="5" fillId="3" borderId="37" xfId="0" applyNumberFormat="1" applyFont="1" applyFill="1" applyBorder="1" applyAlignment="1">
      <alignment horizontal="center" vertical="center"/>
    </xf>
    <xf numFmtId="9" fontId="5" fillId="3" borderId="6" xfId="0" applyNumberFormat="1" applyFont="1" applyFill="1" applyBorder="1" applyAlignment="1">
      <alignment horizontal="center" vertical="center"/>
    </xf>
    <xf numFmtId="0" fontId="5" fillId="3" borderId="37" xfId="0" applyFont="1" applyFill="1" applyBorder="1" applyAlignment="1">
      <alignment horizontal="center" vertical="top"/>
    </xf>
    <xf numFmtId="0" fontId="5" fillId="3" borderId="6" xfId="0" applyFont="1" applyFill="1" applyBorder="1" applyAlignment="1">
      <alignment horizontal="center" vertical="top"/>
    </xf>
    <xf numFmtId="3" fontId="5" fillId="15" borderId="40" xfId="0" applyNumberFormat="1" applyFont="1" applyFill="1" applyBorder="1" applyAlignment="1">
      <alignment horizontal="center" vertical="center" wrapText="1"/>
    </xf>
    <xf numFmtId="3" fontId="5" fillId="8" borderId="37" xfId="0" applyNumberFormat="1" applyFont="1" applyFill="1" applyBorder="1" applyAlignment="1">
      <alignment horizontal="center" vertical="center" wrapText="1"/>
    </xf>
    <xf numFmtId="3" fontId="5" fillId="8" borderId="6" xfId="0" applyNumberFormat="1" applyFont="1" applyFill="1" applyBorder="1" applyAlignment="1">
      <alignment horizontal="center" vertical="center" wrapText="1"/>
    </xf>
    <xf numFmtId="3" fontId="5" fillId="15" borderId="37" xfId="0" applyNumberFormat="1" applyFont="1" applyFill="1" applyBorder="1" applyAlignment="1">
      <alignment horizontal="center" vertical="center" wrapText="1"/>
    </xf>
    <xf numFmtId="167" fontId="7" fillId="15" borderId="24" xfId="0" applyNumberFormat="1" applyFont="1" applyFill="1" applyBorder="1" applyAlignment="1" applyProtection="1">
      <alignment wrapText="1"/>
      <protection locked="0"/>
    </xf>
    <xf numFmtId="167" fontId="7" fillId="15" borderId="0" xfId="0" applyNumberFormat="1" applyFont="1" applyFill="1" applyAlignment="1" applyProtection="1">
      <alignment wrapText="1"/>
      <protection locked="0"/>
    </xf>
    <xf numFmtId="166" fontId="5" fillId="0" borderId="69" xfId="1" applyNumberFormat="1" applyFont="1" applyFill="1" applyBorder="1"/>
    <xf numFmtId="10" fontId="5" fillId="0" borderId="69" xfId="1" applyNumberFormat="1" applyFont="1" applyFill="1" applyBorder="1" applyAlignment="1">
      <alignment horizontal="center"/>
    </xf>
    <xf numFmtId="0" fontId="5" fillId="21" borderId="55" xfId="0" applyFont="1" applyFill="1" applyBorder="1" applyAlignment="1">
      <alignment horizontal="center"/>
    </xf>
    <xf numFmtId="3" fontId="5" fillId="21" borderId="41" xfId="0" applyNumberFormat="1" applyFont="1" applyFill="1" applyBorder="1" applyAlignment="1">
      <alignment horizontal="center" vertical="center" wrapText="1"/>
    </xf>
    <xf numFmtId="3" fontId="5" fillId="21" borderId="9" xfId="0" applyNumberFormat="1" applyFont="1" applyFill="1" applyBorder="1" applyAlignment="1">
      <alignment horizontal="center" vertical="center" wrapText="1"/>
    </xf>
    <xf numFmtId="3" fontId="5" fillId="21" borderId="10" xfId="0" applyNumberFormat="1" applyFont="1" applyFill="1" applyBorder="1" applyAlignment="1">
      <alignment horizontal="center" vertical="center" wrapText="1"/>
    </xf>
    <xf numFmtId="167" fontId="7" fillId="15" borderId="69" xfId="0" applyNumberFormat="1" applyFont="1" applyFill="1" applyBorder="1" applyAlignment="1" applyProtection="1">
      <alignment wrapText="1"/>
      <protection locked="0"/>
    </xf>
    <xf numFmtId="167" fontId="7" fillId="15" borderId="39" xfId="0" applyNumberFormat="1" applyFont="1" applyFill="1" applyBorder="1" applyAlignment="1" applyProtection="1">
      <alignment wrapText="1"/>
      <protection locked="0"/>
    </xf>
    <xf numFmtId="167" fontId="7" fillId="15" borderId="9" xfId="0" applyNumberFormat="1" applyFont="1" applyFill="1" applyBorder="1" applyAlignment="1" applyProtection="1">
      <alignment wrapText="1"/>
      <protection locked="0"/>
    </xf>
    <xf numFmtId="166" fontId="5" fillId="0" borderId="72" xfId="1" applyNumberFormat="1" applyFont="1" applyFill="1" applyBorder="1"/>
    <xf numFmtId="3" fontId="5" fillId="17" borderId="38" xfId="0" applyNumberFormat="1" applyFont="1" applyFill="1" applyBorder="1" applyAlignment="1">
      <alignment horizontal="center" vertical="center" wrapText="1"/>
    </xf>
    <xf numFmtId="3" fontId="5" fillId="17" borderId="30" xfId="0" applyNumberFormat="1" applyFont="1" applyFill="1" applyBorder="1" applyAlignment="1">
      <alignment horizontal="center" vertical="center" wrapText="1"/>
    </xf>
    <xf numFmtId="3" fontId="5" fillId="17" borderId="28" xfId="0" applyNumberFormat="1" applyFont="1" applyFill="1" applyBorder="1" applyAlignment="1">
      <alignment horizontal="center" vertical="center" wrapText="1"/>
    </xf>
    <xf numFmtId="3" fontId="5" fillId="17" borderId="27" xfId="0" applyNumberFormat="1" applyFont="1" applyFill="1" applyBorder="1" applyAlignment="1">
      <alignment horizontal="left" vertical="center" wrapText="1"/>
    </xf>
    <xf numFmtId="3" fontId="5" fillId="17" borderId="30" xfId="0" applyNumberFormat="1" applyFont="1" applyFill="1" applyBorder="1" applyAlignment="1">
      <alignment horizontal="left" vertical="center" wrapText="1"/>
    </xf>
    <xf numFmtId="3" fontId="5" fillId="17" borderId="28" xfId="0" applyNumberFormat="1" applyFont="1" applyFill="1" applyBorder="1" applyAlignment="1">
      <alignment horizontal="left" vertical="center" wrapText="1"/>
    </xf>
    <xf numFmtId="3" fontId="5" fillId="17" borderId="27" xfId="0" applyNumberFormat="1" applyFont="1" applyFill="1" applyBorder="1" applyAlignment="1">
      <alignment horizontal="center" vertical="center" wrapText="1"/>
    </xf>
    <xf numFmtId="3" fontId="5" fillId="0" borderId="35" xfId="0" applyNumberFormat="1" applyFont="1" applyBorder="1"/>
    <xf numFmtId="0" fontId="0" fillId="0" borderId="44" xfId="0" applyBorder="1" applyAlignment="1">
      <alignment horizontal="left" vertical="top"/>
    </xf>
    <xf numFmtId="0" fontId="5" fillId="5" borderId="44" xfId="0" applyFont="1" applyFill="1" applyBorder="1" applyAlignment="1">
      <alignment horizontal="center" vertical="center" wrapText="1"/>
    </xf>
    <xf numFmtId="0" fontId="5" fillId="5" borderId="45" xfId="0" applyFont="1" applyFill="1" applyBorder="1" applyAlignment="1">
      <alignment horizontal="center" vertical="center" wrapText="1"/>
    </xf>
    <xf numFmtId="3" fontId="5" fillId="17" borderId="45" xfId="0" applyNumberFormat="1" applyFont="1" applyFill="1" applyBorder="1" applyAlignment="1">
      <alignment horizontal="center" wrapText="1"/>
    </xf>
    <xf numFmtId="166" fontId="5" fillId="28" borderId="70" xfId="1" applyNumberFormat="1" applyFont="1" applyFill="1" applyBorder="1"/>
    <xf numFmtId="166" fontId="5" fillId="28" borderId="69" xfId="1" applyNumberFormat="1" applyFont="1" applyFill="1" applyBorder="1"/>
    <xf numFmtId="3" fontId="5" fillId="28" borderId="39" xfId="0" applyNumberFormat="1" applyFont="1" applyFill="1" applyBorder="1"/>
    <xf numFmtId="3" fontId="5" fillId="28" borderId="35" xfId="0" applyNumberFormat="1" applyFont="1" applyFill="1" applyBorder="1"/>
    <xf numFmtId="166" fontId="5" fillId="28" borderId="68" xfId="1" applyNumberFormat="1" applyFont="1" applyFill="1" applyBorder="1"/>
    <xf numFmtId="3" fontId="0" fillId="28" borderId="40" xfId="0" applyNumberFormat="1" applyFill="1" applyBorder="1"/>
    <xf numFmtId="3" fontId="0" fillId="28" borderId="39" xfId="0" applyNumberFormat="1" applyFill="1" applyBorder="1"/>
    <xf numFmtId="3" fontId="0" fillId="28" borderId="35" xfId="0" applyNumberFormat="1" applyFill="1" applyBorder="1"/>
    <xf numFmtId="0" fontId="0" fillId="0" borderId="58" xfId="0" applyBorder="1"/>
    <xf numFmtId="0" fontId="0" fillId="19" borderId="58" xfId="0" applyFill="1" applyBorder="1" applyAlignment="1">
      <alignment horizontal="left" vertical="top"/>
    </xf>
    <xf numFmtId="0" fontId="5" fillId="0" borderId="61" xfId="0" applyFont="1" applyBorder="1"/>
    <xf numFmtId="167" fontId="7" fillId="15" borderId="57" xfId="0" applyNumberFormat="1" applyFont="1" applyFill="1" applyBorder="1" applyAlignment="1" applyProtection="1">
      <alignment wrapText="1"/>
      <protection locked="0"/>
    </xf>
    <xf numFmtId="167" fontId="7" fillId="15" borderId="61" xfId="0" applyNumberFormat="1" applyFont="1" applyFill="1" applyBorder="1" applyAlignment="1" applyProtection="1">
      <alignment wrapText="1"/>
      <protection locked="0"/>
    </xf>
    <xf numFmtId="3" fontId="0" fillId="0" borderId="62" xfId="0" applyNumberFormat="1" applyBorder="1"/>
    <xf numFmtId="3" fontId="0" fillId="0" borderId="56" xfId="0" applyNumberFormat="1" applyBorder="1"/>
    <xf numFmtId="3" fontId="0" fillId="0" borderId="55" xfId="0" applyNumberFormat="1" applyBorder="1"/>
    <xf numFmtId="166" fontId="5" fillId="0" borderId="54" xfId="1" applyNumberFormat="1" applyFont="1" applyBorder="1"/>
    <xf numFmtId="166" fontId="5" fillId="0" borderId="55" xfId="1" applyNumberFormat="1" applyFont="1" applyBorder="1"/>
    <xf numFmtId="3" fontId="5" fillId="0" borderId="55" xfId="0" applyNumberFormat="1" applyFont="1" applyBorder="1"/>
    <xf numFmtId="3" fontId="5" fillId="0" borderId="56" xfId="0" applyNumberFormat="1" applyFont="1" applyBorder="1"/>
    <xf numFmtId="166" fontId="5" fillId="0" borderId="58" xfId="1" applyNumberFormat="1" applyFont="1" applyBorder="1"/>
    <xf numFmtId="3" fontId="0" fillId="0" borderId="54" xfId="0" applyNumberFormat="1" applyBorder="1"/>
    <xf numFmtId="3" fontId="5" fillId="0" borderId="55" xfId="0" applyNumberFormat="1" applyFont="1" applyBorder="1" applyAlignment="1">
      <alignment horizontal="center"/>
    </xf>
    <xf numFmtId="10" fontId="5" fillId="0" borderId="56" xfId="1" applyNumberFormat="1" applyFont="1" applyFill="1" applyBorder="1" applyAlignment="1">
      <alignment horizontal="center"/>
    </xf>
    <xf numFmtId="0" fontId="5" fillId="5" borderId="42" xfId="0" applyFont="1" applyFill="1" applyBorder="1"/>
    <xf numFmtId="0" fontId="5" fillId="5" borderId="24" xfId="0" applyFont="1" applyFill="1" applyBorder="1"/>
    <xf numFmtId="0" fontId="5" fillId="5" borderId="25" xfId="0" applyFont="1" applyFill="1" applyBorder="1"/>
    <xf numFmtId="0" fontId="5" fillId="5" borderId="24" xfId="0" applyFont="1" applyFill="1" applyBorder="1" applyAlignment="1">
      <alignment vertical="center" wrapText="1"/>
    </xf>
    <xf numFmtId="0" fontId="5" fillId="5" borderId="25" xfId="0" applyFont="1" applyFill="1" applyBorder="1" applyAlignment="1">
      <alignment vertical="center" wrapText="1"/>
    </xf>
    <xf numFmtId="0" fontId="5" fillId="5" borderId="0" xfId="0" applyFont="1" applyFill="1" applyAlignment="1">
      <alignment vertical="center" wrapText="1"/>
    </xf>
    <xf numFmtId="0" fontId="5" fillId="5" borderId="6" xfId="0" applyFont="1" applyFill="1" applyBorder="1" applyAlignment="1">
      <alignment vertical="center" wrapText="1"/>
    </xf>
    <xf numFmtId="0" fontId="5" fillId="5" borderId="30" xfId="0" applyFont="1" applyFill="1" applyBorder="1" applyAlignment="1">
      <alignment vertical="center" wrapText="1"/>
    </xf>
    <xf numFmtId="0" fontId="5" fillId="5" borderId="31" xfId="0" applyFont="1" applyFill="1" applyBorder="1" applyAlignment="1">
      <alignment vertical="center" wrapText="1"/>
    </xf>
    <xf numFmtId="166" fontId="33" fillId="18" borderId="24" xfId="0" applyNumberFormat="1" applyFont="1" applyFill="1" applyBorder="1" applyAlignment="1">
      <alignment horizontal="center" vertical="center" textRotation="90" wrapText="1"/>
    </xf>
    <xf numFmtId="166" fontId="33" fillId="18" borderId="23" xfId="0" applyNumberFormat="1" applyFont="1" applyFill="1" applyBorder="1" applyAlignment="1">
      <alignment horizontal="center" vertical="center" textRotation="90" wrapText="1"/>
    </xf>
    <xf numFmtId="0" fontId="33" fillId="18" borderId="22" xfId="0" applyFont="1" applyFill="1" applyBorder="1" applyAlignment="1">
      <alignment horizontal="center" vertical="center" textRotation="90" wrapText="1"/>
    </xf>
    <xf numFmtId="0" fontId="33" fillId="18" borderId="24" xfId="0" applyFont="1" applyFill="1" applyBorder="1" applyAlignment="1">
      <alignment horizontal="center" vertical="center" textRotation="90" wrapText="1"/>
    </xf>
    <xf numFmtId="0" fontId="33" fillId="18" borderId="23" xfId="0" applyFont="1" applyFill="1" applyBorder="1" applyAlignment="1">
      <alignment horizontal="center" vertical="center" textRotation="90" wrapText="1"/>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30" xfId="0" applyFont="1" applyBorder="1" applyAlignment="1">
      <alignment horizontal="center" vertical="center"/>
    </xf>
    <xf numFmtId="0" fontId="5" fillId="0" borderId="0" xfId="0" applyFont="1" applyAlignment="1">
      <alignment vertical="center" wrapText="1"/>
    </xf>
    <xf numFmtId="0" fontId="5" fillId="0" borderId="9" xfId="0" applyFont="1" applyBorder="1" applyAlignment="1">
      <alignment vertical="center" wrapText="1"/>
    </xf>
    <xf numFmtId="0" fontId="33" fillId="11" borderId="42" xfId="0" applyFont="1" applyFill="1" applyBorder="1" applyAlignment="1">
      <alignment horizontal="center" vertical="center" wrapText="1"/>
    </xf>
    <xf numFmtId="0" fontId="33" fillId="11" borderId="25" xfId="0" applyFont="1" applyFill="1" applyBorder="1" applyAlignment="1">
      <alignment horizontal="center" vertical="center" wrapText="1"/>
    </xf>
    <xf numFmtId="3" fontId="33" fillId="19" borderId="24" xfId="0" applyNumberFormat="1" applyFont="1" applyFill="1" applyBorder="1"/>
    <xf numFmtId="3" fontId="33" fillId="19" borderId="25" xfId="0" applyNumberFormat="1" applyFont="1" applyFill="1" applyBorder="1"/>
    <xf numFmtId="3" fontId="33" fillId="19" borderId="44" xfId="0" applyNumberFormat="1" applyFont="1" applyFill="1" applyBorder="1"/>
    <xf numFmtId="0" fontId="33" fillId="0" borderId="45" xfId="0" applyFont="1" applyBorder="1" applyAlignment="1">
      <alignment horizontal="left" vertical="top"/>
    </xf>
    <xf numFmtId="3" fontId="33" fillId="19" borderId="0" xfId="0" applyNumberFormat="1" applyFont="1" applyFill="1"/>
    <xf numFmtId="3" fontId="33" fillId="19" borderId="6" xfId="0" applyNumberFormat="1" applyFont="1" applyFill="1" applyBorder="1"/>
    <xf numFmtId="3" fontId="33" fillId="19" borderId="45" xfId="0" applyNumberFormat="1" applyFont="1" applyFill="1" applyBorder="1"/>
    <xf numFmtId="0" fontId="33" fillId="0" borderId="47" xfId="0" applyFont="1" applyBorder="1" applyAlignment="1">
      <alignment horizontal="left" vertical="top"/>
    </xf>
    <xf numFmtId="3" fontId="33" fillId="0" borderId="71" xfId="0" applyNumberFormat="1" applyFont="1" applyBorder="1"/>
    <xf numFmtId="166" fontId="33" fillId="0" borderId="72" xfId="1" applyNumberFormat="1" applyFont="1" applyBorder="1"/>
    <xf numFmtId="3" fontId="33" fillId="0" borderId="72" xfId="0" applyNumberFormat="1" applyFont="1" applyBorder="1"/>
    <xf numFmtId="166" fontId="33" fillId="0" borderId="68" xfId="1" applyNumberFormat="1" applyFont="1" applyBorder="1"/>
    <xf numFmtId="3" fontId="33" fillId="21" borderId="47" xfId="0" applyNumberFormat="1" applyFont="1" applyFill="1" applyBorder="1" applyAlignment="1">
      <alignment horizontal="center" vertical="center" wrapText="1"/>
    </xf>
    <xf numFmtId="3" fontId="33" fillId="0" borderId="17" xfId="0" applyNumberFormat="1" applyFont="1" applyBorder="1"/>
    <xf numFmtId="166" fontId="33" fillId="0" borderId="69" xfId="1" applyNumberFormat="1" applyFont="1" applyBorder="1"/>
    <xf numFmtId="3" fontId="33" fillId="0" borderId="69" xfId="0" applyNumberFormat="1" applyFont="1" applyBorder="1"/>
    <xf numFmtId="166" fontId="33" fillId="0" borderId="67" xfId="1" applyNumberFormat="1" applyFont="1" applyBorder="1"/>
    <xf numFmtId="0" fontId="33" fillId="11" borderId="66" xfId="0" applyFont="1" applyFill="1" applyBorder="1"/>
    <xf numFmtId="0" fontId="33" fillId="11" borderId="94" xfId="0" applyFont="1" applyFill="1" applyBorder="1"/>
    <xf numFmtId="0" fontId="33" fillId="11" borderId="3" xfId="0" applyFont="1" applyFill="1" applyBorder="1"/>
    <xf numFmtId="166" fontId="33" fillId="11" borderId="1" xfId="0" applyNumberFormat="1" applyFont="1" applyFill="1" applyBorder="1"/>
    <xf numFmtId="0" fontId="33" fillId="11" borderId="1" xfId="0" applyFont="1" applyFill="1" applyBorder="1"/>
    <xf numFmtId="0" fontId="33" fillId="11" borderId="67" xfId="0" applyFont="1" applyFill="1" applyBorder="1"/>
    <xf numFmtId="0" fontId="33" fillId="11" borderId="67" xfId="0" applyFont="1" applyFill="1" applyBorder="1" applyAlignment="1">
      <alignment horizontal="center"/>
    </xf>
    <xf numFmtId="166" fontId="33" fillId="11" borderId="67" xfId="1" applyNumberFormat="1" applyFont="1" applyFill="1" applyBorder="1" applyAlignment="1">
      <alignment horizontal="center"/>
    </xf>
    <xf numFmtId="0" fontId="33" fillId="0" borderId="47" xfId="0" applyFont="1" applyBorder="1" applyAlignment="1">
      <alignment horizontal="left" vertical="center"/>
    </xf>
    <xf numFmtId="0" fontId="36" fillId="13" borderId="47" xfId="0" applyFont="1" applyFill="1" applyBorder="1" applyAlignment="1">
      <alignment horizontal="left" vertical="center" wrapText="1"/>
    </xf>
    <xf numFmtId="0" fontId="33" fillId="0" borderId="46" xfId="0" applyFont="1" applyBorder="1"/>
    <xf numFmtId="0" fontId="33" fillId="0" borderId="46" xfId="0" applyFont="1" applyBorder="1" applyAlignment="1">
      <alignment horizontal="left" vertical="top"/>
    </xf>
    <xf numFmtId="0" fontId="33" fillId="0" borderId="76" xfId="0" applyFont="1" applyBorder="1" applyAlignment="1">
      <alignment horizontal="left" vertical="top"/>
    </xf>
    <xf numFmtId="0" fontId="33" fillId="0" borderId="76" xfId="0" applyFont="1" applyBorder="1"/>
    <xf numFmtId="0" fontId="33" fillId="21" borderId="10" xfId="0" applyFont="1" applyFill="1" applyBorder="1" applyAlignment="1">
      <alignment horizontal="center" vertical="center" wrapText="1"/>
    </xf>
    <xf numFmtId="3" fontId="33" fillId="21" borderId="9" xfId="0" applyNumberFormat="1" applyFont="1" applyFill="1" applyBorder="1" applyAlignment="1">
      <alignment horizontal="center" vertical="center" wrapText="1"/>
    </xf>
    <xf numFmtId="3" fontId="33" fillId="21" borderId="10" xfId="0" applyNumberFormat="1" applyFont="1" applyFill="1" applyBorder="1" applyAlignment="1">
      <alignment horizontal="center" vertical="center" wrapText="1"/>
    </xf>
    <xf numFmtId="0" fontId="33" fillId="11" borderId="76" xfId="0" applyFont="1" applyFill="1" applyBorder="1" applyAlignment="1">
      <alignment horizontal="center"/>
    </xf>
    <xf numFmtId="0" fontId="33" fillId="11" borderId="38" xfId="0" applyFont="1" applyFill="1" applyBorder="1" applyAlignment="1">
      <alignment horizontal="center"/>
    </xf>
    <xf numFmtId="0" fontId="33" fillId="11" borderId="31" xfId="0" applyFont="1" applyFill="1" applyBorder="1" applyAlignment="1">
      <alignment horizontal="center"/>
    </xf>
    <xf numFmtId="3" fontId="33" fillId="11" borderId="38" xfId="0" applyNumberFormat="1" applyFont="1" applyFill="1" applyBorder="1" applyAlignment="1">
      <alignment horizontal="center"/>
    </xf>
    <xf numFmtId="3" fontId="33" fillId="11" borderId="31" xfId="0" applyNumberFormat="1" applyFont="1" applyFill="1" applyBorder="1" applyAlignment="1">
      <alignment horizontal="center"/>
    </xf>
    <xf numFmtId="166" fontId="33" fillId="11" borderId="30" xfId="1" applyNumberFormat="1" applyFont="1" applyFill="1" applyBorder="1" applyAlignment="1">
      <alignment horizontal="center"/>
    </xf>
    <xf numFmtId="3" fontId="33" fillId="11" borderId="30" xfId="0" applyNumberFormat="1" applyFont="1" applyFill="1" applyBorder="1" applyAlignment="1">
      <alignment horizontal="center"/>
    </xf>
    <xf numFmtId="166" fontId="33" fillId="11" borderId="76" xfId="1" applyNumberFormat="1" applyFont="1" applyFill="1" applyBorder="1" applyAlignment="1">
      <alignment horizontal="center"/>
    </xf>
    <xf numFmtId="0" fontId="33" fillId="19" borderId="45" xfId="0" applyFont="1" applyFill="1" applyBorder="1" applyAlignment="1">
      <alignment horizontal="left" vertical="top"/>
    </xf>
    <xf numFmtId="0" fontId="33" fillId="0" borderId="67" xfId="0" applyFont="1" applyBorder="1"/>
    <xf numFmtId="0" fontId="33" fillId="0" borderId="37" xfId="0" applyFont="1" applyBorder="1"/>
    <xf numFmtId="0" fontId="33" fillId="0" borderId="70" xfId="0" applyFont="1" applyBorder="1"/>
    <xf numFmtId="0" fontId="36" fillId="21" borderId="41" xfId="0" applyFont="1" applyFill="1" applyBorder="1" applyAlignment="1">
      <alignment horizontal="center" vertical="center" wrapText="1"/>
    </xf>
    <xf numFmtId="0" fontId="33" fillId="0" borderId="42" xfId="0" applyFont="1" applyBorder="1"/>
    <xf numFmtId="0" fontId="33" fillId="0" borderId="73" xfId="0" applyFont="1" applyBorder="1"/>
    <xf numFmtId="167" fontId="40" fillId="15" borderId="37" xfId="0" applyNumberFormat="1" applyFont="1" applyFill="1" applyBorder="1" applyAlignment="1" applyProtection="1">
      <alignment wrapText="1"/>
      <protection locked="0"/>
    </xf>
    <xf numFmtId="167" fontId="40" fillId="15" borderId="6" xfId="0" applyNumberFormat="1" applyFont="1" applyFill="1" applyBorder="1" applyAlignment="1" applyProtection="1">
      <alignment wrapText="1"/>
      <protection locked="0"/>
    </xf>
    <xf numFmtId="167" fontId="40" fillId="15" borderId="70" xfId="0" applyNumberFormat="1" applyFont="1" applyFill="1" applyBorder="1" applyAlignment="1" applyProtection="1">
      <alignment wrapText="1"/>
      <protection locked="0"/>
    </xf>
    <xf numFmtId="167" fontId="40" fillId="15" borderId="17" xfId="0" applyNumberFormat="1" applyFont="1" applyFill="1" applyBorder="1" applyAlignment="1" applyProtection="1">
      <alignment wrapText="1"/>
      <protection locked="0"/>
    </xf>
    <xf numFmtId="167" fontId="40" fillId="15" borderId="40" xfId="0" applyNumberFormat="1" applyFont="1" applyFill="1" applyBorder="1" applyAlignment="1" applyProtection="1">
      <alignment wrapText="1"/>
      <protection locked="0"/>
    </xf>
    <xf numFmtId="167" fontId="40" fillId="15" borderId="38" xfId="0" applyNumberFormat="1" applyFont="1" applyFill="1" applyBorder="1" applyAlignment="1" applyProtection="1">
      <alignment wrapText="1"/>
      <protection locked="0"/>
    </xf>
    <xf numFmtId="0" fontId="33" fillId="21" borderId="41" xfId="0" applyFont="1" applyFill="1" applyBorder="1" applyAlignment="1">
      <alignment horizontal="center"/>
    </xf>
    <xf numFmtId="0" fontId="33" fillId="21" borderId="10" xfId="0" applyFont="1" applyFill="1" applyBorder="1" applyAlignment="1">
      <alignment horizontal="center"/>
    </xf>
    <xf numFmtId="167" fontId="40" fillId="15" borderId="42" xfId="0" applyNumberFormat="1" applyFont="1" applyFill="1" applyBorder="1" applyAlignment="1" applyProtection="1">
      <alignment wrapText="1"/>
      <protection locked="0"/>
    </xf>
    <xf numFmtId="167" fontId="40" fillId="15" borderId="25" xfId="0" applyNumberFormat="1" applyFont="1" applyFill="1" applyBorder="1" applyAlignment="1" applyProtection="1">
      <alignment wrapText="1"/>
      <protection locked="0"/>
    </xf>
    <xf numFmtId="167" fontId="40" fillId="15" borderId="73" xfId="0" applyNumberFormat="1" applyFont="1" applyFill="1" applyBorder="1" applyAlignment="1" applyProtection="1">
      <alignment wrapText="1"/>
      <protection locked="0"/>
    </xf>
    <xf numFmtId="167" fontId="40" fillId="15" borderId="71" xfId="0" applyNumberFormat="1" applyFont="1" applyFill="1" applyBorder="1" applyAlignment="1" applyProtection="1">
      <alignment wrapText="1"/>
      <protection locked="0"/>
    </xf>
    <xf numFmtId="3" fontId="33" fillId="0" borderId="4" xfId="0" applyNumberFormat="1" applyFont="1" applyBorder="1"/>
    <xf numFmtId="3" fontId="33" fillId="0" borderId="14" xfId="0" applyNumberFormat="1" applyFont="1" applyBorder="1"/>
    <xf numFmtId="3" fontId="33" fillId="21" borderId="7" xfId="0" applyNumberFormat="1" applyFont="1" applyFill="1" applyBorder="1" applyAlignment="1">
      <alignment horizontal="center" vertical="center" wrapText="1"/>
    </xf>
    <xf numFmtId="3" fontId="33" fillId="0" borderId="21" xfId="0" applyNumberFormat="1" applyFont="1" applyBorder="1"/>
    <xf numFmtId="3" fontId="33" fillId="0" borderId="49" xfId="0" applyNumberFormat="1" applyFont="1" applyBorder="1"/>
    <xf numFmtId="0" fontId="5" fillId="0" borderId="0" xfId="0" applyFont="1" applyAlignment="1">
      <alignment vertical="center"/>
    </xf>
    <xf numFmtId="0" fontId="5" fillId="0" borderId="0" xfId="0" applyFont="1" applyAlignment="1">
      <alignment wrapText="1"/>
    </xf>
    <xf numFmtId="0" fontId="5" fillId="0" borderId="9" xfId="0" applyFont="1" applyBorder="1" applyAlignment="1">
      <alignment wrapText="1"/>
    </xf>
    <xf numFmtId="0" fontId="5" fillId="0" borderId="9" xfId="0" applyFont="1" applyBorder="1"/>
    <xf numFmtId="0" fontId="33" fillId="0" borderId="6" xfId="0" applyFont="1" applyBorder="1" applyAlignment="1">
      <alignment vertical="center" textRotation="90" wrapText="1"/>
    </xf>
    <xf numFmtId="3" fontId="33" fillId="14" borderId="14" xfId="0" applyNumberFormat="1" applyFont="1" applyFill="1" applyBorder="1" applyAlignment="1">
      <alignment vertical="center" wrapText="1"/>
    </xf>
    <xf numFmtId="0" fontId="33" fillId="14" borderId="36" xfId="0" applyFont="1" applyFill="1" applyBorder="1" applyAlignment="1">
      <alignment vertical="center" wrapText="1"/>
    </xf>
    <xf numFmtId="0" fontId="46" fillId="0" borderId="76" xfId="0" applyFont="1" applyBorder="1" applyAlignment="1">
      <alignment horizontal="left" vertical="top"/>
    </xf>
    <xf numFmtId="0" fontId="46" fillId="0" borderId="37" xfId="0" applyFont="1" applyBorder="1" applyAlignment="1">
      <alignment horizontal="left" vertical="top"/>
    </xf>
    <xf numFmtId="0" fontId="46" fillId="0" borderId="46" xfId="0" applyFont="1" applyBorder="1" applyAlignment="1">
      <alignment horizontal="left" vertical="top"/>
    </xf>
    <xf numFmtId="0" fontId="46" fillId="0" borderId="47" xfId="0" applyFont="1" applyBorder="1" applyAlignment="1">
      <alignment horizontal="left" vertical="top"/>
    </xf>
    <xf numFmtId="0" fontId="45" fillId="0" borderId="0" xfId="0" applyFont="1"/>
    <xf numFmtId="0" fontId="45" fillId="0" borderId="0" xfId="0" applyFont="1" applyAlignment="1">
      <alignment horizontal="left"/>
    </xf>
    <xf numFmtId="3" fontId="45" fillId="0" borderId="0" xfId="0" applyNumberFormat="1" applyFont="1"/>
    <xf numFmtId="3" fontId="45" fillId="0" borderId="0" xfId="0" applyNumberFormat="1" applyFont="1" applyAlignment="1">
      <alignment horizontal="right"/>
    </xf>
    <xf numFmtId="167" fontId="45" fillId="0" borderId="0" xfId="0" applyNumberFormat="1" applyFont="1" applyAlignment="1">
      <alignment horizontal="right"/>
    </xf>
    <xf numFmtId="3" fontId="45" fillId="0" borderId="0" xfId="2" applyNumberFormat="1" applyFont="1" applyAlignment="1">
      <alignment horizontal="right"/>
    </xf>
    <xf numFmtId="167" fontId="45" fillId="0" borderId="0" xfId="2" applyNumberFormat="1" applyFont="1" applyAlignment="1">
      <alignment horizontal="right"/>
    </xf>
    <xf numFmtId="165" fontId="45" fillId="0" borderId="0" xfId="0" applyNumberFormat="1" applyFont="1" applyAlignment="1">
      <alignment horizontal="right"/>
    </xf>
    <xf numFmtId="3" fontId="45" fillId="0" borderId="0" xfId="2" applyNumberFormat="1" applyFont="1"/>
    <xf numFmtId="0" fontId="45" fillId="0" borderId="0" xfId="2" applyFont="1"/>
    <xf numFmtId="0" fontId="0" fillId="19" borderId="15" xfId="0" applyFill="1" applyBorder="1" applyAlignment="1">
      <alignment horizontal="left" vertical="center"/>
    </xf>
    <xf numFmtId="0" fontId="0" fillId="19" borderId="16" xfId="0" applyFill="1" applyBorder="1" applyAlignment="1">
      <alignment horizontal="left" vertical="center"/>
    </xf>
    <xf numFmtId="0" fontId="0" fillId="19" borderId="69" xfId="0" applyFill="1" applyBorder="1" applyAlignment="1">
      <alignment horizontal="left" vertical="center"/>
    </xf>
    <xf numFmtId="0" fontId="0" fillId="19" borderId="64" xfId="0" applyFill="1" applyBorder="1" applyAlignment="1">
      <alignment horizontal="left" vertical="center"/>
    </xf>
    <xf numFmtId="0" fontId="30" fillId="19" borderId="15" xfId="0" applyFont="1" applyFill="1" applyBorder="1" applyAlignment="1">
      <alignment horizontal="left" vertical="top"/>
    </xf>
    <xf numFmtId="0" fontId="21" fillId="19" borderId="15" xfId="0" applyFont="1" applyFill="1" applyBorder="1" applyAlignment="1">
      <alignment horizontal="left" vertical="center"/>
    </xf>
    <xf numFmtId="0" fontId="25" fillId="19" borderId="15" xfId="0" applyFont="1" applyFill="1" applyBorder="1" applyAlignment="1">
      <alignment horizontal="left" vertical="center"/>
    </xf>
    <xf numFmtId="0" fontId="18" fillId="19" borderId="99" xfId="0" applyFont="1" applyFill="1" applyBorder="1" applyAlignment="1">
      <alignment horizontal="center" vertical="top"/>
    </xf>
    <xf numFmtId="0" fontId="18" fillId="19" borderId="95" xfId="0" applyFont="1" applyFill="1" applyBorder="1" applyAlignment="1">
      <alignment horizontal="center" vertical="top"/>
    </xf>
    <xf numFmtId="0" fontId="18" fillId="19" borderId="11" xfId="0" applyFont="1" applyFill="1" applyBorder="1" applyAlignment="1">
      <alignment horizontal="center" vertical="top"/>
    </xf>
    <xf numFmtId="0" fontId="18" fillId="19" borderId="18" xfId="0" applyFont="1" applyFill="1" applyBorder="1" applyAlignment="1">
      <alignment horizontal="center" vertical="top"/>
    </xf>
    <xf numFmtId="0" fontId="18" fillId="19" borderId="27" xfId="0" applyFont="1" applyFill="1" applyBorder="1" applyAlignment="1">
      <alignment horizontal="center" vertical="top"/>
    </xf>
    <xf numFmtId="0" fontId="18" fillId="19" borderId="28" xfId="0" applyFont="1" applyFill="1" applyBorder="1" applyAlignment="1">
      <alignment horizontal="center" vertical="top"/>
    </xf>
    <xf numFmtId="0" fontId="22" fillId="19" borderId="15" xfId="6" applyFill="1" applyBorder="1" applyAlignment="1">
      <alignment horizontal="left" vertical="top"/>
    </xf>
    <xf numFmtId="0" fontId="30" fillId="19" borderId="16" xfId="0" applyFont="1" applyFill="1" applyBorder="1" applyAlignment="1">
      <alignment horizontal="left" vertical="top"/>
    </xf>
    <xf numFmtId="0" fontId="30" fillId="19" borderId="69" xfId="0" applyFont="1" applyFill="1" applyBorder="1" applyAlignment="1">
      <alignment horizontal="left" vertical="top"/>
    </xf>
    <xf numFmtId="0" fontId="30" fillId="19" borderId="64" xfId="0" applyFont="1" applyFill="1" applyBorder="1" applyAlignment="1">
      <alignment horizontal="left" vertical="top"/>
    </xf>
    <xf numFmtId="0" fontId="34" fillId="0" borderId="0" xfId="0" applyFont="1" applyAlignment="1">
      <alignment horizontal="left"/>
    </xf>
    <xf numFmtId="0" fontId="33" fillId="0" borderId="59" xfId="0" applyFont="1" applyBorder="1" applyAlignment="1">
      <alignment horizontal="left" vertical="center"/>
    </xf>
    <xf numFmtId="0" fontId="33" fillId="0" borderId="52" xfId="0" applyFont="1" applyBorder="1" applyAlignment="1">
      <alignment horizontal="left" vertical="center"/>
    </xf>
    <xf numFmtId="0" fontId="33" fillId="0" borderId="53" xfId="0" applyFont="1" applyBorder="1" applyAlignment="1">
      <alignment horizontal="left" vertical="center"/>
    </xf>
    <xf numFmtId="0" fontId="34" fillId="0" borderId="0" xfId="0" applyFont="1" applyAlignment="1">
      <alignment horizontal="left" wrapText="1"/>
    </xf>
    <xf numFmtId="0" fontId="34" fillId="5" borderId="54" xfId="0" applyFont="1" applyFill="1" applyBorder="1" applyAlignment="1">
      <alignment horizontal="center" wrapText="1"/>
    </xf>
    <xf numFmtId="0" fontId="34" fillId="5" borderId="55" xfId="0" applyFont="1" applyFill="1" applyBorder="1" applyAlignment="1">
      <alignment horizontal="center" wrapText="1"/>
    </xf>
    <xf numFmtId="0" fontId="34" fillId="5" borderId="56" xfId="0" applyFont="1" applyFill="1" applyBorder="1" applyAlignment="1">
      <alignment horizontal="center" wrapText="1"/>
    </xf>
    <xf numFmtId="0" fontId="33" fillId="0" borderId="44" xfId="0" applyFont="1" applyBorder="1" applyAlignment="1">
      <alignment horizontal="center" vertical="center" textRotation="90" wrapText="1"/>
    </xf>
    <xf numFmtId="0" fontId="33" fillId="0" borderId="45" xfId="0" applyFont="1" applyBorder="1" applyAlignment="1">
      <alignment horizontal="center" vertical="center" textRotation="90"/>
    </xf>
    <xf numFmtId="0" fontId="33" fillId="0" borderId="47" xfId="0" applyFont="1" applyBorder="1" applyAlignment="1">
      <alignment horizontal="center" vertical="center" textRotation="90"/>
    </xf>
    <xf numFmtId="0" fontId="33" fillId="4" borderId="43" xfId="0" applyFont="1" applyFill="1" applyBorder="1" applyAlignment="1">
      <alignment horizontal="center"/>
    </xf>
    <xf numFmtId="0" fontId="33" fillId="4" borderId="5" xfId="0" applyFont="1" applyFill="1" applyBorder="1" applyAlignment="1">
      <alignment horizontal="center"/>
    </xf>
    <xf numFmtId="2" fontId="33" fillId="4" borderId="25" xfId="0" applyNumberFormat="1" applyFont="1" applyFill="1" applyBorder="1" applyAlignment="1">
      <alignment horizontal="center"/>
    </xf>
    <xf numFmtId="2" fontId="33" fillId="4" borderId="6" xfId="0" applyNumberFormat="1" applyFont="1" applyFill="1" applyBorder="1" applyAlignment="1">
      <alignment horizontal="center"/>
    </xf>
    <xf numFmtId="0" fontId="33" fillId="4" borderId="75" xfId="0" applyFont="1" applyFill="1" applyBorder="1" applyAlignment="1">
      <alignment horizontal="center"/>
    </xf>
    <xf numFmtId="0" fontId="33" fillId="4" borderId="52" xfId="0" applyFont="1" applyFill="1" applyBorder="1" applyAlignment="1">
      <alignment horizontal="center"/>
    </xf>
    <xf numFmtId="0" fontId="33" fillId="4" borderId="43" xfId="0" applyFont="1" applyFill="1" applyBorder="1" applyAlignment="1">
      <alignment horizontal="center" vertical="center" wrapText="1"/>
    </xf>
    <xf numFmtId="0" fontId="33" fillId="4" borderId="5" xfId="0" applyFont="1" applyFill="1" applyBorder="1" applyAlignment="1">
      <alignment horizontal="center" vertical="center" wrapText="1"/>
    </xf>
    <xf numFmtId="0" fontId="34" fillId="2" borderId="54" xfId="0" applyFont="1" applyFill="1" applyBorder="1" applyAlignment="1">
      <alignment horizontal="center"/>
    </xf>
    <xf numFmtId="0" fontId="34" fillId="2" borderId="55" xfId="0" applyFont="1" applyFill="1" applyBorder="1" applyAlignment="1">
      <alignment horizontal="center"/>
    </xf>
    <xf numFmtId="0" fontId="34" fillId="2" borderId="56" xfId="0" applyFont="1" applyFill="1" applyBorder="1" applyAlignment="1">
      <alignment horizontal="center"/>
    </xf>
    <xf numFmtId="0" fontId="33" fillId="4" borderId="42" xfId="0" applyFont="1" applyFill="1" applyBorder="1" applyAlignment="1">
      <alignment horizontal="center"/>
    </xf>
    <xf numFmtId="0" fontId="33" fillId="4" borderId="23" xfId="0" applyFont="1" applyFill="1" applyBorder="1" applyAlignment="1">
      <alignment horizontal="center"/>
    </xf>
    <xf numFmtId="0" fontId="33" fillId="4" borderId="37" xfId="0" applyFont="1" applyFill="1" applyBorder="1" applyAlignment="1">
      <alignment horizontal="center"/>
    </xf>
    <xf numFmtId="0" fontId="33" fillId="4" borderId="18" xfId="0" applyFont="1" applyFill="1" applyBorder="1" applyAlignment="1">
      <alignment horizontal="center"/>
    </xf>
    <xf numFmtId="0" fontId="34" fillId="3" borderId="55" xfId="0" applyFont="1" applyFill="1" applyBorder="1" applyAlignment="1">
      <alignment horizontal="center"/>
    </xf>
    <xf numFmtId="0" fontId="34" fillId="3" borderId="56" xfId="0" applyFont="1" applyFill="1" applyBorder="1" applyAlignment="1">
      <alignment horizontal="center"/>
    </xf>
    <xf numFmtId="0" fontId="33" fillId="0" borderId="42" xfId="0" applyFont="1" applyBorder="1" applyAlignment="1">
      <alignment horizontal="center" vertical="center" textRotation="90" wrapText="1"/>
    </xf>
    <xf numFmtId="0" fontId="33" fillId="0" borderId="37" xfId="0" applyFont="1" applyBorder="1" applyAlignment="1">
      <alignment horizontal="center" vertical="center" textRotation="90" wrapText="1"/>
    </xf>
    <xf numFmtId="0" fontId="33" fillId="0" borderId="41" xfId="0" applyFont="1" applyBorder="1" applyAlignment="1">
      <alignment horizontal="center" vertical="center" textRotation="90" wrapText="1"/>
    </xf>
    <xf numFmtId="0" fontId="34" fillId="0" borderId="0" xfId="0" applyFont="1" applyAlignment="1">
      <alignment horizontal="left" vertical="top" wrapText="1"/>
    </xf>
    <xf numFmtId="2" fontId="33" fillId="0" borderId="23" xfId="0" applyNumberFormat="1" applyFont="1" applyBorder="1" applyAlignment="1">
      <alignment horizontal="center" textRotation="90"/>
    </xf>
    <xf numFmtId="2" fontId="33" fillId="0" borderId="28" xfId="0" applyNumberFormat="1" applyFont="1" applyBorder="1" applyAlignment="1">
      <alignment horizontal="center" textRotation="90"/>
    </xf>
    <xf numFmtId="0" fontId="33" fillId="0" borderId="21" xfId="0" applyFont="1" applyBorder="1" applyAlignment="1">
      <alignment horizontal="center" textRotation="90"/>
    </xf>
    <xf numFmtId="0" fontId="33" fillId="0" borderId="26" xfId="0" applyFont="1" applyBorder="1" applyAlignment="1">
      <alignment horizontal="center" textRotation="90"/>
    </xf>
    <xf numFmtId="165" fontId="38" fillId="2" borderId="22" xfId="0" applyNumberFormat="1" applyFont="1" applyFill="1" applyBorder="1" applyAlignment="1">
      <alignment horizontal="center" textRotation="90" wrapText="1"/>
    </xf>
    <xf numFmtId="165" fontId="38" fillId="2" borderId="23" xfId="0" applyNumberFormat="1" applyFont="1" applyFill="1" applyBorder="1" applyAlignment="1">
      <alignment horizontal="center" textRotation="90" wrapText="1"/>
    </xf>
    <xf numFmtId="165" fontId="38" fillId="5" borderId="22" xfId="0" applyNumberFormat="1" applyFont="1" applyFill="1" applyBorder="1" applyAlignment="1">
      <alignment horizontal="center" textRotation="90" wrapText="1"/>
    </xf>
    <xf numFmtId="165" fontId="38" fillId="5" borderId="25" xfId="0" applyNumberFormat="1" applyFont="1" applyFill="1" applyBorder="1" applyAlignment="1">
      <alignment horizontal="center" textRotation="90" wrapText="1"/>
    </xf>
    <xf numFmtId="165" fontId="33" fillId="10" borderId="24" xfId="0" applyNumberFormat="1" applyFont="1" applyFill="1" applyBorder="1" applyAlignment="1">
      <alignment horizontal="center" textRotation="90" wrapText="1"/>
    </xf>
    <xf numFmtId="165" fontId="33" fillId="10" borderId="23" xfId="0" applyNumberFormat="1" applyFont="1" applyFill="1" applyBorder="1" applyAlignment="1">
      <alignment horizontal="center" textRotation="90" wrapText="1"/>
    </xf>
    <xf numFmtId="165" fontId="33" fillId="2" borderId="22" xfId="0" applyNumberFormat="1" applyFont="1" applyFill="1" applyBorder="1" applyAlignment="1">
      <alignment horizontal="center" textRotation="90" wrapText="1"/>
    </xf>
    <xf numFmtId="165" fontId="33" fillId="2" borderId="23" xfId="0" applyNumberFormat="1" applyFont="1" applyFill="1" applyBorder="1" applyAlignment="1">
      <alignment horizontal="center" textRotation="90" wrapText="1"/>
    </xf>
    <xf numFmtId="165" fontId="33" fillId="5" borderId="22" xfId="0" applyNumberFormat="1" applyFont="1" applyFill="1" applyBorder="1" applyAlignment="1">
      <alignment horizontal="center" textRotation="90" wrapText="1"/>
    </xf>
    <xf numFmtId="165" fontId="33" fillId="5" borderId="23" xfId="0" applyNumberFormat="1" applyFont="1" applyFill="1" applyBorder="1" applyAlignment="1">
      <alignment horizontal="center" textRotation="90" wrapText="1"/>
    </xf>
    <xf numFmtId="0" fontId="33" fillId="19" borderId="42" xfId="0" applyFont="1" applyFill="1" applyBorder="1" applyAlignment="1">
      <alignment horizontal="left" vertical="top" wrapText="1"/>
    </xf>
    <xf numFmtId="0" fontId="33" fillId="19" borderId="37" xfId="0" applyFont="1" applyFill="1" applyBorder="1" applyAlignment="1">
      <alignment horizontal="left" vertical="top" wrapText="1"/>
    </xf>
    <xf numFmtId="0" fontId="33" fillId="19" borderId="41" xfId="0" applyFont="1" applyFill="1" applyBorder="1" applyAlignment="1">
      <alignment horizontal="left" vertical="top" wrapText="1"/>
    </xf>
    <xf numFmtId="0" fontId="33" fillId="19" borderId="42" xfId="0" applyFont="1" applyFill="1" applyBorder="1" applyAlignment="1">
      <alignment horizontal="left" vertical="top"/>
    </xf>
    <xf numFmtId="0" fontId="33" fillId="19" borderId="37" xfId="0" applyFont="1" applyFill="1" applyBorder="1" applyAlignment="1">
      <alignment horizontal="left" vertical="top"/>
    </xf>
    <xf numFmtId="0" fontId="33" fillId="19" borderId="41" xfId="0" applyFont="1" applyFill="1" applyBorder="1" applyAlignment="1">
      <alignment horizontal="left" vertical="top"/>
    </xf>
    <xf numFmtId="0" fontId="34" fillId="3" borderId="42" xfId="0" applyFont="1" applyFill="1" applyBorder="1" applyAlignment="1">
      <alignment horizontal="center"/>
    </xf>
    <xf numFmtId="0" fontId="34" fillId="3" borderId="24" xfId="0" applyFont="1" applyFill="1" applyBorder="1" applyAlignment="1">
      <alignment horizontal="center"/>
    </xf>
    <xf numFmtId="0" fontId="34" fillId="3" borderId="25" xfId="0" applyFont="1" applyFill="1" applyBorder="1" applyAlignment="1">
      <alignment horizontal="center"/>
    </xf>
    <xf numFmtId="9" fontId="34" fillId="3" borderId="37" xfId="0" applyNumberFormat="1" applyFont="1" applyFill="1" applyBorder="1" applyAlignment="1">
      <alignment horizontal="center"/>
    </xf>
    <xf numFmtId="9" fontId="34" fillId="3" borderId="0" xfId="0" applyNumberFormat="1" applyFont="1" applyFill="1" applyAlignment="1">
      <alignment horizontal="center"/>
    </xf>
    <xf numFmtId="9" fontId="34" fillId="3" borderId="6" xfId="0" applyNumberFormat="1" applyFont="1" applyFill="1" applyBorder="1" applyAlignment="1">
      <alignment horizontal="center"/>
    </xf>
    <xf numFmtId="0" fontId="34" fillId="3" borderId="38" xfId="0" applyFont="1" applyFill="1" applyBorder="1" applyAlignment="1">
      <alignment horizontal="center"/>
    </xf>
    <xf numFmtId="0" fontId="34" fillId="3" borderId="30" xfId="0" applyFont="1" applyFill="1" applyBorder="1" applyAlignment="1">
      <alignment horizontal="center"/>
    </xf>
    <xf numFmtId="0" fontId="34" fillId="3" borderId="31" xfId="0" applyFont="1" applyFill="1" applyBorder="1" applyAlignment="1">
      <alignment horizontal="center"/>
    </xf>
    <xf numFmtId="0" fontId="33" fillId="8" borderId="40" xfId="0" applyFont="1" applyFill="1" applyBorder="1" applyAlignment="1">
      <alignment horizontal="center" vertical="center" wrapText="1"/>
    </xf>
    <xf numFmtId="0" fontId="33" fillId="8" borderId="41" xfId="0" applyFont="1" applyFill="1" applyBorder="1" applyAlignment="1">
      <alignment horizontal="center" vertical="center" wrapText="1"/>
    </xf>
    <xf numFmtId="0" fontId="33" fillId="8" borderId="39" xfId="0" applyFont="1" applyFill="1" applyBorder="1" applyAlignment="1">
      <alignment horizontal="center" vertical="center" wrapText="1"/>
    </xf>
    <xf numFmtId="0" fontId="33" fillId="8" borderId="9" xfId="0" applyFont="1" applyFill="1" applyBorder="1" applyAlignment="1">
      <alignment horizontal="center" vertical="center" wrapText="1"/>
    </xf>
    <xf numFmtId="0" fontId="33" fillId="27" borderId="39" xfId="0" applyFont="1" applyFill="1" applyBorder="1" applyAlignment="1">
      <alignment horizontal="center" vertical="center" wrapText="1"/>
    </xf>
    <xf numFmtId="0" fontId="33" fillId="27" borderId="9" xfId="0" applyFont="1" applyFill="1" applyBorder="1" applyAlignment="1">
      <alignment horizontal="center" vertical="center" wrapText="1"/>
    </xf>
    <xf numFmtId="0" fontId="33" fillId="8" borderId="35" xfId="0" applyFont="1" applyFill="1" applyBorder="1" applyAlignment="1">
      <alignment horizontal="center" vertical="center" wrapText="1"/>
    </xf>
    <xf numFmtId="0" fontId="33" fillId="8" borderId="10" xfId="0" applyFont="1" applyFill="1" applyBorder="1" applyAlignment="1">
      <alignment horizontal="center" vertical="center" wrapText="1"/>
    </xf>
    <xf numFmtId="0" fontId="34" fillId="5" borderId="42" xfId="0" applyFont="1" applyFill="1" applyBorder="1" applyAlignment="1">
      <alignment horizontal="center"/>
    </xf>
    <xf numFmtId="0" fontId="34" fillId="5" borderId="24" xfId="0" applyFont="1" applyFill="1" applyBorder="1" applyAlignment="1">
      <alignment horizontal="center"/>
    </xf>
    <xf numFmtId="9" fontId="34" fillId="5" borderId="37" xfId="0" applyNumberFormat="1" applyFont="1" applyFill="1" applyBorder="1" applyAlignment="1">
      <alignment horizontal="center"/>
    </xf>
    <xf numFmtId="9" fontId="34" fillId="5" borderId="0" xfId="0" applyNumberFormat="1" applyFont="1" applyFill="1" applyAlignment="1">
      <alignment horizontal="center"/>
    </xf>
    <xf numFmtId="0" fontId="34" fillId="5" borderId="38" xfId="0" applyFont="1" applyFill="1" applyBorder="1" applyAlignment="1">
      <alignment horizontal="center"/>
    </xf>
    <xf numFmtId="0" fontId="34" fillId="5" borderId="30" xfId="0" applyFont="1" applyFill="1" applyBorder="1" applyAlignment="1">
      <alignment horizontal="center"/>
    </xf>
    <xf numFmtId="0" fontId="33" fillId="7" borderId="35" xfId="0" applyFont="1" applyFill="1" applyBorder="1" applyAlignment="1">
      <alignment horizontal="center" vertical="center" wrapText="1"/>
    </xf>
    <xf numFmtId="0" fontId="33" fillId="7" borderId="10" xfId="0" applyFont="1" applyFill="1" applyBorder="1" applyAlignment="1">
      <alignment horizontal="center" vertical="center" wrapText="1"/>
    </xf>
    <xf numFmtId="0" fontId="33" fillId="7" borderId="40" xfId="0" applyFont="1" applyFill="1" applyBorder="1" applyAlignment="1">
      <alignment horizontal="center" vertical="center" wrapText="1"/>
    </xf>
    <xf numFmtId="0" fontId="33" fillId="7" borderId="41" xfId="0" applyFont="1" applyFill="1" applyBorder="1" applyAlignment="1">
      <alignment horizontal="center" vertical="center" wrapText="1"/>
    </xf>
    <xf numFmtId="0" fontId="33" fillId="7" borderId="39" xfId="0" applyFont="1" applyFill="1" applyBorder="1" applyAlignment="1">
      <alignment horizontal="center" vertical="center" wrapText="1"/>
    </xf>
    <xf numFmtId="0" fontId="33" fillId="7" borderId="9" xfId="0" applyFont="1" applyFill="1" applyBorder="1" applyAlignment="1">
      <alignment horizontal="center" vertical="center" wrapText="1"/>
    </xf>
    <xf numFmtId="0" fontId="34" fillId="0" borderId="44" xfId="0" applyFont="1" applyBorder="1" applyAlignment="1">
      <alignment horizontal="center" vertical="center" wrapText="1"/>
    </xf>
    <xf numFmtId="0" fontId="34" fillId="0" borderId="45" xfId="0" applyFont="1" applyBorder="1" applyAlignment="1">
      <alignment horizontal="center" vertical="center" wrapText="1"/>
    </xf>
    <xf numFmtId="0" fontId="34" fillId="0" borderId="47" xfId="0" applyFont="1" applyBorder="1" applyAlignment="1">
      <alignment horizontal="center" vertical="center" wrapText="1"/>
    </xf>
    <xf numFmtId="0" fontId="34" fillId="4" borderId="22" xfId="0" applyFont="1" applyFill="1" applyBorder="1" applyAlignment="1">
      <alignment horizontal="center" wrapText="1"/>
    </xf>
    <xf numFmtId="0" fontId="34" fillId="4" borderId="23" xfId="0" applyFont="1" applyFill="1" applyBorder="1" applyAlignment="1">
      <alignment horizontal="center" wrapText="1"/>
    </xf>
    <xf numFmtId="0" fontId="34" fillId="4" borderId="11" xfId="0" applyFont="1" applyFill="1" applyBorder="1" applyAlignment="1">
      <alignment horizontal="center" wrapText="1"/>
    </xf>
    <xf numFmtId="0" fontId="34" fillId="4" borderId="18" xfId="0" applyFont="1" applyFill="1" applyBorder="1" applyAlignment="1">
      <alignment horizontal="center" wrapText="1"/>
    </xf>
    <xf numFmtId="0" fontId="34" fillId="4" borderId="27" xfId="0" applyFont="1" applyFill="1" applyBorder="1" applyAlignment="1">
      <alignment horizontal="center" wrapText="1"/>
    </xf>
    <xf numFmtId="0" fontId="34" fillId="4" borderId="28" xfId="0" applyFont="1" applyFill="1" applyBorder="1" applyAlignment="1">
      <alignment horizontal="center" wrapText="1"/>
    </xf>
    <xf numFmtId="0" fontId="34" fillId="13" borderId="22" xfId="0" applyFont="1" applyFill="1" applyBorder="1" applyAlignment="1">
      <alignment horizontal="center" vertical="center"/>
    </xf>
    <xf numFmtId="0" fontId="34" fillId="13" borderId="24" xfId="0" applyFont="1" applyFill="1" applyBorder="1" applyAlignment="1">
      <alignment horizontal="center" vertical="center"/>
    </xf>
    <xf numFmtId="0" fontId="34" fillId="13" borderId="25" xfId="0" applyFont="1" applyFill="1" applyBorder="1" applyAlignment="1">
      <alignment horizontal="center" vertical="center"/>
    </xf>
    <xf numFmtId="0" fontId="34" fillId="13" borderId="11" xfId="0" applyFont="1" applyFill="1" applyBorder="1" applyAlignment="1">
      <alignment horizontal="center" vertical="center"/>
    </xf>
    <xf numFmtId="0" fontId="34" fillId="13" borderId="0" xfId="0" applyFont="1" applyFill="1" applyAlignment="1">
      <alignment horizontal="center" vertical="center"/>
    </xf>
    <xf numFmtId="0" fontId="34" fillId="13" borderId="6" xfId="0" applyFont="1" applyFill="1" applyBorder="1" applyAlignment="1">
      <alignment horizontal="center" vertical="center"/>
    </xf>
    <xf numFmtId="0" fontId="34" fillId="13" borderId="27" xfId="0" applyFont="1" applyFill="1" applyBorder="1" applyAlignment="1">
      <alignment horizontal="center" vertical="center"/>
    </xf>
    <xf numFmtId="0" fontId="34" fillId="13" borderId="30" xfId="0" applyFont="1" applyFill="1" applyBorder="1" applyAlignment="1">
      <alignment horizontal="center" vertical="center"/>
    </xf>
    <xf numFmtId="0" fontId="34" fillId="13" borderId="31" xfId="0" applyFont="1" applyFill="1" applyBorder="1" applyAlignment="1">
      <alignment horizontal="center" vertical="center"/>
    </xf>
    <xf numFmtId="0" fontId="34" fillId="14" borderId="20" xfId="0" applyFont="1" applyFill="1" applyBorder="1" applyAlignment="1">
      <alignment horizontal="center" vertical="center" wrapText="1"/>
    </xf>
    <xf numFmtId="0" fontId="34" fillId="14" borderId="8" xfId="0" applyFont="1" applyFill="1" applyBorder="1" applyAlignment="1">
      <alignment horizontal="center" vertical="center" wrapText="1"/>
    </xf>
    <xf numFmtId="0" fontId="34" fillId="0" borderId="21" xfId="0" applyFont="1" applyBorder="1" applyAlignment="1">
      <alignment horizontal="center" vertical="center"/>
    </xf>
    <xf numFmtId="0" fontId="34" fillId="0" borderId="4" xfId="0" applyFont="1" applyBorder="1" applyAlignment="1">
      <alignment horizontal="center" vertical="center"/>
    </xf>
    <xf numFmtId="0" fontId="34" fillId="0" borderId="7" xfId="0" applyFont="1" applyBorder="1" applyAlignment="1">
      <alignment horizontal="center" vertical="center"/>
    </xf>
    <xf numFmtId="0" fontId="34" fillId="9" borderId="20" xfId="0" applyFont="1" applyFill="1" applyBorder="1" applyAlignment="1">
      <alignment horizontal="center" vertical="center" wrapText="1"/>
    </xf>
    <xf numFmtId="0" fontId="34" fillId="9" borderId="8" xfId="0" applyFont="1" applyFill="1" applyBorder="1" applyAlignment="1">
      <alignment horizontal="center" vertical="center" wrapText="1"/>
    </xf>
    <xf numFmtId="3" fontId="34" fillId="14" borderId="20" xfId="0" applyNumberFormat="1" applyFont="1" applyFill="1" applyBorder="1" applyAlignment="1">
      <alignment horizontal="center" vertical="center" wrapText="1"/>
    </xf>
    <xf numFmtId="3" fontId="34" fillId="14" borderId="8" xfId="0" applyNumberFormat="1" applyFont="1" applyFill="1" applyBorder="1" applyAlignment="1">
      <alignment horizontal="center" vertical="center" wrapText="1"/>
    </xf>
    <xf numFmtId="0" fontId="34" fillId="14" borderId="59" xfId="0" applyFont="1" applyFill="1" applyBorder="1" applyAlignment="1">
      <alignment horizontal="center" vertical="center" wrapText="1"/>
    </xf>
    <xf numFmtId="0" fontId="34" fillId="14" borderId="74" xfId="0" applyFont="1" applyFill="1" applyBorder="1" applyAlignment="1">
      <alignment horizontal="center" vertical="center" wrapText="1"/>
    </xf>
    <xf numFmtId="0" fontId="33" fillId="26" borderId="39" xfId="0" applyFont="1" applyFill="1" applyBorder="1" applyAlignment="1">
      <alignment horizontal="center" vertical="center" wrapText="1"/>
    </xf>
    <xf numFmtId="0" fontId="33" fillId="26" borderId="9" xfId="0" applyFont="1" applyFill="1" applyBorder="1" applyAlignment="1">
      <alignment horizontal="center" vertical="center" wrapText="1"/>
    </xf>
    <xf numFmtId="0" fontId="34" fillId="3" borderId="0" xfId="0" applyFont="1" applyFill="1" applyAlignment="1">
      <alignment horizontal="center"/>
    </xf>
    <xf numFmtId="0" fontId="34" fillId="3" borderId="6" xfId="0" applyFont="1" applyFill="1" applyBorder="1" applyAlignment="1">
      <alignment horizontal="center"/>
    </xf>
    <xf numFmtId="0" fontId="34" fillId="3" borderId="38" xfId="0" applyFont="1" applyFill="1" applyBorder="1" applyAlignment="1">
      <alignment horizontal="center" vertical="center"/>
    </xf>
    <xf numFmtId="0" fontId="34" fillId="3" borderId="30" xfId="0" applyFont="1" applyFill="1" applyBorder="1" applyAlignment="1">
      <alignment horizontal="center" vertical="center"/>
    </xf>
    <xf numFmtId="0" fontId="34" fillId="3" borderId="31" xfId="0" applyFont="1" applyFill="1" applyBorder="1" applyAlignment="1">
      <alignment horizontal="center" vertical="center"/>
    </xf>
    <xf numFmtId="0" fontId="34" fillId="3" borderId="37" xfId="0" applyFont="1" applyFill="1" applyBorder="1" applyAlignment="1">
      <alignment horizontal="center" vertical="center"/>
    </xf>
    <xf numFmtId="0" fontId="34" fillId="3" borderId="0" xfId="0" applyFont="1" applyFill="1" applyAlignment="1">
      <alignment horizontal="center" vertical="center"/>
    </xf>
    <xf numFmtId="0" fontId="34" fillId="3" borderId="6" xfId="0" applyFont="1" applyFill="1" applyBorder="1" applyAlignment="1">
      <alignment horizontal="center" vertical="center"/>
    </xf>
    <xf numFmtId="0" fontId="34" fillId="5" borderId="38" xfId="0" applyFont="1" applyFill="1" applyBorder="1" applyAlignment="1">
      <alignment horizontal="center" vertical="center"/>
    </xf>
    <xf numFmtId="0" fontId="34" fillId="5" borderId="30" xfId="0" applyFont="1" applyFill="1" applyBorder="1" applyAlignment="1">
      <alignment horizontal="center" vertical="center"/>
    </xf>
    <xf numFmtId="9" fontId="34" fillId="3" borderId="37" xfId="0" applyNumberFormat="1" applyFont="1" applyFill="1" applyBorder="1" applyAlignment="1">
      <alignment horizontal="center" vertical="center"/>
    </xf>
    <xf numFmtId="9" fontId="34" fillId="3" borderId="0" xfId="0" applyNumberFormat="1" applyFont="1" applyFill="1" applyAlignment="1">
      <alignment horizontal="center" vertical="center"/>
    </xf>
    <xf numFmtId="9" fontId="34" fillId="5" borderId="37" xfId="0" applyNumberFormat="1" applyFont="1" applyFill="1" applyBorder="1" applyAlignment="1">
      <alignment horizontal="center" vertical="center"/>
    </xf>
    <xf numFmtId="9" fontId="34" fillId="5" borderId="0" xfId="0" applyNumberFormat="1" applyFont="1" applyFill="1" applyAlignment="1">
      <alignment horizontal="center" vertical="center"/>
    </xf>
    <xf numFmtId="0" fontId="34" fillId="0" borderId="42" xfId="0" applyFont="1" applyBorder="1" applyAlignment="1">
      <alignment horizontal="center" vertical="center" wrapText="1"/>
    </xf>
    <xf numFmtId="0" fontId="34" fillId="0" borderId="37" xfId="0" applyFont="1" applyBorder="1" applyAlignment="1">
      <alignment horizontal="center" vertical="center" wrapText="1"/>
    </xf>
    <xf numFmtId="0" fontId="34" fillId="0" borderId="41" xfId="0" applyFont="1" applyBorder="1" applyAlignment="1">
      <alignment horizontal="center" vertical="center" wrapText="1"/>
    </xf>
    <xf numFmtId="0" fontId="34" fillId="4" borderId="32" xfId="0" applyFont="1" applyFill="1" applyBorder="1" applyAlignment="1">
      <alignment horizontal="center" wrapText="1"/>
    </xf>
    <xf numFmtId="0" fontId="34" fillId="4" borderId="15" xfId="0" applyFont="1" applyFill="1" applyBorder="1" applyAlignment="1">
      <alignment horizontal="center" wrapText="1"/>
    </xf>
    <xf numFmtId="0" fontId="34" fillId="13" borderId="32" xfId="0" applyFont="1" applyFill="1" applyBorder="1" applyAlignment="1">
      <alignment horizontal="center"/>
    </xf>
    <xf numFmtId="0" fontId="34" fillId="13" borderId="13" xfId="0" applyFont="1" applyFill="1" applyBorder="1" applyAlignment="1">
      <alignment horizontal="center"/>
    </xf>
    <xf numFmtId="0" fontId="34" fillId="13" borderId="48" xfId="0" applyFont="1" applyFill="1" applyBorder="1" applyAlignment="1">
      <alignment horizontal="center"/>
    </xf>
    <xf numFmtId="0" fontId="34" fillId="13" borderId="15" xfId="0" applyFont="1" applyFill="1" applyBorder="1" applyAlignment="1">
      <alignment horizontal="center"/>
    </xf>
    <xf numFmtId="0" fontId="34" fillId="13" borderId="16" xfId="0" applyFont="1" applyFill="1" applyBorder="1" applyAlignment="1">
      <alignment horizontal="center"/>
    </xf>
    <xf numFmtId="0" fontId="34" fillId="13" borderId="36" xfId="0" applyFont="1" applyFill="1" applyBorder="1" applyAlignment="1">
      <alignment horizontal="center"/>
    </xf>
    <xf numFmtId="0" fontId="34" fillId="14" borderId="36" xfId="0" applyFont="1" applyFill="1" applyBorder="1" applyAlignment="1">
      <alignment horizontal="center" vertical="center" wrapText="1"/>
    </xf>
    <xf numFmtId="0" fontId="34" fillId="9" borderId="15" xfId="0" applyFont="1" applyFill="1" applyBorder="1" applyAlignment="1">
      <alignment horizontal="center" vertical="center"/>
    </xf>
    <xf numFmtId="0" fontId="34" fillId="9" borderId="20" xfId="0" applyFont="1" applyFill="1" applyBorder="1" applyAlignment="1">
      <alignment horizontal="center" vertical="center"/>
    </xf>
    <xf numFmtId="3" fontId="34" fillId="14" borderId="15" xfId="0" applyNumberFormat="1" applyFont="1" applyFill="1" applyBorder="1" applyAlignment="1">
      <alignment horizontal="center" vertical="center" wrapText="1"/>
    </xf>
    <xf numFmtId="0" fontId="34" fillId="14" borderId="15" xfId="0" applyFont="1" applyFill="1" applyBorder="1" applyAlignment="1">
      <alignment horizontal="center" vertical="center" wrapText="1"/>
    </xf>
    <xf numFmtId="9" fontId="34" fillId="3" borderId="6" xfId="0" applyNumberFormat="1" applyFont="1" applyFill="1" applyBorder="1" applyAlignment="1">
      <alignment horizontal="center" vertical="center"/>
    </xf>
    <xf numFmtId="0" fontId="34" fillId="5" borderId="38" xfId="0" applyFont="1" applyFill="1" applyBorder="1" applyAlignment="1">
      <alignment horizontal="center" vertical="top"/>
    </xf>
    <xf numFmtId="0" fontId="34" fillId="5" borderId="30" xfId="0" applyFont="1" applyFill="1" applyBorder="1" applyAlignment="1">
      <alignment horizontal="center" vertical="top"/>
    </xf>
    <xf numFmtId="0" fontId="34" fillId="3" borderId="38" xfId="0" applyFont="1" applyFill="1" applyBorder="1" applyAlignment="1">
      <alignment horizontal="center" vertical="top"/>
    </xf>
    <xf numFmtId="0" fontId="34" fillId="3" borderId="30" xfId="0" applyFont="1" applyFill="1" applyBorder="1" applyAlignment="1">
      <alignment horizontal="center" vertical="top"/>
    </xf>
    <xf numFmtId="0" fontId="34" fillId="3" borderId="37" xfId="0" applyFont="1" applyFill="1" applyBorder="1" applyAlignment="1">
      <alignment horizontal="center" vertical="top"/>
    </xf>
    <xf numFmtId="0" fontId="34" fillId="3" borderId="0" xfId="0" applyFont="1" applyFill="1" applyAlignment="1">
      <alignment horizontal="center" vertical="top"/>
    </xf>
    <xf numFmtId="0" fontId="34" fillId="3" borderId="6" xfId="0" applyFont="1" applyFill="1" applyBorder="1" applyAlignment="1">
      <alignment horizontal="center" vertical="top"/>
    </xf>
    <xf numFmtId="0" fontId="34" fillId="3" borderId="31" xfId="0" applyFont="1" applyFill="1" applyBorder="1" applyAlignment="1">
      <alignment horizontal="center" vertical="top"/>
    </xf>
    <xf numFmtId="0" fontId="42" fillId="3" borderId="42" xfId="0" applyFont="1" applyFill="1" applyBorder="1" applyAlignment="1">
      <alignment horizontal="center"/>
    </xf>
    <xf numFmtId="0" fontId="42" fillId="3" borderId="24" xfId="0" applyFont="1" applyFill="1" applyBorder="1" applyAlignment="1">
      <alignment horizontal="center"/>
    </xf>
    <xf numFmtId="0" fontId="42" fillId="3" borderId="25" xfId="0" applyFont="1" applyFill="1" applyBorder="1" applyAlignment="1">
      <alignment horizontal="center"/>
    </xf>
    <xf numFmtId="9" fontId="42" fillId="3" borderId="37" xfId="0" applyNumberFormat="1" applyFont="1" applyFill="1" applyBorder="1" applyAlignment="1">
      <alignment horizontal="center"/>
    </xf>
    <xf numFmtId="0" fontId="42" fillId="3" borderId="0" xfId="0" applyFont="1" applyFill="1" applyAlignment="1">
      <alignment horizontal="center"/>
    </xf>
    <xf numFmtId="0" fontId="42" fillId="3" borderId="6" xfId="0" applyFont="1" applyFill="1" applyBorder="1" applyAlignment="1">
      <alignment horizontal="center"/>
    </xf>
    <xf numFmtId="0" fontId="42" fillId="3" borderId="38" xfId="0" applyFont="1" applyFill="1" applyBorder="1" applyAlignment="1">
      <alignment horizontal="center"/>
    </xf>
    <xf numFmtId="0" fontId="42" fillId="3" borderId="30" xfId="0" applyFont="1" applyFill="1" applyBorder="1" applyAlignment="1">
      <alignment horizontal="center"/>
    </xf>
    <xf numFmtId="0" fontId="42" fillId="3" borderId="31" xfId="0" applyFont="1" applyFill="1" applyBorder="1" applyAlignment="1">
      <alignment horizontal="center"/>
    </xf>
    <xf numFmtId="3" fontId="42" fillId="8" borderId="37" xfId="0" applyNumberFormat="1" applyFont="1" applyFill="1" applyBorder="1" applyAlignment="1">
      <alignment horizontal="center" vertical="center" wrapText="1"/>
    </xf>
    <xf numFmtId="3" fontId="42" fillId="8" borderId="0" xfId="0" applyNumberFormat="1" applyFont="1" applyFill="1" applyAlignment="1">
      <alignment horizontal="center" vertical="center" wrapText="1"/>
    </xf>
    <xf numFmtId="3" fontId="42" fillId="8" borderId="39" xfId="0" applyNumberFormat="1" applyFont="1" applyFill="1" applyBorder="1" applyAlignment="1">
      <alignment horizontal="center" vertical="center" wrapText="1"/>
    </xf>
    <xf numFmtId="3" fontId="42" fillId="8" borderId="95" xfId="0" applyNumberFormat="1" applyFont="1" applyFill="1" applyBorder="1" applyAlignment="1">
      <alignment horizontal="center" vertical="center" wrapText="1"/>
    </xf>
    <xf numFmtId="3" fontId="42" fillId="8" borderId="18" xfId="0" applyNumberFormat="1" applyFont="1" applyFill="1" applyBorder="1" applyAlignment="1">
      <alignment horizontal="center" vertical="center" wrapText="1"/>
    </xf>
    <xf numFmtId="3" fontId="42" fillId="15" borderId="95" xfId="0" applyNumberFormat="1" applyFont="1" applyFill="1" applyBorder="1" applyAlignment="1">
      <alignment horizontal="center" vertical="center" wrapText="1"/>
    </xf>
    <xf numFmtId="3" fontId="42" fillId="15" borderId="18" xfId="0" applyNumberFormat="1" applyFont="1" applyFill="1" applyBorder="1" applyAlignment="1">
      <alignment horizontal="center" vertical="center" wrapText="1"/>
    </xf>
    <xf numFmtId="0" fontId="42" fillId="5" borderId="38" xfId="0" applyFont="1" applyFill="1" applyBorder="1" applyAlignment="1">
      <alignment horizontal="center" vertical="top"/>
    </xf>
    <xf numFmtId="0" fontId="42" fillId="5" borderId="30" xfId="0" applyFont="1" applyFill="1" applyBorder="1" applyAlignment="1">
      <alignment horizontal="center" vertical="top"/>
    </xf>
    <xf numFmtId="9" fontId="42" fillId="3" borderId="37" xfId="0" applyNumberFormat="1" applyFont="1" applyFill="1" applyBorder="1" applyAlignment="1">
      <alignment horizontal="center" vertical="center"/>
    </xf>
    <xf numFmtId="9" fontId="42" fillId="3" borderId="0" xfId="0" applyNumberFormat="1" applyFont="1" applyFill="1" applyAlignment="1">
      <alignment horizontal="center" vertical="center"/>
    </xf>
    <xf numFmtId="9" fontId="42" fillId="3" borderId="6" xfId="0" applyNumberFormat="1" applyFont="1" applyFill="1" applyBorder="1" applyAlignment="1">
      <alignment horizontal="center" vertical="center"/>
    </xf>
    <xf numFmtId="0" fontId="42" fillId="3" borderId="37" xfId="0" applyFont="1" applyFill="1" applyBorder="1" applyAlignment="1">
      <alignment horizontal="center" vertical="top"/>
    </xf>
    <xf numFmtId="0" fontId="42" fillId="3" borderId="0" xfId="0" applyFont="1" applyFill="1" applyAlignment="1">
      <alignment horizontal="center" vertical="top"/>
    </xf>
    <xf numFmtId="0" fontId="42" fillId="3" borderId="6" xfId="0" applyFont="1" applyFill="1" applyBorder="1" applyAlignment="1">
      <alignment horizontal="center" vertical="top"/>
    </xf>
    <xf numFmtId="0" fontId="42" fillId="5" borderId="42" xfId="0" applyFont="1" applyFill="1" applyBorder="1" applyAlignment="1">
      <alignment horizontal="center"/>
    </xf>
    <xf numFmtId="0" fontId="42" fillId="5" borderId="24" xfId="0" applyFont="1" applyFill="1" applyBorder="1" applyAlignment="1">
      <alignment horizontal="center"/>
    </xf>
    <xf numFmtId="9" fontId="42" fillId="5" borderId="37" xfId="0" applyNumberFormat="1" applyFont="1" applyFill="1" applyBorder="1" applyAlignment="1">
      <alignment horizontal="center" vertical="center"/>
    </xf>
    <xf numFmtId="9" fontId="42" fillId="5" borderId="0" xfId="0" applyNumberFormat="1" applyFont="1" applyFill="1" applyAlignment="1">
      <alignment horizontal="center" vertical="center"/>
    </xf>
    <xf numFmtId="3" fontId="42" fillId="16" borderId="0" xfId="0" applyNumberFormat="1" applyFont="1" applyFill="1" applyAlignment="1">
      <alignment horizontal="center" vertical="center" wrapText="1"/>
    </xf>
    <xf numFmtId="3" fontId="42" fillId="8" borderId="35" xfId="0" applyNumberFormat="1" applyFont="1" applyFill="1" applyBorder="1" applyAlignment="1">
      <alignment horizontal="center" vertical="center" wrapText="1"/>
    </xf>
    <xf numFmtId="3" fontId="42" fillId="8" borderId="6" xfId="0" applyNumberFormat="1" applyFont="1" applyFill="1" applyBorder="1" applyAlignment="1">
      <alignment horizontal="center" vertical="center" wrapText="1"/>
    </xf>
    <xf numFmtId="0" fontId="42" fillId="3" borderId="38" xfId="0" applyFont="1" applyFill="1" applyBorder="1" applyAlignment="1">
      <alignment horizontal="center" vertical="top"/>
    </xf>
    <xf numFmtId="0" fontId="42" fillId="3" borderId="30" xfId="0" applyFont="1" applyFill="1" applyBorder="1" applyAlignment="1">
      <alignment horizontal="center" vertical="top"/>
    </xf>
    <xf numFmtId="3" fontId="42" fillId="7" borderId="37" xfId="0" applyNumberFormat="1" applyFont="1" applyFill="1" applyBorder="1" applyAlignment="1">
      <alignment horizontal="center" vertical="center" wrapText="1"/>
    </xf>
    <xf numFmtId="3" fontId="42" fillId="7" borderId="0" xfId="0" applyNumberFormat="1" applyFont="1" applyFill="1" applyAlignment="1">
      <alignment horizontal="center" vertical="center" wrapText="1"/>
    </xf>
    <xf numFmtId="3" fontId="42" fillId="15" borderId="0" xfId="0" applyNumberFormat="1" applyFont="1" applyFill="1" applyAlignment="1">
      <alignment horizontal="center" vertical="center" wrapText="1"/>
    </xf>
    <xf numFmtId="0" fontId="42" fillId="0" borderId="42" xfId="0" applyFont="1" applyBorder="1" applyAlignment="1">
      <alignment horizontal="center" vertical="center" wrapText="1"/>
    </xf>
    <xf numFmtId="0" fontId="42" fillId="0" borderId="37" xfId="0" applyFont="1" applyBorder="1" applyAlignment="1">
      <alignment horizontal="center" vertical="center" wrapText="1"/>
    </xf>
    <xf numFmtId="0" fontId="42" fillId="0" borderId="41" xfId="0" applyFont="1" applyBorder="1" applyAlignment="1">
      <alignment horizontal="center" vertical="center" wrapText="1"/>
    </xf>
    <xf numFmtId="0" fontId="42" fillId="0" borderId="44" xfId="0" applyFont="1" applyBorder="1" applyAlignment="1">
      <alignment horizontal="center" vertical="center" wrapText="1"/>
    </xf>
    <xf numFmtId="0" fontId="42" fillId="0" borderId="45" xfId="0" applyFont="1" applyBorder="1" applyAlignment="1">
      <alignment horizontal="center" vertical="center" wrapText="1"/>
    </xf>
    <xf numFmtId="0" fontId="42" fillId="0" borderId="47" xfId="0" applyFont="1" applyBorder="1" applyAlignment="1">
      <alignment horizontal="center" vertical="center" wrapText="1"/>
    </xf>
    <xf numFmtId="0" fontId="42" fillId="0" borderId="21" xfId="0" applyFont="1" applyBorder="1" applyAlignment="1">
      <alignment horizontal="center" vertical="center"/>
    </xf>
    <xf numFmtId="0" fontId="42" fillId="0" borderId="4" xfId="0" applyFont="1" applyBorder="1" applyAlignment="1">
      <alignment horizontal="center" vertical="center"/>
    </xf>
    <xf numFmtId="0" fontId="42" fillId="0" borderId="7" xfId="0" applyFont="1" applyBorder="1" applyAlignment="1">
      <alignment horizontal="center" vertical="center"/>
    </xf>
    <xf numFmtId="0" fontId="42" fillId="4" borderId="32" xfId="0" applyFont="1" applyFill="1" applyBorder="1" applyAlignment="1">
      <alignment horizontal="center" wrapText="1"/>
    </xf>
    <xf numFmtId="0" fontId="42" fillId="4" borderId="15" xfId="0" applyFont="1" applyFill="1" applyBorder="1" applyAlignment="1">
      <alignment horizontal="center" wrapText="1"/>
    </xf>
    <xf numFmtId="0" fontId="42" fillId="13" borderId="32" xfId="0" applyFont="1" applyFill="1" applyBorder="1" applyAlignment="1">
      <alignment horizontal="center"/>
    </xf>
    <xf numFmtId="0" fontId="42" fillId="13" borderId="13" xfId="0" applyFont="1" applyFill="1" applyBorder="1" applyAlignment="1">
      <alignment horizontal="center"/>
    </xf>
    <xf numFmtId="0" fontId="42" fillId="13" borderId="48" xfId="0" applyFont="1" applyFill="1" applyBorder="1" applyAlignment="1">
      <alignment horizontal="center"/>
    </xf>
    <xf numFmtId="0" fontId="42" fillId="13" borderId="15" xfId="0" applyFont="1" applyFill="1" applyBorder="1" applyAlignment="1">
      <alignment horizontal="center"/>
    </xf>
    <xf numFmtId="0" fontId="42" fillId="13" borderId="16" xfId="0" applyFont="1" applyFill="1" applyBorder="1" applyAlignment="1">
      <alignment horizontal="center"/>
    </xf>
    <xf numFmtId="0" fontId="42" fillId="13" borderId="36" xfId="0" applyFont="1" applyFill="1" applyBorder="1" applyAlignment="1">
      <alignment horizontal="center"/>
    </xf>
    <xf numFmtId="0" fontId="42" fillId="9" borderId="15" xfId="0" applyFont="1" applyFill="1" applyBorder="1" applyAlignment="1">
      <alignment horizontal="center" vertical="center"/>
    </xf>
    <xf numFmtId="0" fontId="42" fillId="9" borderId="20" xfId="0" applyFont="1" applyFill="1" applyBorder="1" applyAlignment="1">
      <alignment horizontal="center" vertical="center"/>
    </xf>
    <xf numFmtId="3" fontId="42" fillId="14" borderId="15" xfId="0" applyNumberFormat="1" applyFont="1" applyFill="1" applyBorder="1" applyAlignment="1">
      <alignment horizontal="center" vertical="center" wrapText="1"/>
    </xf>
    <xf numFmtId="3" fontId="42" fillId="14" borderId="20" xfId="0" applyNumberFormat="1" applyFont="1" applyFill="1" applyBorder="1" applyAlignment="1">
      <alignment horizontal="center" vertical="center" wrapText="1"/>
    </xf>
    <xf numFmtId="0" fontId="42" fillId="14" borderId="15" xfId="0" applyFont="1" applyFill="1" applyBorder="1" applyAlignment="1">
      <alignment horizontal="center" vertical="center" wrapText="1"/>
    </xf>
    <xf numFmtId="0" fontId="42" fillId="14" borderId="20" xfId="0" applyFont="1" applyFill="1" applyBorder="1" applyAlignment="1">
      <alignment horizontal="center" vertical="center" wrapText="1"/>
    </xf>
    <xf numFmtId="0" fontId="42" fillId="14" borderId="36" xfId="0" applyFont="1" applyFill="1" applyBorder="1" applyAlignment="1">
      <alignment horizontal="center" vertical="center" wrapText="1"/>
    </xf>
    <xf numFmtId="0" fontId="42" fillId="14" borderId="59" xfId="0" applyFont="1" applyFill="1" applyBorder="1" applyAlignment="1">
      <alignment horizontal="center" vertical="center" wrapText="1"/>
    </xf>
    <xf numFmtId="3" fontId="42" fillId="15" borderId="39" xfId="0" applyNumberFormat="1" applyFont="1" applyFill="1" applyBorder="1" applyAlignment="1">
      <alignment horizontal="center" vertical="center" wrapText="1"/>
    </xf>
    <xf numFmtId="3" fontId="42" fillId="15" borderId="19" xfId="0" applyNumberFormat="1" applyFont="1" applyFill="1" applyBorder="1" applyAlignment="1">
      <alignment horizontal="center" vertical="center" wrapText="1"/>
    </xf>
    <xf numFmtId="3" fontId="42" fillId="8" borderId="40" xfId="0" applyNumberFormat="1"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3" borderId="24"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3" borderId="0" xfId="0" applyFont="1" applyFill="1" applyAlignment="1">
      <alignment horizontal="center" vertical="center" wrapText="1"/>
    </xf>
    <xf numFmtId="0" fontId="5" fillId="3" borderId="38"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31" xfId="0" applyFont="1" applyFill="1" applyBorder="1" applyAlignment="1">
      <alignment horizontal="center" vertical="center" wrapText="1"/>
    </xf>
    <xf numFmtId="9" fontId="5" fillId="5" borderId="37" xfId="0" applyNumberFormat="1" applyFont="1" applyFill="1" applyBorder="1" applyAlignment="1">
      <alignment horizontal="center" vertical="center"/>
    </xf>
    <xf numFmtId="9" fontId="5" fillId="5" borderId="0" xfId="0" applyNumberFormat="1" applyFont="1" applyFill="1" applyAlignment="1">
      <alignment horizontal="center" vertical="center"/>
    </xf>
    <xf numFmtId="9" fontId="5" fillId="5" borderId="6" xfId="0" applyNumberFormat="1" applyFont="1" applyFill="1" applyBorder="1" applyAlignment="1">
      <alignment horizontal="center" vertical="center"/>
    </xf>
    <xf numFmtId="9" fontId="5" fillId="3" borderId="37" xfId="0" applyNumberFormat="1" applyFont="1" applyFill="1" applyBorder="1" applyAlignment="1">
      <alignment horizontal="center" vertical="center"/>
    </xf>
    <xf numFmtId="9" fontId="5" fillId="3" borderId="0" xfId="0" applyNumberFormat="1" applyFont="1" applyFill="1" applyAlignment="1">
      <alignment horizontal="center" vertical="center"/>
    </xf>
    <xf numFmtId="0" fontId="5" fillId="5" borderId="38" xfId="0" applyFont="1" applyFill="1" applyBorder="1" applyAlignment="1">
      <alignment horizontal="center" vertical="top"/>
    </xf>
    <xf numFmtId="0" fontId="5" fillId="5" borderId="30" xfId="0" applyFont="1" applyFill="1" applyBorder="1" applyAlignment="1">
      <alignment horizontal="center" vertical="top"/>
    </xf>
    <xf numFmtId="0" fontId="5" fillId="5" borderId="31" xfId="0" applyFont="1" applyFill="1" applyBorder="1" applyAlignment="1">
      <alignment horizontal="center" vertical="top"/>
    </xf>
    <xf numFmtId="0" fontId="5" fillId="3" borderId="41" xfId="0" applyFont="1" applyFill="1" applyBorder="1" applyAlignment="1">
      <alignment horizontal="center" vertical="top"/>
    </xf>
    <xf numFmtId="0" fontId="5" fillId="3" borderId="9" xfId="0" applyFont="1" applyFill="1" applyBorder="1" applyAlignment="1">
      <alignment horizontal="center" vertical="top"/>
    </xf>
    <xf numFmtId="3" fontId="5" fillId="8" borderId="0" xfId="0" applyNumberFormat="1" applyFont="1" applyFill="1" applyAlignment="1">
      <alignment horizontal="center" vertical="center" wrapText="1"/>
    </xf>
    <xf numFmtId="3" fontId="5" fillId="17" borderId="16" xfId="0" applyNumberFormat="1" applyFont="1" applyFill="1" applyBorder="1" applyAlignment="1">
      <alignment horizontal="left" vertical="center" wrapText="1"/>
    </xf>
    <xf numFmtId="3" fontId="5" fillId="17" borderId="69" xfId="0" applyNumberFormat="1" applyFont="1" applyFill="1" applyBorder="1" applyAlignment="1">
      <alignment horizontal="left" vertical="center" wrapText="1"/>
    </xf>
    <xf numFmtId="3" fontId="5" fillId="17" borderId="64" xfId="0" applyNumberFormat="1" applyFont="1" applyFill="1" applyBorder="1" applyAlignment="1">
      <alignment horizontal="left" vertical="center" wrapText="1"/>
    </xf>
    <xf numFmtId="3" fontId="5" fillId="17" borderId="16" xfId="0" applyNumberFormat="1" applyFont="1" applyFill="1" applyBorder="1" applyAlignment="1">
      <alignment horizontal="center" vertical="center" wrapText="1"/>
    </xf>
    <xf numFmtId="3" fontId="5" fillId="17" borderId="69" xfId="0" applyNumberFormat="1" applyFont="1" applyFill="1" applyBorder="1" applyAlignment="1">
      <alignment horizontal="center" vertical="center" wrapText="1"/>
    </xf>
    <xf numFmtId="3" fontId="5" fillId="17" borderId="46" xfId="0" applyNumberFormat="1" applyFont="1" applyFill="1" applyBorder="1" applyAlignment="1">
      <alignment horizontal="center" vertical="center" wrapText="1"/>
    </xf>
    <xf numFmtId="3" fontId="5" fillId="17" borderId="47" xfId="0" applyNumberFormat="1" applyFont="1" applyFill="1" applyBorder="1" applyAlignment="1">
      <alignment horizontal="center" vertical="center" wrapText="1"/>
    </xf>
    <xf numFmtId="3" fontId="5" fillId="17" borderId="34" xfId="0" applyNumberFormat="1" applyFont="1" applyFill="1" applyBorder="1" applyAlignment="1">
      <alignment horizontal="center" vertical="center" wrapText="1"/>
    </xf>
    <xf numFmtId="3" fontId="5" fillId="17" borderId="4" xfId="0" applyNumberFormat="1" applyFont="1" applyFill="1" applyBorder="1" applyAlignment="1">
      <alignment horizontal="center" vertical="center" wrapText="1"/>
    </xf>
    <xf numFmtId="3" fontId="5" fillId="7" borderId="0" xfId="0" applyNumberFormat="1" applyFont="1" applyFill="1" applyAlignment="1">
      <alignment horizontal="center" vertical="center" wrapText="1"/>
    </xf>
    <xf numFmtId="3" fontId="5" fillId="16" borderId="0" xfId="0" applyNumberFormat="1" applyFont="1" applyFill="1" applyAlignment="1">
      <alignment horizontal="center" vertical="center" wrapText="1"/>
    </xf>
    <xf numFmtId="3" fontId="5" fillId="15" borderId="0" xfId="0" applyNumberFormat="1" applyFont="1" applyFill="1" applyAlignment="1">
      <alignment horizontal="center" vertical="center" wrapText="1"/>
    </xf>
    <xf numFmtId="3" fontId="5" fillId="15" borderId="35" xfId="0" applyNumberFormat="1" applyFont="1" applyFill="1" applyBorder="1" applyAlignment="1">
      <alignment horizontal="center" vertical="center" wrapText="1"/>
    </xf>
    <xf numFmtId="3" fontId="5" fillId="15" borderId="6" xfId="0" applyNumberFormat="1" applyFont="1" applyFill="1" applyBorder="1" applyAlignment="1">
      <alignment horizontal="center" vertical="center" wrapText="1"/>
    </xf>
    <xf numFmtId="3" fontId="5" fillId="17" borderId="64" xfId="0" applyNumberFormat="1" applyFont="1" applyFill="1" applyBorder="1" applyAlignment="1">
      <alignment horizontal="center" vertical="center" wrapText="1"/>
    </xf>
    <xf numFmtId="0" fontId="33" fillId="13" borderId="94" xfId="0" applyFont="1" applyFill="1" applyBorder="1" applyAlignment="1">
      <alignment horizontal="center"/>
    </xf>
    <xf numFmtId="0" fontId="33" fillId="13" borderId="3" xfId="0" applyFont="1" applyFill="1" applyBorder="1" applyAlignment="1">
      <alignment horizontal="center"/>
    </xf>
    <xf numFmtId="0" fontId="33" fillId="10" borderId="54" xfId="0" applyFont="1" applyFill="1" applyBorder="1" applyAlignment="1">
      <alignment horizontal="center" vertical="center" wrapText="1"/>
    </xf>
    <xf numFmtId="0" fontId="33" fillId="10" borderId="56" xfId="0" applyFont="1" applyFill="1" applyBorder="1" applyAlignment="1">
      <alignment horizontal="center" vertical="center" wrapText="1"/>
    </xf>
    <xf numFmtId="0" fontId="33" fillId="0" borderId="44" xfId="0" applyFont="1" applyBorder="1" applyAlignment="1">
      <alignment horizontal="center" vertical="center" wrapText="1"/>
    </xf>
    <xf numFmtId="0" fontId="33" fillId="0" borderId="45" xfId="0" applyFont="1" applyBorder="1" applyAlignment="1">
      <alignment horizontal="center" vertical="center" wrapText="1"/>
    </xf>
    <xf numFmtId="0" fontId="33" fillId="0" borderId="42" xfId="0" applyFont="1" applyBorder="1" applyAlignment="1">
      <alignment horizontal="center" vertical="center" wrapText="1"/>
    </xf>
    <xf numFmtId="0" fontId="33" fillId="0" borderId="37" xfId="0" applyFont="1" applyBorder="1" applyAlignment="1">
      <alignment horizontal="center" vertical="center" wrapText="1"/>
    </xf>
    <xf numFmtId="0" fontId="33" fillId="24" borderId="57" xfId="0" applyFont="1" applyFill="1" applyBorder="1" applyAlignment="1">
      <alignment horizontal="center" vertical="top" wrapText="1"/>
    </xf>
    <xf numFmtId="0" fontId="33" fillId="24" borderId="55" xfId="0" applyFont="1" applyFill="1" applyBorder="1" applyAlignment="1">
      <alignment horizontal="center" vertical="top" wrapText="1"/>
    </xf>
    <xf numFmtId="0" fontId="33" fillId="24" borderId="61" xfId="0" applyFont="1" applyFill="1" applyBorder="1" applyAlignment="1">
      <alignment horizontal="center" vertical="top" wrapText="1"/>
    </xf>
    <xf numFmtId="3" fontId="5" fillId="7" borderId="37" xfId="0" applyNumberFormat="1" applyFont="1" applyFill="1" applyBorder="1" applyAlignment="1">
      <alignment horizontal="center" vertical="center" wrapText="1"/>
    </xf>
    <xf numFmtId="0" fontId="33" fillId="24" borderId="44" xfId="0" applyFont="1" applyFill="1" applyBorder="1" applyAlignment="1">
      <alignment horizontal="center" textRotation="90" wrapText="1"/>
    </xf>
    <xf numFmtId="0" fontId="33" fillId="24" borderId="47" xfId="0" applyFont="1" applyFill="1" applyBorder="1" applyAlignment="1">
      <alignment horizontal="center" textRotation="90" wrapText="1"/>
    </xf>
    <xf numFmtId="0" fontId="5" fillId="3" borderId="42" xfId="0" applyFont="1" applyFill="1" applyBorder="1" applyAlignment="1">
      <alignment horizontal="center"/>
    </xf>
    <xf numFmtId="0" fontId="5" fillId="3" borderId="24" xfId="0" applyFont="1" applyFill="1" applyBorder="1" applyAlignment="1">
      <alignment horizontal="center"/>
    </xf>
    <xf numFmtId="166" fontId="33" fillId="24" borderId="55" xfId="0" applyNumberFormat="1" applyFont="1" applyFill="1" applyBorder="1" applyAlignment="1">
      <alignment horizontal="center" vertical="top" wrapText="1"/>
    </xf>
    <xf numFmtId="166" fontId="33" fillId="24" borderId="61" xfId="0" applyNumberFormat="1" applyFont="1" applyFill="1" applyBorder="1" applyAlignment="1">
      <alignment horizontal="center" vertical="top" wrapText="1"/>
    </xf>
    <xf numFmtId="0" fontId="33" fillId="0" borderId="44" xfId="0" applyFont="1" applyBorder="1" applyAlignment="1">
      <alignment horizontal="center"/>
    </xf>
    <xf numFmtId="0" fontId="33" fillId="0" borderId="45" xfId="0" applyFont="1" applyBorder="1" applyAlignment="1">
      <alignment horizontal="center"/>
    </xf>
    <xf numFmtId="0" fontId="33" fillId="0" borderId="25" xfId="0" applyFont="1" applyBorder="1" applyAlignment="1">
      <alignment horizontal="center" vertical="center" textRotation="90" wrapText="1"/>
    </xf>
    <xf numFmtId="0" fontId="33" fillId="0" borderId="6" xfId="0" applyFont="1" applyBorder="1" applyAlignment="1">
      <alignment horizontal="center" vertical="center" textRotation="90"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21"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5" fillId="4" borderId="22" xfId="0" applyFont="1" applyFill="1" applyBorder="1" applyAlignment="1">
      <alignment horizontal="center" wrapText="1"/>
    </xf>
    <xf numFmtId="0" fontId="5" fillId="4" borderId="23" xfId="0" applyFont="1" applyFill="1" applyBorder="1" applyAlignment="1">
      <alignment horizontal="center" wrapText="1"/>
    </xf>
    <xf numFmtId="0" fontId="5" fillId="4" borderId="11" xfId="0" applyFont="1" applyFill="1" applyBorder="1" applyAlignment="1">
      <alignment horizontal="center" wrapText="1"/>
    </xf>
    <xf numFmtId="0" fontId="5" fillId="4" borderId="18" xfId="0" applyFont="1" applyFill="1" applyBorder="1" applyAlignment="1">
      <alignment horizontal="center" wrapText="1"/>
    </xf>
    <xf numFmtId="0" fontId="5" fillId="4" borderId="27" xfId="0" applyFont="1" applyFill="1" applyBorder="1" applyAlignment="1">
      <alignment horizontal="center" wrapText="1"/>
    </xf>
    <xf numFmtId="0" fontId="5" fillId="4" borderId="28" xfId="0" applyFont="1" applyFill="1" applyBorder="1" applyAlignment="1">
      <alignment horizontal="center" wrapText="1"/>
    </xf>
    <xf numFmtId="0" fontId="5" fillId="9" borderId="20" xfId="0" applyFont="1" applyFill="1" applyBorder="1" applyAlignment="1">
      <alignment horizontal="center" vertical="center"/>
    </xf>
    <xf numFmtId="0" fontId="5" fillId="9" borderId="8" xfId="0" applyFont="1" applyFill="1" applyBorder="1" applyAlignment="1">
      <alignment horizontal="center" vertical="center"/>
    </xf>
    <xf numFmtId="3" fontId="5" fillId="16" borderId="39" xfId="0" applyNumberFormat="1" applyFont="1" applyFill="1" applyBorder="1" applyAlignment="1">
      <alignment horizontal="center" vertical="center" wrapText="1"/>
    </xf>
    <xf numFmtId="3" fontId="5" fillId="16" borderId="9" xfId="0" applyNumberFormat="1" applyFont="1" applyFill="1" applyBorder="1" applyAlignment="1">
      <alignment horizontal="center" vertical="center" wrapText="1"/>
    </xf>
    <xf numFmtId="3" fontId="5" fillId="8" borderId="39" xfId="0" applyNumberFormat="1" applyFont="1" applyFill="1" applyBorder="1" applyAlignment="1">
      <alignment horizontal="center" vertical="center" wrapText="1"/>
    </xf>
    <xf numFmtId="3" fontId="5" fillId="8" borderId="9" xfId="0" applyNumberFormat="1" applyFont="1" applyFill="1" applyBorder="1" applyAlignment="1">
      <alignment horizontal="center" vertical="center" wrapText="1"/>
    </xf>
    <xf numFmtId="3" fontId="5" fillId="8" borderId="95" xfId="0" applyNumberFormat="1" applyFont="1" applyFill="1" applyBorder="1" applyAlignment="1">
      <alignment horizontal="center" vertical="center" wrapText="1"/>
    </xf>
    <xf numFmtId="3" fontId="5" fillId="8" borderId="19" xfId="0" applyNumberFormat="1" applyFont="1" applyFill="1" applyBorder="1" applyAlignment="1">
      <alignment horizontal="center" vertical="center" wrapText="1"/>
    </xf>
    <xf numFmtId="0" fontId="5" fillId="13" borderId="22" xfId="0" applyFont="1" applyFill="1" applyBorder="1" applyAlignment="1">
      <alignment horizontal="center"/>
    </xf>
    <xf numFmtId="0" fontId="5" fillId="13" borderId="25" xfId="0" applyFont="1" applyFill="1" applyBorder="1" applyAlignment="1">
      <alignment horizontal="center"/>
    </xf>
    <xf numFmtId="0" fontId="5" fillId="13" borderId="11" xfId="0" applyFont="1" applyFill="1" applyBorder="1" applyAlignment="1">
      <alignment horizontal="center"/>
    </xf>
    <xf numFmtId="0" fontId="5" fillId="13" borderId="6" xfId="0" applyFont="1" applyFill="1" applyBorder="1" applyAlignment="1">
      <alignment horizontal="center"/>
    </xf>
    <xf numFmtId="0" fontId="5" fillId="13" borderId="27" xfId="0" applyFont="1" applyFill="1" applyBorder="1" applyAlignment="1">
      <alignment horizontal="center"/>
    </xf>
    <xf numFmtId="0" fontId="5" fillId="13" borderId="31" xfId="0" applyFont="1" applyFill="1" applyBorder="1" applyAlignment="1">
      <alignment horizontal="center"/>
    </xf>
    <xf numFmtId="0" fontId="5" fillId="5" borderId="42" xfId="0" applyFont="1" applyFill="1" applyBorder="1" applyAlignment="1">
      <alignment horizontal="center" vertical="center" wrapText="1"/>
    </xf>
    <xf numFmtId="0" fontId="5" fillId="5" borderId="24"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37" xfId="0" applyFont="1" applyFill="1" applyBorder="1" applyAlignment="1">
      <alignment horizontal="center" vertical="center" wrapText="1"/>
    </xf>
    <xf numFmtId="0" fontId="5" fillId="5" borderId="0" xfId="0" applyFont="1" applyFill="1" applyAlignment="1">
      <alignment horizontal="center" vertical="center" wrapText="1"/>
    </xf>
    <xf numFmtId="0" fontId="5" fillId="5" borderId="6" xfId="0" applyFont="1" applyFill="1" applyBorder="1" applyAlignment="1">
      <alignment horizontal="center" vertical="center" wrapText="1"/>
    </xf>
    <xf numFmtId="0" fontId="5" fillId="5" borderId="38"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5" fillId="5" borderId="31" xfId="0" applyFont="1" applyFill="1" applyBorder="1" applyAlignment="1">
      <alignment horizontal="center" vertical="center" wrapText="1"/>
    </xf>
    <xf numFmtId="0" fontId="5" fillId="5" borderId="42" xfId="0" applyFont="1" applyFill="1" applyBorder="1" applyAlignment="1">
      <alignment horizontal="center"/>
    </xf>
    <xf numFmtId="0" fontId="5" fillId="5" borderId="24" xfId="0" applyFont="1" applyFill="1" applyBorder="1" applyAlignment="1">
      <alignment horizontal="center"/>
    </xf>
    <xf numFmtId="0" fontId="5" fillId="5" borderId="25" xfId="0" applyFont="1" applyFill="1" applyBorder="1" applyAlignment="1">
      <alignment horizontal="center"/>
    </xf>
    <xf numFmtId="0" fontId="5" fillId="3" borderId="23" xfId="0" applyFont="1" applyFill="1" applyBorder="1" applyAlignment="1">
      <alignment horizontal="center"/>
    </xf>
    <xf numFmtId="0" fontId="5" fillId="3" borderId="22"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27" xfId="0" applyFont="1" applyFill="1" applyBorder="1" applyAlignment="1">
      <alignment horizontal="center" vertical="center" wrapText="1"/>
    </xf>
    <xf numFmtId="9" fontId="5" fillId="3" borderId="18" xfId="0" applyNumberFormat="1" applyFont="1" applyFill="1" applyBorder="1" applyAlignment="1">
      <alignment horizontal="center" vertical="center"/>
    </xf>
    <xf numFmtId="0" fontId="5" fillId="3" borderId="38" xfId="0" applyFont="1" applyFill="1" applyBorder="1" applyAlignment="1">
      <alignment horizontal="center" vertical="top"/>
    </xf>
    <xf numFmtId="0" fontId="5" fillId="3" borderId="30" xfId="0" applyFont="1" applyFill="1" applyBorder="1" applyAlignment="1">
      <alignment horizontal="center" vertical="top"/>
    </xf>
    <xf numFmtId="0" fontId="5" fillId="3" borderId="28" xfId="0" applyFont="1" applyFill="1" applyBorder="1" applyAlignment="1">
      <alignment horizontal="center" vertical="top"/>
    </xf>
    <xf numFmtId="3" fontId="5" fillId="17" borderId="7" xfId="0" applyNumberFormat="1" applyFont="1" applyFill="1" applyBorder="1" applyAlignment="1">
      <alignment horizontal="center" vertical="center" wrapText="1"/>
    </xf>
    <xf numFmtId="3" fontId="5" fillId="17" borderId="70" xfId="0" applyNumberFormat="1" applyFont="1" applyFill="1" applyBorder="1" applyAlignment="1">
      <alignment horizontal="center" vertical="center" wrapText="1"/>
    </xf>
    <xf numFmtId="3" fontId="5" fillId="8" borderId="40" xfId="0" applyNumberFormat="1" applyFont="1" applyFill="1" applyBorder="1" applyAlignment="1">
      <alignment horizontal="center" vertical="center" wrapText="1"/>
    </xf>
    <xf numFmtId="3" fontId="5" fillId="8" borderId="41" xfId="0" applyNumberFormat="1" applyFont="1" applyFill="1" applyBorder="1" applyAlignment="1">
      <alignment horizontal="center" vertical="center" wrapText="1"/>
    </xf>
    <xf numFmtId="3" fontId="5" fillId="8" borderId="99" xfId="0" applyNumberFormat="1" applyFont="1" applyFill="1" applyBorder="1" applyAlignment="1">
      <alignment horizontal="center" vertical="center" wrapText="1"/>
    </xf>
    <xf numFmtId="3" fontId="5" fillId="8" borderId="12" xfId="0" applyNumberFormat="1" applyFont="1" applyFill="1" applyBorder="1" applyAlignment="1">
      <alignment horizontal="center" vertical="center" wrapText="1"/>
    </xf>
    <xf numFmtId="3" fontId="5" fillId="8" borderId="35" xfId="0" applyNumberFormat="1" applyFont="1" applyFill="1" applyBorder="1" applyAlignment="1">
      <alignment horizontal="center" vertical="center" wrapText="1"/>
    </xf>
    <xf numFmtId="3" fontId="5" fillId="8" borderId="10" xfId="0" applyNumberFormat="1" applyFont="1" applyFill="1" applyBorder="1" applyAlignment="1">
      <alignment horizontal="center" vertical="center" wrapText="1"/>
    </xf>
    <xf numFmtId="3" fontId="5" fillId="15" borderId="39" xfId="0" applyNumberFormat="1" applyFont="1" applyFill="1" applyBorder="1" applyAlignment="1">
      <alignment horizontal="center" vertical="center" wrapText="1"/>
    </xf>
    <xf numFmtId="3" fontId="5" fillId="15" borderId="9" xfId="0" applyNumberFormat="1" applyFont="1" applyFill="1" applyBorder="1" applyAlignment="1">
      <alignment horizontal="center" vertical="center" wrapText="1"/>
    </xf>
    <xf numFmtId="3" fontId="5" fillId="15" borderId="10" xfId="0" applyNumberFormat="1" applyFont="1" applyFill="1" applyBorder="1" applyAlignment="1">
      <alignment horizontal="center" vertical="center" wrapText="1"/>
    </xf>
    <xf numFmtId="3" fontId="5" fillId="15" borderId="40" xfId="0" applyNumberFormat="1" applyFont="1" applyFill="1" applyBorder="1" applyAlignment="1">
      <alignment horizontal="center" vertical="center" wrapText="1"/>
    </xf>
    <xf numFmtId="3" fontId="5" fillId="15" borderId="41" xfId="0" applyNumberFormat="1" applyFont="1" applyFill="1" applyBorder="1" applyAlignment="1">
      <alignment horizontal="center" vertical="center" wrapText="1"/>
    </xf>
    <xf numFmtId="0" fontId="5" fillId="5" borderId="24" xfId="0" applyFont="1" applyFill="1" applyBorder="1" applyAlignment="1">
      <alignment horizontal="center" vertical="center"/>
    </xf>
    <xf numFmtId="0" fontId="5" fillId="5" borderId="25"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0" xfId="0" applyFont="1" applyFill="1" applyAlignment="1">
      <alignment horizontal="center" vertical="center"/>
    </xf>
    <xf numFmtId="0" fontId="5" fillId="5" borderId="6" xfId="0" applyFont="1" applyFill="1" applyBorder="1" applyAlignment="1">
      <alignment horizontal="center" vertical="center"/>
    </xf>
    <xf numFmtId="0" fontId="5" fillId="5" borderId="38" xfId="0" applyFont="1" applyFill="1" applyBorder="1" applyAlignment="1">
      <alignment horizontal="center" vertical="center"/>
    </xf>
    <xf numFmtId="0" fontId="5" fillId="5" borderId="30" xfId="0" applyFont="1" applyFill="1" applyBorder="1" applyAlignment="1">
      <alignment horizontal="center" vertical="center"/>
    </xf>
    <xf numFmtId="0" fontId="5" fillId="5" borderId="31" xfId="0" applyFont="1" applyFill="1" applyBorder="1" applyAlignment="1">
      <alignment horizontal="center" vertical="center"/>
    </xf>
    <xf numFmtId="3" fontId="5" fillId="17" borderId="37" xfId="0" applyNumberFormat="1" applyFont="1" applyFill="1" applyBorder="1" applyAlignment="1">
      <alignment horizontal="center" vertical="center" wrapText="1"/>
    </xf>
    <xf numFmtId="3" fontId="5" fillId="17" borderId="0" xfId="0" applyNumberFormat="1" applyFont="1" applyFill="1" applyAlignment="1">
      <alignment horizontal="center" vertical="center" wrapText="1"/>
    </xf>
    <xf numFmtId="3" fontId="5" fillId="17" borderId="39" xfId="0" applyNumberFormat="1" applyFont="1" applyFill="1" applyBorder="1" applyAlignment="1">
      <alignment horizontal="center" vertical="center" wrapText="1"/>
    </xf>
    <xf numFmtId="3" fontId="5" fillId="17" borderId="35" xfId="0" applyNumberFormat="1" applyFont="1" applyFill="1" applyBorder="1" applyAlignment="1">
      <alignment horizontal="center" vertical="center" wrapText="1"/>
    </xf>
    <xf numFmtId="3" fontId="5" fillId="7" borderId="39" xfId="0" applyNumberFormat="1" applyFont="1" applyFill="1" applyBorder="1" applyAlignment="1">
      <alignment horizontal="center" vertical="center" wrapText="1"/>
    </xf>
    <xf numFmtId="3" fontId="5" fillId="7" borderId="9" xfId="0" applyNumberFormat="1" applyFont="1" applyFill="1" applyBorder="1" applyAlignment="1">
      <alignment horizontal="center" vertical="center" wrapText="1"/>
    </xf>
    <xf numFmtId="3" fontId="5" fillId="17" borderId="40" xfId="0" applyNumberFormat="1" applyFont="1" applyFill="1" applyBorder="1" applyAlignment="1">
      <alignment horizontal="center" vertical="center" wrapText="1"/>
    </xf>
    <xf numFmtId="3" fontId="5" fillId="7" borderId="40" xfId="0" applyNumberFormat="1" applyFont="1" applyFill="1" applyBorder="1" applyAlignment="1">
      <alignment horizontal="center" vertical="center" wrapText="1"/>
    </xf>
    <xf numFmtId="3" fontId="5" fillId="7" borderId="41" xfId="0" applyNumberFormat="1" applyFont="1" applyFill="1" applyBorder="1" applyAlignment="1">
      <alignment horizontal="center" vertical="center" wrapText="1"/>
    </xf>
    <xf numFmtId="3" fontId="5" fillId="14" borderId="20" xfId="0" applyNumberFormat="1" applyFont="1" applyFill="1" applyBorder="1" applyAlignment="1">
      <alignment horizontal="center" vertical="center" wrapText="1"/>
    </xf>
    <xf numFmtId="3" fontId="5" fillId="14" borderId="8" xfId="0" applyNumberFormat="1" applyFont="1" applyFill="1" applyBorder="1" applyAlignment="1">
      <alignment horizontal="center" vertical="center" wrapText="1"/>
    </xf>
    <xf numFmtId="0" fontId="5" fillId="14" borderId="59" xfId="0" applyFont="1" applyFill="1" applyBorder="1" applyAlignment="1">
      <alignment horizontal="center" vertical="center" wrapText="1"/>
    </xf>
    <xf numFmtId="0" fontId="5" fillId="14" borderId="74" xfId="0" applyFont="1" applyFill="1" applyBorder="1" applyAlignment="1">
      <alignment horizontal="center" vertical="center" wrapText="1"/>
    </xf>
    <xf numFmtId="0" fontId="5" fillId="14" borderId="36" xfId="0" applyFont="1" applyFill="1" applyBorder="1" applyAlignment="1">
      <alignment horizontal="center" vertical="center" wrapText="1"/>
    </xf>
    <xf numFmtId="0" fontId="5" fillId="0" borderId="42"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41" xfId="0" applyFont="1" applyBorder="1" applyAlignment="1">
      <alignment horizontal="center" vertical="center" wrapText="1"/>
    </xf>
    <xf numFmtId="0" fontId="5" fillId="4" borderId="32" xfId="0" applyFont="1" applyFill="1" applyBorder="1" applyAlignment="1">
      <alignment horizontal="center" wrapText="1"/>
    </xf>
    <xf numFmtId="0" fontId="5" fillId="4" borderId="15" xfId="0" applyFont="1" applyFill="1" applyBorder="1" applyAlignment="1">
      <alignment horizontal="center" wrapText="1"/>
    </xf>
    <xf numFmtId="0" fontId="5" fillId="13" borderId="32" xfId="0" applyFont="1" applyFill="1" applyBorder="1" applyAlignment="1">
      <alignment horizontal="center"/>
    </xf>
    <xf numFmtId="0" fontId="5" fillId="13" borderId="48" xfId="0" applyFont="1" applyFill="1" applyBorder="1" applyAlignment="1">
      <alignment horizontal="center"/>
    </xf>
    <xf numFmtId="0" fontId="5" fillId="13" borderId="15" xfId="0" applyFont="1" applyFill="1" applyBorder="1" applyAlignment="1">
      <alignment horizontal="center"/>
    </xf>
    <xf numFmtId="0" fontId="5" fillId="13" borderId="36" xfId="0" applyFont="1" applyFill="1" applyBorder="1" applyAlignment="1">
      <alignment horizontal="center"/>
    </xf>
    <xf numFmtId="0" fontId="5" fillId="9" borderId="15" xfId="0" applyFont="1" applyFill="1" applyBorder="1" applyAlignment="1">
      <alignment horizontal="center" vertical="center"/>
    </xf>
    <xf numFmtId="3" fontId="5" fillId="14" borderId="15" xfId="0" applyNumberFormat="1" applyFont="1" applyFill="1" applyBorder="1" applyAlignment="1">
      <alignment horizontal="center" vertical="center" wrapText="1"/>
    </xf>
    <xf numFmtId="0" fontId="5" fillId="9" borderId="20" xfId="0" applyFont="1" applyFill="1" applyBorder="1" applyAlignment="1">
      <alignment horizontal="center"/>
    </xf>
    <xf numFmtId="0" fontId="5" fillId="9" borderId="8" xfId="0" applyFont="1" applyFill="1" applyBorder="1" applyAlignment="1">
      <alignment horizontal="center"/>
    </xf>
    <xf numFmtId="0" fontId="5" fillId="5" borderId="41"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3" fontId="5" fillId="17" borderId="45" xfId="0" applyNumberFormat="1" applyFont="1" applyFill="1" applyBorder="1" applyAlignment="1">
      <alignment horizontal="center" vertical="center" wrapText="1"/>
    </xf>
    <xf numFmtId="0" fontId="33" fillId="0" borderId="45" xfId="0" applyFont="1" applyBorder="1" applyAlignment="1">
      <alignment horizontal="center" vertical="center" textRotation="90" wrapText="1"/>
    </xf>
    <xf numFmtId="0" fontId="33" fillId="0" borderId="47" xfId="0" applyFont="1" applyBorder="1" applyAlignment="1">
      <alignment horizontal="center" vertical="center" textRotation="90" wrapText="1"/>
    </xf>
    <xf numFmtId="0" fontId="34" fillId="21" borderId="44" xfId="0" applyFont="1" applyFill="1" applyBorder="1" applyAlignment="1">
      <alignment horizontal="center" textRotation="90"/>
    </xf>
    <xf numFmtId="0" fontId="34" fillId="21" borderId="47" xfId="0" applyFont="1" applyFill="1" applyBorder="1" applyAlignment="1">
      <alignment horizontal="center" textRotation="90"/>
    </xf>
    <xf numFmtId="0" fontId="34" fillId="0" borderId="54" xfId="0" applyFont="1" applyBorder="1" applyAlignment="1">
      <alignment horizontal="center"/>
    </xf>
    <xf numFmtId="0" fontId="34" fillId="0" borderId="55" xfId="0" applyFont="1" applyBorder="1" applyAlignment="1">
      <alignment horizontal="center"/>
    </xf>
    <xf numFmtId="0" fontId="34" fillId="0" borderId="56" xfId="0" applyFont="1" applyBorder="1" applyAlignment="1">
      <alignment horizontal="center"/>
    </xf>
    <xf numFmtId="0" fontId="34" fillId="0" borderId="0" xfId="0" applyFont="1" applyAlignment="1">
      <alignment horizontal="left" vertical="center" wrapText="1"/>
    </xf>
    <xf numFmtId="0" fontId="5" fillId="19" borderId="44" xfId="0" applyFont="1" applyFill="1" applyBorder="1" applyAlignment="1">
      <alignment horizontal="center" vertical="center" textRotation="90"/>
    </xf>
    <xf numFmtId="0" fontId="5" fillId="19" borderId="45" xfId="0" applyFont="1" applyFill="1" applyBorder="1" applyAlignment="1">
      <alignment horizontal="center" vertical="center" textRotation="90"/>
    </xf>
    <xf numFmtId="0" fontId="5" fillId="19" borderId="47" xfId="0" applyFont="1" applyFill="1" applyBorder="1" applyAlignment="1">
      <alignment horizontal="center" vertical="center" textRotation="90"/>
    </xf>
    <xf numFmtId="0" fontId="5" fillId="5" borderId="54" xfId="0" applyFont="1" applyFill="1" applyBorder="1" applyAlignment="1">
      <alignment horizontal="center"/>
    </xf>
    <xf numFmtId="0" fontId="5" fillId="5" borderId="55" xfId="0" applyFont="1" applyFill="1" applyBorder="1" applyAlignment="1">
      <alignment horizontal="center"/>
    </xf>
    <xf numFmtId="0" fontId="5" fillId="5" borderId="56" xfId="0" applyFont="1" applyFill="1" applyBorder="1" applyAlignment="1">
      <alignment horizontal="center"/>
    </xf>
    <xf numFmtId="0" fontId="5" fillId="19" borderId="91" xfId="0" applyFont="1" applyFill="1" applyBorder="1" applyAlignment="1">
      <alignment horizontal="center" vertical="center" textRotation="90"/>
    </xf>
    <xf numFmtId="0" fontId="5" fillId="0" borderId="44" xfId="0" applyFont="1" applyBorder="1" applyAlignment="1">
      <alignment horizontal="center"/>
    </xf>
    <xf numFmtId="0" fontId="5" fillId="0" borderId="45" xfId="0" applyFont="1" applyBorder="1" applyAlignment="1">
      <alignment horizontal="center"/>
    </xf>
    <xf numFmtId="0" fontId="5" fillId="0" borderId="47" xfId="0" applyFont="1" applyBorder="1" applyAlignment="1">
      <alignment horizontal="center"/>
    </xf>
    <xf numFmtId="0" fontId="0" fillId="11" borderId="4" xfId="0" applyFill="1" applyBorder="1" applyAlignment="1">
      <alignment horizontal="center"/>
    </xf>
    <xf numFmtId="0" fontId="0" fillId="11" borderId="7" xfId="0" applyFill="1" applyBorder="1" applyAlignment="1">
      <alignment horizontal="center"/>
    </xf>
    <xf numFmtId="0" fontId="0" fillId="11" borderId="20" xfId="0" applyFill="1" applyBorder="1" applyAlignment="1">
      <alignment horizontal="center"/>
    </xf>
    <xf numFmtId="0" fontId="0" fillId="11" borderId="8" xfId="0" applyFill="1" applyBorder="1" applyAlignment="1">
      <alignment horizontal="center"/>
    </xf>
    <xf numFmtId="0" fontId="0" fillId="11" borderId="6" xfId="0" applyFill="1" applyBorder="1" applyAlignment="1">
      <alignment horizontal="center"/>
    </xf>
    <xf numFmtId="0" fontId="0" fillId="11" borderId="10" xfId="0" applyFill="1" applyBorder="1" applyAlignment="1">
      <alignment horizontal="center"/>
    </xf>
    <xf numFmtId="0" fontId="0" fillId="14" borderId="20" xfId="0" applyFill="1" applyBorder="1" applyAlignment="1">
      <alignment horizontal="center"/>
    </xf>
    <xf numFmtId="0" fontId="0" fillId="14" borderId="8" xfId="0" applyFill="1" applyBorder="1" applyAlignment="1">
      <alignment horizontal="center"/>
    </xf>
    <xf numFmtId="0" fontId="0" fillId="18" borderId="20" xfId="0" applyFill="1" applyBorder="1" applyAlignment="1">
      <alignment horizontal="center"/>
    </xf>
    <xf numFmtId="0" fontId="0" fillId="18" borderId="8" xfId="0" applyFill="1" applyBorder="1" applyAlignment="1">
      <alignment horizontal="center"/>
    </xf>
    <xf numFmtId="0" fontId="0" fillId="0" borderId="46" xfId="0" applyBorder="1" applyAlignment="1">
      <alignment horizontal="center" vertical="center" textRotation="90"/>
    </xf>
    <xf numFmtId="0" fontId="0" fillId="0" borderId="45" xfId="0" applyBorder="1" applyAlignment="1">
      <alignment horizontal="center" vertical="center" textRotation="90"/>
    </xf>
    <xf numFmtId="0" fontId="0" fillId="0" borderId="37" xfId="0" applyBorder="1" applyAlignment="1">
      <alignment horizontal="center" vertical="center" textRotation="90"/>
    </xf>
    <xf numFmtId="0" fontId="0" fillId="8" borderId="44" xfId="0" applyFill="1" applyBorder="1" applyAlignment="1">
      <alignment horizontal="center" vertical="center" textRotation="90"/>
    </xf>
    <xf numFmtId="0" fontId="0" fillId="8" borderId="45" xfId="0" applyFill="1" applyBorder="1" applyAlignment="1">
      <alignment horizontal="center" vertical="center" textRotation="90"/>
    </xf>
    <xf numFmtId="0" fontId="0" fillId="8" borderId="47" xfId="0" applyFill="1" applyBorder="1" applyAlignment="1">
      <alignment horizontal="center" vertical="center" textRotation="90"/>
    </xf>
    <xf numFmtId="0" fontId="0" fillId="3" borderId="46" xfId="0" applyFill="1" applyBorder="1" applyAlignment="1">
      <alignment horizontal="center" vertical="center" textRotation="90"/>
    </xf>
    <xf numFmtId="0" fontId="0" fillId="3" borderId="45" xfId="0" applyFill="1" applyBorder="1" applyAlignment="1">
      <alignment horizontal="center" vertical="center" textRotation="90"/>
    </xf>
    <xf numFmtId="0" fontId="0" fillId="3" borderId="47" xfId="0" applyFill="1" applyBorder="1" applyAlignment="1">
      <alignment horizontal="center" vertical="center" textRotation="90"/>
    </xf>
    <xf numFmtId="0" fontId="5" fillId="13" borderId="94" xfId="0" applyFont="1" applyFill="1" applyBorder="1" applyAlignment="1">
      <alignment horizontal="center"/>
    </xf>
    <xf numFmtId="0" fontId="5" fillId="13" borderId="1" xfId="0" applyFont="1" applyFill="1" applyBorder="1" applyAlignment="1">
      <alignment horizontal="center"/>
    </xf>
    <xf numFmtId="0" fontId="5" fillId="13" borderId="3" xfId="0" applyFont="1" applyFill="1" applyBorder="1" applyAlignment="1">
      <alignment horizontal="center"/>
    </xf>
    <xf numFmtId="0" fontId="5" fillId="24" borderId="94" xfId="0" applyFont="1" applyFill="1" applyBorder="1" applyAlignment="1">
      <alignment horizontal="center"/>
    </xf>
    <xf numFmtId="0" fontId="5" fillId="24" borderId="1" xfId="0" applyFont="1" applyFill="1" applyBorder="1" applyAlignment="1">
      <alignment horizontal="center"/>
    </xf>
    <xf numFmtId="0" fontId="0" fillId="0" borderId="25" xfId="0" applyBorder="1" applyAlignment="1">
      <alignment horizontal="center" vertical="center" textRotation="90"/>
    </xf>
    <xf numFmtId="0" fontId="0" fillId="0" borderId="6" xfId="0" applyBorder="1" applyAlignment="1">
      <alignment horizontal="center" vertical="center" textRotation="90"/>
    </xf>
    <xf numFmtId="0" fontId="0" fillId="7" borderId="44" xfId="0" applyFill="1" applyBorder="1" applyAlignment="1">
      <alignment horizontal="center" vertical="center" textRotation="90"/>
    </xf>
    <xf numFmtId="0" fontId="0" fillId="7" borderId="45" xfId="0" applyFill="1" applyBorder="1" applyAlignment="1">
      <alignment horizontal="center" vertical="center" textRotation="90"/>
    </xf>
    <xf numFmtId="0" fontId="0" fillId="7" borderId="47" xfId="0" applyFill="1" applyBorder="1" applyAlignment="1">
      <alignment horizontal="center" vertical="center" textRotation="90"/>
    </xf>
    <xf numFmtId="0" fontId="0" fillId="5" borderId="44" xfId="0" applyFill="1" applyBorder="1" applyAlignment="1">
      <alignment horizontal="center" vertical="center" textRotation="90"/>
    </xf>
    <xf numFmtId="0" fontId="0" fillId="5" borderId="45" xfId="0" applyFill="1" applyBorder="1" applyAlignment="1">
      <alignment horizontal="center" vertical="center" textRotation="90"/>
    </xf>
    <xf numFmtId="0" fontId="0" fillId="5" borderId="47" xfId="0" applyFill="1" applyBorder="1" applyAlignment="1">
      <alignment horizontal="center" vertical="center" textRotation="90"/>
    </xf>
    <xf numFmtId="0" fontId="0" fillId="0" borderId="44" xfId="0" applyBorder="1" applyAlignment="1">
      <alignment horizontal="center" vertical="center" textRotation="90"/>
    </xf>
    <xf numFmtId="0" fontId="0" fillId="0" borderId="47" xfId="0" applyBorder="1" applyAlignment="1">
      <alignment horizontal="center" vertical="center" textRotation="90"/>
    </xf>
    <xf numFmtId="0" fontId="0" fillId="3" borderId="44" xfId="0" applyFill="1" applyBorder="1" applyAlignment="1">
      <alignment horizontal="center" vertical="center" textRotation="90"/>
    </xf>
    <xf numFmtId="0" fontId="0" fillId="3" borderId="76" xfId="0" applyFill="1" applyBorder="1" applyAlignment="1">
      <alignment horizontal="center" vertical="center" textRotation="90"/>
    </xf>
    <xf numFmtId="0" fontId="5" fillId="10" borderId="94" xfId="0" applyFont="1" applyFill="1" applyBorder="1" applyAlignment="1">
      <alignment horizontal="center"/>
    </xf>
    <xf numFmtId="0" fontId="5" fillId="10" borderId="1" xfId="0" applyFont="1" applyFill="1" applyBorder="1" applyAlignment="1">
      <alignment horizontal="center"/>
    </xf>
    <xf numFmtId="0" fontId="5" fillId="10" borderId="3" xfId="0" applyFont="1" applyFill="1" applyBorder="1" applyAlignment="1">
      <alignment horizontal="center"/>
    </xf>
    <xf numFmtId="0" fontId="0" fillId="3" borderId="6" xfId="0" applyFill="1" applyBorder="1" applyAlignment="1">
      <alignment horizontal="center" vertical="center" textRotation="90"/>
    </xf>
    <xf numFmtId="0" fontId="0" fillId="0" borderId="76" xfId="0" applyBorder="1" applyAlignment="1">
      <alignment horizontal="center" vertical="center" textRotation="90"/>
    </xf>
    <xf numFmtId="0" fontId="0" fillId="3" borderId="25" xfId="0" applyFill="1" applyBorder="1" applyAlignment="1">
      <alignment horizontal="center" vertical="center" textRotation="90"/>
    </xf>
    <xf numFmtId="0" fontId="0" fillId="3" borderId="31" xfId="0" applyFill="1" applyBorder="1" applyAlignment="1">
      <alignment horizontal="center" vertical="center" textRotation="90"/>
    </xf>
    <xf numFmtId="0" fontId="0" fillId="0" borderId="35" xfId="0" applyBorder="1" applyAlignment="1">
      <alignment horizontal="center" vertical="center" textRotation="90"/>
    </xf>
    <xf numFmtId="0" fontId="0" fillId="0" borderId="30" xfId="0" applyBorder="1" applyAlignment="1">
      <alignment horizontal="center" vertical="center" textRotation="90"/>
    </xf>
    <xf numFmtId="0" fontId="0" fillId="3" borderId="39" xfId="0" applyFill="1" applyBorder="1" applyAlignment="1">
      <alignment horizontal="center" vertical="center" textRotation="90"/>
    </xf>
    <xf numFmtId="0" fontId="0" fillId="3" borderId="0" xfId="0" applyFill="1" applyAlignment="1">
      <alignment horizontal="center" vertical="center" textRotation="90"/>
    </xf>
    <xf numFmtId="0" fontId="0" fillId="3" borderId="9" xfId="0" applyFill="1" applyBorder="1" applyAlignment="1">
      <alignment horizontal="center" vertical="center" textRotation="90"/>
    </xf>
    <xf numFmtId="0" fontId="0" fillId="0" borderId="24" xfId="0" applyBorder="1" applyAlignment="1">
      <alignment horizontal="center" vertical="center" textRotation="90"/>
    </xf>
    <xf numFmtId="0" fontId="0" fillId="0" borderId="0" xfId="0" applyAlignment="1">
      <alignment horizontal="center" vertical="center" textRotation="90"/>
    </xf>
    <xf numFmtId="0" fontId="0" fillId="5" borderId="39" xfId="0" applyFill="1" applyBorder="1" applyAlignment="1">
      <alignment horizontal="center" vertical="center" textRotation="90"/>
    </xf>
    <xf numFmtId="0" fontId="0" fillId="5" borderId="0" xfId="0" applyFill="1" applyAlignment="1">
      <alignment horizontal="center" vertical="center" textRotation="90"/>
    </xf>
    <xf numFmtId="0" fontId="0" fillId="0" borderId="40" xfId="0" applyBorder="1" applyAlignment="1">
      <alignment horizontal="center" vertical="center" textRotation="90"/>
    </xf>
    <xf numFmtId="0" fontId="0" fillId="0" borderId="41" xfId="0" applyBorder="1" applyAlignment="1">
      <alignment horizontal="center" vertical="center" textRotation="90"/>
    </xf>
    <xf numFmtId="0" fontId="0" fillId="5" borderId="46" xfId="0" applyFill="1" applyBorder="1" applyAlignment="1">
      <alignment horizontal="center" vertical="center" textRotation="90"/>
    </xf>
    <xf numFmtId="0" fontId="0" fillId="0" borderId="42" xfId="0" applyBorder="1" applyAlignment="1">
      <alignment horizontal="center" vertical="center" textRotation="90"/>
    </xf>
    <xf numFmtId="0" fontId="0" fillId="0" borderId="38" xfId="0" applyBorder="1" applyAlignment="1">
      <alignment horizontal="center" vertical="center" textRotation="90"/>
    </xf>
    <xf numFmtId="0" fontId="0" fillId="5" borderId="40" xfId="0" applyFill="1" applyBorder="1" applyAlignment="1">
      <alignment horizontal="center" vertical="center" textRotation="90"/>
    </xf>
    <xf numFmtId="0" fontId="0" fillId="5" borderId="37" xfId="0" applyFill="1" applyBorder="1" applyAlignment="1">
      <alignment horizontal="center" vertical="center" textRotation="90"/>
    </xf>
    <xf numFmtId="0" fontId="0" fillId="5" borderId="38" xfId="0" applyFill="1" applyBorder="1" applyAlignment="1">
      <alignment horizontal="center" vertical="center" textRotation="90"/>
    </xf>
    <xf numFmtId="0" fontId="0" fillId="0" borderId="24" xfId="0" applyBorder="1" applyAlignment="1">
      <alignment horizontal="center"/>
    </xf>
    <xf numFmtId="0" fontId="0" fillId="0" borderId="25" xfId="0" applyBorder="1" applyAlignment="1">
      <alignment horizontal="center"/>
    </xf>
    <xf numFmtId="0" fontId="5" fillId="13" borderId="0" xfId="0" applyFont="1" applyFill="1" applyAlignment="1">
      <alignment horizontal="center" vertical="center" textRotation="90"/>
    </xf>
    <xf numFmtId="0" fontId="5" fillId="13" borderId="90" xfId="0" applyFont="1" applyFill="1" applyBorder="1" applyAlignment="1">
      <alignment vertical="center" textRotation="90"/>
    </xf>
    <xf numFmtId="0" fontId="5" fillId="13" borderId="0" xfId="0" applyFont="1" applyFill="1" applyAlignment="1">
      <alignment vertical="center" textRotation="90"/>
    </xf>
    <xf numFmtId="0" fontId="0" fillId="0" borderId="22" xfId="0" applyBorder="1" applyAlignment="1">
      <alignment horizontal="center"/>
    </xf>
    <xf numFmtId="0" fontId="0" fillId="0" borderId="23" xfId="0" applyBorder="1" applyAlignment="1">
      <alignment horizontal="center"/>
    </xf>
    <xf numFmtId="0" fontId="5" fillId="13" borderId="20" xfId="0" applyFont="1" applyFill="1" applyBorder="1" applyAlignment="1">
      <alignment horizontal="center" vertical="center" textRotation="90"/>
    </xf>
    <xf numFmtId="0" fontId="5" fillId="13" borderId="5" xfId="0" applyFont="1" applyFill="1" applyBorder="1" applyAlignment="1">
      <alignment horizontal="center" vertical="center" textRotation="90"/>
    </xf>
    <xf numFmtId="0" fontId="9" fillId="0" borderId="21" xfId="0" applyFont="1" applyBorder="1" applyAlignment="1">
      <alignment horizontal="center" vertical="center" textRotation="90"/>
    </xf>
    <xf numFmtId="0" fontId="9" fillId="0" borderId="4" xfId="0" applyFont="1" applyBorder="1" applyAlignment="1">
      <alignment horizontal="center" vertical="center" textRotation="90"/>
    </xf>
    <xf numFmtId="0" fontId="9" fillId="0" borderId="7" xfId="0" applyFont="1" applyBorder="1" applyAlignment="1">
      <alignment horizontal="center" vertical="center" textRotation="90"/>
    </xf>
    <xf numFmtId="0" fontId="19" fillId="0" borderId="24" xfId="0" applyFont="1" applyBorder="1" applyAlignment="1">
      <alignment horizontal="center"/>
    </xf>
    <xf numFmtId="0" fontId="19" fillId="0" borderId="25" xfId="0" applyFont="1" applyBorder="1" applyAlignment="1">
      <alignment horizontal="center"/>
    </xf>
    <xf numFmtId="0" fontId="19" fillId="0" borderId="22" xfId="0" applyFont="1" applyBorder="1" applyAlignment="1">
      <alignment horizontal="center"/>
    </xf>
    <xf numFmtId="0" fontId="19" fillId="0" borderId="23" xfId="0" applyFont="1" applyBorder="1" applyAlignment="1">
      <alignment horizontal="center"/>
    </xf>
    <xf numFmtId="0" fontId="9" fillId="0" borderId="43" xfId="0" applyFont="1" applyBorder="1" applyAlignment="1">
      <alignment horizontal="center"/>
    </xf>
    <xf numFmtId="0" fontId="9" fillId="0" borderId="5" xfId="0" applyFont="1" applyBorder="1" applyAlignment="1">
      <alignment horizontal="center"/>
    </xf>
    <xf numFmtId="0" fontId="9" fillId="0" borderId="87" xfId="0" applyFont="1" applyBorder="1" applyAlignment="1">
      <alignment horizontal="center"/>
    </xf>
    <xf numFmtId="0" fontId="19" fillId="0" borderId="11" xfId="0" applyFont="1" applyBorder="1" applyAlignment="1">
      <alignment horizontal="center"/>
    </xf>
    <xf numFmtId="0" fontId="19" fillId="0" borderId="18" xfId="0" applyFont="1" applyBorder="1" applyAlignment="1">
      <alignment horizontal="center"/>
    </xf>
    <xf numFmtId="0" fontId="19" fillId="0" borderId="6" xfId="0" applyFont="1" applyBorder="1" applyAlignment="1">
      <alignment horizontal="center"/>
    </xf>
    <xf numFmtId="0" fontId="9" fillId="0" borderId="24" xfId="0" applyFont="1" applyBorder="1" applyAlignment="1">
      <alignment horizontal="center"/>
    </xf>
    <xf numFmtId="0" fontId="9" fillId="0" borderId="84" xfId="0" applyFont="1" applyBorder="1" applyAlignment="1">
      <alignment horizontal="center"/>
    </xf>
    <xf numFmtId="49" fontId="16" fillId="0" borderId="24" xfId="0" applyNumberFormat="1" applyFont="1" applyBorder="1" applyAlignment="1">
      <alignment horizontal="center" vertical="top" wrapText="1"/>
    </xf>
    <xf numFmtId="49" fontId="16" fillId="0" borderId="84" xfId="0" applyNumberFormat="1" applyFont="1" applyBorder="1" applyAlignment="1">
      <alignment horizontal="center" vertical="top" wrapText="1"/>
    </xf>
    <xf numFmtId="49" fontId="16" fillId="0" borderId="42" xfId="0" applyNumberFormat="1" applyFont="1" applyBorder="1" applyAlignment="1">
      <alignment horizontal="center" vertical="top" wrapText="1"/>
    </xf>
    <xf numFmtId="49" fontId="16" fillId="0" borderId="88" xfId="0" applyNumberFormat="1" applyFont="1" applyBorder="1" applyAlignment="1">
      <alignment horizontal="center" vertical="top" wrapText="1"/>
    </xf>
    <xf numFmtId="49" fontId="16" fillId="0" borderId="25" xfId="0" applyNumberFormat="1" applyFont="1" applyBorder="1" applyAlignment="1">
      <alignment horizontal="center" vertical="top" wrapText="1"/>
    </xf>
    <xf numFmtId="49" fontId="16" fillId="0" borderId="85" xfId="0" applyNumberFormat="1" applyFont="1" applyBorder="1" applyAlignment="1">
      <alignment horizontal="center" vertical="top" wrapText="1"/>
    </xf>
    <xf numFmtId="49" fontId="16" fillId="0" borderId="32" xfId="0" applyNumberFormat="1" applyFont="1" applyBorder="1" applyAlignment="1">
      <alignment horizontal="center" vertical="top" wrapText="1"/>
    </xf>
    <xf numFmtId="49" fontId="16" fillId="0" borderId="89" xfId="0" applyNumberFormat="1" applyFont="1" applyBorder="1" applyAlignment="1">
      <alignment horizontal="center" vertical="top" wrapText="1"/>
    </xf>
    <xf numFmtId="0" fontId="10" fillId="0" borderId="20" xfId="0" applyFont="1" applyBorder="1" applyAlignment="1">
      <alignment horizontal="left" vertical="top"/>
    </xf>
    <xf numFmtId="0" fontId="10" fillId="0" borderId="5" xfId="0" applyFont="1" applyBorder="1" applyAlignment="1">
      <alignment horizontal="left" vertical="top"/>
    </xf>
    <xf numFmtId="0" fontId="10" fillId="0" borderId="29" xfId="0" applyFont="1" applyBorder="1" applyAlignment="1">
      <alignment horizontal="left" vertical="top"/>
    </xf>
    <xf numFmtId="0" fontId="1" fillId="0" borderId="0" xfId="10" applyAlignment="1">
      <alignment horizontal="center"/>
    </xf>
  </cellXfs>
  <cellStyles count="12">
    <cellStyle name="Comma 2" xfId="11" xr:uid="{CABC5A5F-E81E-904B-AEC7-C08BA46B23ED}"/>
    <cellStyle name="Hyperlink" xfId="6" builtinId="8"/>
    <cellStyle name="Normal" xfId="0" builtinId="0"/>
    <cellStyle name="Normal 2" xfId="2" xr:uid="{6D6053C9-7D62-4B45-820A-B1BC473FAC0A}"/>
    <cellStyle name="Normal 2 2" xfId="8" xr:uid="{7164E1C7-58BE-40B8-9A7C-26BA4626F82C}"/>
    <cellStyle name="Normal 2 2 2" xfId="10" xr:uid="{42CB3383-463C-B245-B215-8B0C7396C4B2}"/>
    <cellStyle name="Normal 3" xfId="3" xr:uid="{0B7FA5BC-626A-4836-A9B9-658F370D2663}"/>
    <cellStyle name="Normal 4" xfId="7" xr:uid="{323B44F2-B13C-49A9-893D-C46B5DDCE5FA}"/>
    <cellStyle name="Normal 4 2" xfId="9" xr:uid="{AF93E264-0629-4541-906D-5371E708472F}"/>
    <cellStyle name="Normal 5 2" xfId="5" xr:uid="{F163C900-C9BE-F842-B9D5-4EE6A4F62B7F}"/>
    <cellStyle name="Per cent" xfId="1" builtinId="5"/>
    <cellStyle name="Percent 2" xfId="4" xr:uid="{0E50EA30-AF03-42E1-91E7-5CDCF0A3A9FD}"/>
  </cellStyles>
  <dxfs count="15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BBD0"/>
      <color rgb="FFFF00FF"/>
      <color rgb="FFF3D3D3"/>
      <color rgb="FFF3DE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'App8a - 2YR_Breast_48_49'!$B$11:$B$20</c:f>
              <c:numCache>
                <c:formatCode>General</c:formatCode>
                <c:ptCount val="10"/>
                <c:pt idx="0">
                  <c:v>45</c:v>
                </c:pt>
                <c:pt idx="1">
                  <c:v>46</c:v>
                </c:pt>
                <c:pt idx="2">
                  <c:v>47</c:v>
                </c:pt>
                <c:pt idx="3">
                  <c:v>48</c:v>
                </c:pt>
                <c:pt idx="4">
                  <c:v>49</c:v>
                </c:pt>
                <c:pt idx="5">
                  <c:v>50</c:v>
                </c:pt>
                <c:pt idx="6">
                  <c:v>51</c:v>
                </c:pt>
                <c:pt idx="7">
                  <c:v>52</c:v>
                </c:pt>
                <c:pt idx="8">
                  <c:v>53</c:v>
                </c:pt>
                <c:pt idx="9">
                  <c:v>54</c:v>
                </c:pt>
              </c:numCache>
            </c:numRef>
          </c:cat>
          <c:val>
            <c:numRef>
              <c:f>'App8a - 2YR_Breast_48_49'!$C$11:$C$20</c:f>
              <c:numCache>
                <c:formatCode>0.0</c:formatCode>
                <c:ptCount val="10"/>
                <c:pt idx="0">
                  <c:v>214.8</c:v>
                </c:pt>
                <c:pt idx="1">
                  <c:v>214.8</c:v>
                </c:pt>
                <c:pt idx="2">
                  <c:v>214.8</c:v>
                </c:pt>
                <c:pt idx="3">
                  <c:v>214.8</c:v>
                </c:pt>
                <c:pt idx="4">
                  <c:v>214.8</c:v>
                </c:pt>
                <c:pt idx="5">
                  <c:v>279.8</c:v>
                </c:pt>
                <c:pt idx="6">
                  <c:v>279.8</c:v>
                </c:pt>
                <c:pt idx="7">
                  <c:v>279.8</c:v>
                </c:pt>
                <c:pt idx="8">
                  <c:v>279.8</c:v>
                </c:pt>
                <c:pt idx="9">
                  <c:v>279.8</c:v>
                </c:pt>
              </c:numCache>
            </c:numRef>
          </c:val>
          <c:extLst>
            <c:ext xmlns:c16="http://schemas.microsoft.com/office/drawing/2014/chart" uri="{C3380CC4-5D6E-409C-BE32-E72D297353CC}">
              <c16:uniqueId val="{00000000-D176-C448-802A-1A848F49CE5A}"/>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'App8a - 2YR_Breast_48_49'!$D$11:$D$20</c:f>
              <c:numCache>
                <c:formatCode>0.0</c:formatCode>
                <c:ptCount val="10"/>
                <c:pt idx="0">
                  <c:v>188.8</c:v>
                </c:pt>
                <c:pt idx="1">
                  <c:v>201.8</c:v>
                </c:pt>
                <c:pt idx="2">
                  <c:v>214.8</c:v>
                </c:pt>
                <c:pt idx="3">
                  <c:v>227.8</c:v>
                </c:pt>
                <c:pt idx="4">
                  <c:v>240.8</c:v>
                </c:pt>
                <c:pt idx="5">
                  <c:v>253.8</c:v>
                </c:pt>
                <c:pt idx="6">
                  <c:v>266.8</c:v>
                </c:pt>
                <c:pt idx="7">
                  <c:v>279.8</c:v>
                </c:pt>
                <c:pt idx="8">
                  <c:v>292.8</c:v>
                </c:pt>
                <c:pt idx="9">
                  <c:v>305.8</c:v>
                </c:pt>
              </c:numCache>
            </c:numRef>
          </c:val>
          <c:smooth val="0"/>
          <c:extLst>
            <c:ext xmlns:c16="http://schemas.microsoft.com/office/drawing/2014/chart" uri="{C3380CC4-5D6E-409C-BE32-E72D297353CC}">
              <c16:uniqueId val="{00000001-D176-C448-802A-1A848F49CE5A}"/>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Lit>
              <c:formatCode>General</c:formatCode>
              <c:ptCount val="10"/>
              <c:pt idx="0">
                <c:v>55</c:v>
              </c:pt>
              <c:pt idx="1">
                <c:v>56</c:v>
              </c:pt>
              <c:pt idx="2">
                <c:v>57</c:v>
              </c:pt>
              <c:pt idx="3">
                <c:v>58</c:v>
              </c:pt>
              <c:pt idx="4">
                <c:v>59</c:v>
              </c:pt>
              <c:pt idx="5">
                <c:v>60</c:v>
              </c:pt>
              <c:pt idx="6">
                <c:v>61</c:v>
              </c:pt>
              <c:pt idx="7">
                <c:v>62</c:v>
              </c:pt>
              <c:pt idx="8">
                <c:v>63</c:v>
              </c:pt>
              <c:pt idx="9">
                <c:v>64</c:v>
              </c:pt>
            </c:numLit>
          </c:cat>
          <c:val>
            <c:numLit>
              <c:formatCode>General</c:formatCode>
              <c:ptCount val="10"/>
              <c:pt idx="0">
                <c:v>3092.8331946666667</c:v>
              </c:pt>
              <c:pt idx="1">
                <c:v>3092.8331946666667</c:v>
              </c:pt>
              <c:pt idx="2">
                <c:v>3092.8331946666667</c:v>
              </c:pt>
              <c:pt idx="3">
                <c:v>3092.8331946666667</c:v>
              </c:pt>
              <c:pt idx="4">
                <c:v>3092.8331946666667</c:v>
              </c:pt>
              <c:pt idx="5">
                <c:v>4343.7779320000009</c:v>
              </c:pt>
              <c:pt idx="6">
                <c:v>4343.7779320000009</c:v>
              </c:pt>
              <c:pt idx="7">
                <c:v>4343.7779320000009</c:v>
              </c:pt>
              <c:pt idx="8">
                <c:v>4343.7779320000009</c:v>
              </c:pt>
              <c:pt idx="9">
                <c:v>4343.7779320000009</c:v>
              </c:pt>
            </c:numLit>
          </c:val>
          <c:extLst>
            <c:ext xmlns:c16="http://schemas.microsoft.com/office/drawing/2014/chart" uri="{C3380CC4-5D6E-409C-BE32-E72D297353CC}">
              <c16:uniqueId val="{00000000-A59C-AB48-BA83-0782CD66D86C}"/>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10"/>
              <c:pt idx="0">
                <c:v>2592.455299733333</c:v>
              </c:pt>
              <c:pt idx="1">
                <c:v>2842.6442471999999</c:v>
              </c:pt>
              <c:pt idx="2">
                <c:v>3092.8331946666667</c:v>
              </c:pt>
              <c:pt idx="3">
                <c:v>3343.0221421333335</c:v>
              </c:pt>
              <c:pt idx="4">
                <c:v>3593.2110896000004</c:v>
              </c:pt>
              <c:pt idx="5">
                <c:v>3843.4000370666672</c:v>
              </c:pt>
              <c:pt idx="6">
                <c:v>4093.588984533334</c:v>
              </c:pt>
              <c:pt idx="7">
                <c:v>4343.7779320000009</c:v>
              </c:pt>
              <c:pt idx="8">
                <c:v>4593.9668794666677</c:v>
              </c:pt>
              <c:pt idx="9">
                <c:v>4844.1558269333345</c:v>
              </c:pt>
            </c:numLit>
          </c:val>
          <c:smooth val="0"/>
          <c:extLst>
            <c:ext xmlns:c16="http://schemas.microsoft.com/office/drawing/2014/chart" uri="{C3380CC4-5D6E-409C-BE32-E72D297353CC}">
              <c16:uniqueId val="{00000001-A59C-AB48-BA83-0782CD66D86C}"/>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'App8a - 2YR_Breast_48_49'!$B$38:$B$47</c:f>
              <c:numCache>
                <c:formatCode>General</c:formatCode>
                <c:ptCount val="10"/>
                <c:pt idx="0">
                  <c:v>45</c:v>
                </c:pt>
                <c:pt idx="1">
                  <c:v>46</c:v>
                </c:pt>
                <c:pt idx="2">
                  <c:v>47</c:v>
                </c:pt>
                <c:pt idx="3">
                  <c:v>48</c:v>
                </c:pt>
                <c:pt idx="4">
                  <c:v>49</c:v>
                </c:pt>
                <c:pt idx="5">
                  <c:v>50</c:v>
                </c:pt>
                <c:pt idx="6">
                  <c:v>51</c:v>
                </c:pt>
                <c:pt idx="7">
                  <c:v>52</c:v>
                </c:pt>
                <c:pt idx="8">
                  <c:v>53</c:v>
                </c:pt>
                <c:pt idx="9">
                  <c:v>54</c:v>
                </c:pt>
              </c:numCache>
            </c:numRef>
          </c:cat>
          <c:val>
            <c:numRef>
              <c:f>'App8a - 2YR_Breast_48_49'!$C$38:$C$47</c:f>
              <c:numCache>
                <c:formatCode>0</c:formatCode>
                <c:ptCount val="10"/>
                <c:pt idx="0">
                  <c:v>4974</c:v>
                </c:pt>
                <c:pt idx="1">
                  <c:v>4974</c:v>
                </c:pt>
                <c:pt idx="2">
                  <c:v>4974</c:v>
                </c:pt>
                <c:pt idx="3">
                  <c:v>4974</c:v>
                </c:pt>
                <c:pt idx="4">
                  <c:v>4974</c:v>
                </c:pt>
                <c:pt idx="5">
                  <c:v>6616</c:v>
                </c:pt>
                <c:pt idx="6">
                  <c:v>6616</c:v>
                </c:pt>
                <c:pt idx="7">
                  <c:v>6616</c:v>
                </c:pt>
                <c:pt idx="8">
                  <c:v>6616</c:v>
                </c:pt>
                <c:pt idx="9">
                  <c:v>6616</c:v>
                </c:pt>
              </c:numCache>
            </c:numRef>
          </c:val>
          <c:extLst>
            <c:ext xmlns:c16="http://schemas.microsoft.com/office/drawing/2014/chart" uri="{C3380CC4-5D6E-409C-BE32-E72D297353CC}">
              <c16:uniqueId val="{00000000-965C-A843-8751-E7204015888E}"/>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'App8a - 2YR_Breast_48_49'!$D$38:$D$47</c:f>
              <c:numCache>
                <c:formatCode>0.0</c:formatCode>
                <c:ptCount val="10"/>
                <c:pt idx="0">
                  <c:v>4317.2</c:v>
                </c:pt>
                <c:pt idx="1">
                  <c:v>4645.6000000000004</c:v>
                </c:pt>
                <c:pt idx="2">
                  <c:v>4974</c:v>
                </c:pt>
                <c:pt idx="3">
                  <c:v>5302.4</c:v>
                </c:pt>
                <c:pt idx="4">
                  <c:v>5630.8</c:v>
                </c:pt>
                <c:pt idx="5">
                  <c:v>5959.2</c:v>
                </c:pt>
                <c:pt idx="6">
                  <c:v>6287.6</c:v>
                </c:pt>
                <c:pt idx="7">
                  <c:v>6616</c:v>
                </c:pt>
                <c:pt idx="8">
                  <c:v>6944.4</c:v>
                </c:pt>
                <c:pt idx="9">
                  <c:v>7272.7999999999993</c:v>
                </c:pt>
              </c:numCache>
            </c:numRef>
          </c:val>
          <c:smooth val="0"/>
          <c:extLst>
            <c:ext xmlns:c16="http://schemas.microsoft.com/office/drawing/2014/chart" uri="{C3380CC4-5D6E-409C-BE32-E72D297353CC}">
              <c16:uniqueId val="{00000001-965C-A843-8751-E7204015888E}"/>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'App8b - 2YR_Prostate_58_59'!$B$11:$B$20</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'App8b - 2YR_Prostate_58_59'!$C$11:$C$20</c:f>
              <c:numCache>
                <c:formatCode>0.0</c:formatCode>
                <c:ptCount val="10"/>
                <c:pt idx="0">
                  <c:v>201.8</c:v>
                </c:pt>
                <c:pt idx="1">
                  <c:v>201.8</c:v>
                </c:pt>
                <c:pt idx="2">
                  <c:v>201.8</c:v>
                </c:pt>
                <c:pt idx="3">
                  <c:v>201.8</c:v>
                </c:pt>
                <c:pt idx="4">
                  <c:v>201.8</c:v>
                </c:pt>
                <c:pt idx="5">
                  <c:v>356.1</c:v>
                </c:pt>
                <c:pt idx="6">
                  <c:v>356.1</c:v>
                </c:pt>
                <c:pt idx="7">
                  <c:v>356.1</c:v>
                </c:pt>
                <c:pt idx="8">
                  <c:v>356.1</c:v>
                </c:pt>
                <c:pt idx="9">
                  <c:v>356.1</c:v>
                </c:pt>
              </c:numCache>
            </c:numRef>
          </c:val>
          <c:extLst>
            <c:ext xmlns:c16="http://schemas.microsoft.com/office/drawing/2014/chart" uri="{C3380CC4-5D6E-409C-BE32-E72D297353CC}">
              <c16:uniqueId val="{00000000-5AD6-FB49-B6F6-B88CD07F975A}"/>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'App8b - 2YR_Prostate_58_59'!$D$11:$D$20</c:f>
              <c:numCache>
                <c:formatCode>0.0</c:formatCode>
                <c:ptCount val="10"/>
                <c:pt idx="0">
                  <c:v>140.08000000000001</c:v>
                </c:pt>
                <c:pt idx="1">
                  <c:v>170.94</c:v>
                </c:pt>
                <c:pt idx="2">
                  <c:v>201.8</c:v>
                </c:pt>
                <c:pt idx="3">
                  <c:v>232.66000000000003</c:v>
                </c:pt>
                <c:pt idx="4">
                  <c:v>263.52000000000004</c:v>
                </c:pt>
                <c:pt idx="5">
                  <c:v>294.38</c:v>
                </c:pt>
                <c:pt idx="6">
                  <c:v>325.24</c:v>
                </c:pt>
                <c:pt idx="7">
                  <c:v>356.1</c:v>
                </c:pt>
                <c:pt idx="8">
                  <c:v>386.96000000000004</c:v>
                </c:pt>
                <c:pt idx="9">
                  <c:v>417.82000000000005</c:v>
                </c:pt>
              </c:numCache>
            </c:numRef>
          </c:val>
          <c:smooth val="0"/>
          <c:extLst>
            <c:ext xmlns:c16="http://schemas.microsoft.com/office/drawing/2014/chart" uri="{C3380CC4-5D6E-409C-BE32-E72D297353CC}">
              <c16:uniqueId val="{00000001-5AD6-FB49-B6F6-B88CD07F975A}"/>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'App8b - 2YR_Prostate_58_59'!$B$38:$B$47</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'App8b - 2YR_Prostate_58_59'!$C$38:$C$47</c:f>
              <c:numCache>
                <c:formatCode>0</c:formatCode>
                <c:ptCount val="10"/>
                <c:pt idx="0">
                  <c:v>4161</c:v>
                </c:pt>
                <c:pt idx="1">
                  <c:v>4161</c:v>
                </c:pt>
                <c:pt idx="2">
                  <c:v>4161</c:v>
                </c:pt>
                <c:pt idx="3">
                  <c:v>4161</c:v>
                </c:pt>
                <c:pt idx="4">
                  <c:v>4161</c:v>
                </c:pt>
                <c:pt idx="5">
                  <c:v>6285</c:v>
                </c:pt>
                <c:pt idx="6">
                  <c:v>6285</c:v>
                </c:pt>
                <c:pt idx="7">
                  <c:v>6285</c:v>
                </c:pt>
                <c:pt idx="8">
                  <c:v>6285</c:v>
                </c:pt>
                <c:pt idx="9">
                  <c:v>6285</c:v>
                </c:pt>
              </c:numCache>
            </c:numRef>
          </c:val>
          <c:extLst>
            <c:ext xmlns:c16="http://schemas.microsoft.com/office/drawing/2014/chart" uri="{C3380CC4-5D6E-409C-BE32-E72D297353CC}">
              <c16:uniqueId val="{00000000-6AF7-5F4F-9077-F1BA2785A904}"/>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'App8b - 2YR_Prostate_58_59'!$D$38:$D$47</c:f>
              <c:numCache>
                <c:formatCode>0.0</c:formatCode>
                <c:ptCount val="10"/>
                <c:pt idx="0">
                  <c:v>3311.4</c:v>
                </c:pt>
                <c:pt idx="1">
                  <c:v>3736.2</c:v>
                </c:pt>
                <c:pt idx="2">
                  <c:v>4161</c:v>
                </c:pt>
                <c:pt idx="3">
                  <c:v>4585.8</c:v>
                </c:pt>
                <c:pt idx="4">
                  <c:v>5010.6000000000004</c:v>
                </c:pt>
                <c:pt idx="5">
                  <c:v>5435.4</c:v>
                </c:pt>
                <c:pt idx="6">
                  <c:v>5860.2</c:v>
                </c:pt>
                <c:pt idx="7">
                  <c:v>6285</c:v>
                </c:pt>
                <c:pt idx="8">
                  <c:v>6709.8</c:v>
                </c:pt>
                <c:pt idx="9">
                  <c:v>7134.6</c:v>
                </c:pt>
              </c:numCache>
            </c:numRef>
          </c:val>
          <c:smooth val="0"/>
          <c:extLst>
            <c:ext xmlns:c16="http://schemas.microsoft.com/office/drawing/2014/chart" uri="{C3380CC4-5D6E-409C-BE32-E72D297353CC}">
              <c16:uniqueId val="{00000001-6AF7-5F4F-9077-F1BA2785A904}"/>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'App8c - 2YR_Prostate_68_69'!$B$11:$B$20</c:f>
              <c:numCache>
                <c:formatCode>General</c:formatCode>
                <c:ptCount val="10"/>
                <c:pt idx="0">
                  <c:v>65</c:v>
                </c:pt>
                <c:pt idx="1">
                  <c:v>66</c:v>
                </c:pt>
                <c:pt idx="2">
                  <c:v>67</c:v>
                </c:pt>
                <c:pt idx="3">
                  <c:v>68</c:v>
                </c:pt>
                <c:pt idx="4">
                  <c:v>69</c:v>
                </c:pt>
                <c:pt idx="5">
                  <c:v>70</c:v>
                </c:pt>
                <c:pt idx="6">
                  <c:v>71</c:v>
                </c:pt>
                <c:pt idx="7">
                  <c:v>72</c:v>
                </c:pt>
                <c:pt idx="8">
                  <c:v>73</c:v>
                </c:pt>
                <c:pt idx="9">
                  <c:v>74</c:v>
                </c:pt>
              </c:numCache>
            </c:numRef>
          </c:cat>
          <c:val>
            <c:numRef>
              <c:f>'App8c - 2YR_Prostate_68_69'!$C$11:$C$20</c:f>
              <c:numCache>
                <c:formatCode>0.0</c:formatCode>
                <c:ptCount val="10"/>
                <c:pt idx="0">
                  <c:v>622.70000000000005</c:v>
                </c:pt>
                <c:pt idx="1">
                  <c:v>622.70000000000005</c:v>
                </c:pt>
                <c:pt idx="2">
                  <c:v>622.70000000000005</c:v>
                </c:pt>
                <c:pt idx="3">
                  <c:v>622.70000000000005</c:v>
                </c:pt>
                <c:pt idx="4">
                  <c:v>622.70000000000005</c:v>
                </c:pt>
                <c:pt idx="5">
                  <c:v>759.8</c:v>
                </c:pt>
                <c:pt idx="6">
                  <c:v>759.8</c:v>
                </c:pt>
                <c:pt idx="7">
                  <c:v>759.8</c:v>
                </c:pt>
                <c:pt idx="8">
                  <c:v>759.8</c:v>
                </c:pt>
                <c:pt idx="9">
                  <c:v>759.8</c:v>
                </c:pt>
              </c:numCache>
            </c:numRef>
          </c:val>
          <c:extLst>
            <c:ext xmlns:c16="http://schemas.microsoft.com/office/drawing/2014/chart" uri="{C3380CC4-5D6E-409C-BE32-E72D297353CC}">
              <c16:uniqueId val="{00000000-9D87-174C-A9B3-F257AB74E335}"/>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'App8c - 2YR_Prostate_68_69'!$D$11:$D$20</c:f>
              <c:numCache>
                <c:formatCode>0.0</c:formatCode>
                <c:ptCount val="10"/>
                <c:pt idx="0">
                  <c:v>567.86000000000013</c:v>
                </c:pt>
                <c:pt idx="1">
                  <c:v>595.28000000000009</c:v>
                </c:pt>
                <c:pt idx="2">
                  <c:v>622.70000000000005</c:v>
                </c:pt>
                <c:pt idx="3">
                  <c:v>650.12</c:v>
                </c:pt>
                <c:pt idx="4">
                  <c:v>677.54</c:v>
                </c:pt>
                <c:pt idx="5">
                  <c:v>704.96</c:v>
                </c:pt>
                <c:pt idx="6">
                  <c:v>732.38</c:v>
                </c:pt>
                <c:pt idx="7">
                  <c:v>759.8</c:v>
                </c:pt>
                <c:pt idx="8">
                  <c:v>787.21999999999991</c:v>
                </c:pt>
                <c:pt idx="9">
                  <c:v>814.63999999999987</c:v>
                </c:pt>
              </c:numCache>
            </c:numRef>
          </c:val>
          <c:smooth val="0"/>
          <c:extLst>
            <c:ext xmlns:c16="http://schemas.microsoft.com/office/drawing/2014/chart" uri="{C3380CC4-5D6E-409C-BE32-E72D297353CC}">
              <c16:uniqueId val="{00000001-9D87-174C-A9B3-F257AB74E335}"/>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'App8c - 2YR_Prostate_68_69'!$B$38:$B$47</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'App8c - 2YR_Prostate_68_69'!$C$38:$C$47</c:f>
              <c:numCache>
                <c:formatCode>0</c:formatCode>
                <c:ptCount val="10"/>
                <c:pt idx="0">
                  <c:v>10567</c:v>
                </c:pt>
                <c:pt idx="1">
                  <c:v>10567</c:v>
                </c:pt>
                <c:pt idx="2">
                  <c:v>10567</c:v>
                </c:pt>
                <c:pt idx="3">
                  <c:v>10567</c:v>
                </c:pt>
                <c:pt idx="4">
                  <c:v>10567</c:v>
                </c:pt>
                <c:pt idx="5">
                  <c:v>11154</c:v>
                </c:pt>
                <c:pt idx="6">
                  <c:v>11154</c:v>
                </c:pt>
                <c:pt idx="7">
                  <c:v>11154</c:v>
                </c:pt>
                <c:pt idx="8">
                  <c:v>11154</c:v>
                </c:pt>
                <c:pt idx="9">
                  <c:v>11154</c:v>
                </c:pt>
              </c:numCache>
            </c:numRef>
          </c:val>
          <c:extLst>
            <c:ext xmlns:c16="http://schemas.microsoft.com/office/drawing/2014/chart" uri="{C3380CC4-5D6E-409C-BE32-E72D297353CC}">
              <c16:uniqueId val="{00000000-3092-494C-8882-62F148F704BC}"/>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'App8c - 2YR_Prostate_68_69'!$D$38:$D$47</c:f>
              <c:numCache>
                <c:formatCode>0.0</c:formatCode>
                <c:ptCount val="10"/>
                <c:pt idx="0">
                  <c:v>10332.200000000001</c:v>
                </c:pt>
                <c:pt idx="1">
                  <c:v>10449.6</c:v>
                </c:pt>
                <c:pt idx="2">
                  <c:v>10567</c:v>
                </c:pt>
                <c:pt idx="3">
                  <c:v>10684.4</c:v>
                </c:pt>
                <c:pt idx="4">
                  <c:v>10801.8</c:v>
                </c:pt>
                <c:pt idx="5">
                  <c:v>10919.2</c:v>
                </c:pt>
                <c:pt idx="6">
                  <c:v>11036.6</c:v>
                </c:pt>
                <c:pt idx="7">
                  <c:v>11154</c:v>
                </c:pt>
                <c:pt idx="8">
                  <c:v>11271.4</c:v>
                </c:pt>
                <c:pt idx="9">
                  <c:v>11388.8</c:v>
                </c:pt>
              </c:numCache>
            </c:numRef>
          </c:val>
          <c:smooth val="0"/>
          <c:extLst>
            <c:ext xmlns:c16="http://schemas.microsoft.com/office/drawing/2014/chart" uri="{C3380CC4-5D6E-409C-BE32-E72D297353CC}">
              <c16:uniqueId val="{00000001-3092-494C-8882-62F148F704BC}"/>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'App8d - 2YR_CRC_58_59'!$B$11:$B$20</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'App8d - 2YR_CRC_58_59'!$C$11:$C$20</c:f>
              <c:numCache>
                <c:formatCode>0.0</c:formatCode>
                <c:ptCount val="10"/>
                <c:pt idx="0">
                  <c:v>87.7</c:v>
                </c:pt>
                <c:pt idx="1">
                  <c:v>87.7</c:v>
                </c:pt>
                <c:pt idx="2">
                  <c:v>87.7</c:v>
                </c:pt>
                <c:pt idx="3">
                  <c:v>87.7</c:v>
                </c:pt>
                <c:pt idx="4">
                  <c:v>87.7</c:v>
                </c:pt>
                <c:pt idx="5">
                  <c:v>151.4</c:v>
                </c:pt>
                <c:pt idx="6">
                  <c:v>151.4</c:v>
                </c:pt>
                <c:pt idx="7">
                  <c:v>151.4</c:v>
                </c:pt>
                <c:pt idx="8">
                  <c:v>151.4</c:v>
                </c:pt>
                <c:pt idx="9">
                  <c:v>151.4</c:v>
                </c:pt>
              </c:numCache>
            </c:numRef>
          </c:val>
          <c:extLst>
            <c:ext xmlns:c16="http://schemas.microsoft.com/office/drawing/2014/chart" uri="{C3380CC4-5D6E-409C-BE32-E72D297353CC}">
              <c16:uniqueId val="{00000000-7323-5340-BD23-729E101FB8B2}"/>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'App8d - 2YR_CRC_58_59'!$D$11:$D$20</c:f>
              <c:numCache>
                <c:formatCode>0.0</c:formatCode>
                <c:ptCount val="10"/>
                <c:pt idx="0">
                  <c:v>62.22</c:v>
                </c:pt>
                <c:pt idx="1">
                  <c:v>74.960000000000008</c:v>
                </c:pt>
                <c:pt idx="2">
                  <c:v>87.7</c:v>
                </c:pt>
                <c:pt idx="3">
                  <c:v>100.44</c:v>
                </c:pt>
                <c:pt idx="4">
                  <c:v>113.18</c:v>
                </c:pt>
                <c:pt idx="5">
                  <c:v>125.92</c:v>
                </c:pt>
                <c:pt idx="6">
                  <c:v>138.66</c:v>
                </c:pt>
                <c:pt idx="7">
                  <c:v>151.4</c:v>
                </c:pt>
                <c:pt idx="8">
                  <c:v>164.14</c:v>
                </c:pt>
                <c:pt idx="9">
                  <c:v>176.88</c:v>
                </c:pt>
              </c:numCache>
            </c:numRef>
          </c:val>
          <c:smooth val="0"/>
          <c:extLst>
            <c:ext xmlns:c16="http://schemas.microsoft.com/office/drawing/2014/chart" uri="{C3380CC4-5D6E-409C-BE32-E72D297353CC}">
              <c16:uniqueId val="{00000001-7323-5340-BD23-729E101FB8B2}"/>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'App8d - 2YR_CRC_58_59'!$B$38:$B$47</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'App8d - 2YR_CRC_58_59'!$C$38:$C$47</c:f>
              <c:numCache>
                <c:formatCode>0</c:formatCode>
                <c:ptCount val="10"/>
                <c:pt idx="0">
                  <c:v>3093</c:v>
                </c:pt>
                <c:pt idx="1">
                  <c:v>3093</c:v>
                </c:pt>
                <c:pt idx="2">
                  <c:v>3093</c:v>
                </c:pt>
                <c:pt idx="3">
                  <c:v>3093</c:v>
                </c:pt>
                <c:pt idx="4">
                  <c:v>3093</c:v>
                </c:pt>
                <c:pt idx="5">
                  <c:v>4344</c:v>
                </c:pt>
                <c:pt idx="6">
                  <c:v>4344</c:v>
                </c:pt>
                <c:pt idx="7">
                  <c:v>4344</c:v>
                </c:pt>
                <c:pt idx="8">
                  <c:v>4344</c:v>
                </c:pt>
                <c:pt idx="9">
                  <c:v>4344</c:v>
                </c:pt>
              </c:numCache>
            </c:numRef>
          </c:val>
          <c:extLst>
            <c:ext xmlns:c16="http://schemas.microsoft.com/office/drawing/2014/chart" uri="{C3380CC4-5D6E-409C-BE32-E72D297353CC}">
              <c16:uniqueId val="{00000000-30C9-5C41-8A62-76EBDECC6501}"/>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'App8d - 2YR_CRC_58_59'!$D$38:$D$47</c:f>
              <c:numCache>
                <c:formatCode>0.0</c:formatCode>
                <c:ptCount val="10"/>
                <c:pt idx="0">
                  <c:v>2592.6</c:v>
                </c:pt>
                <c:pt idx="1">
                  <c:v>2842.8</c:v>
                </c:pt>
                <c:pt idx="2">
                  <c:v>3093</c:v>
                </c:pt>
                <c:pt idx="3">
                  <c:v>3343.2</c:v>
                </c:pt>
                <c:pt idx="4">
                  <c:v>3593.4</c:v>
                </c:pt>
                <c:pt idx="5">
                  <c:v>3843.6</c:v>
                </c:pt>
                <c:pt idx="6">
                  <c:v>4093.8</c:v>
                </c:pt>
                <c:pt idx="7">
                  <c:v>4344</c:v>
                </c:pt>
                <c:pt idx="8">
                  <c:v>4594.2</c:v>
                </c:pt>
                <c:pt idx="9">
                  <c:v>4844.3999999999996</c:v>
                </c:pt>
              </c:numCache>
            </c:numRef>
          </c:val>
          <c:smooth val="0"/>
          <c:extLst>
            <c:ext xmlns:c16="http://schemas.microsoft.com/office/drawing/2014/chart" uri="{C3380CC4-5D6E-409C-BE32-E72D297353CC}">
              <c16:uniqueId val="{00000001-30C9-5C41-8A62-76EBDECC6501}"/>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Lit>
              <c:formatCode>General</c:formatCode>
              <c:ptCount val="10"/>
              <c:pt idx="0">
                <c:v>55</c:v>
              </c:pt>
              <c:pt idx="1">
                <c:v>56</c:v>
              </c:pt>
              <c:pt idx="2">
                <c:v>57</c:v>
              </c:pt>
              <c:pt idx="3">
                <c:v>58</c:v>
              </c:pt>
              <c:pt idx="4">
                <c:v>59</c:v>
              </c:pt>
              <c:pt idx="5">
                <c:v>60</c:v>
              </c:pt>
              <c:pt idx="6">
                <c:v>61</c:v>
              </c:pt>
              <c:pt idx="7">
                <c:v>62</c:v>
              </c:pt>
              <c:pt idx="8">
                <c:v>63</c:v>
              </c:pt>
              <c:pt idx="9">
                <c:v>64</c:v>
              </c:pt>
            </c:numLit>
          </c:cat>
          <c:val>
            <c:numLit>
              <c:formatCode>General</c:formatCode>
              <c:ptCount val="10"/>
              <c:pt idx="0">
                <c:v>60.6</c:v>
              </c:pt>
              <c:pt idx="1">
                <c:v>60.6</c:v>
              </c:pt>
              <c:pt idx="2">
                <c:v>60.6</c:v>
              </c:pt>
              <c:pt idx="3">
                <c:v>60.6</c:v>
              </c:pt>
              <c:pt idx="4">
                <c:v>60.6</c:v>
              </c:pt>
              <c:pt idx="5">
                <c:v>91</c:v>
              </c:pt>
              <c:pt idx="6">
                <c:v>91</c:v>
              </c:pt>
              <c:pt idx="7">
                <c:v>91</c:v>
              </c:pt>
              <c:pt idx="8">
                <c:v>91</c:v>
              </c:pt>
              <c:pt idx="9">
                <c:v>91</c:v>
              </c:pt>
            </c:numLit>
          </c:val>
          <c:extLst>
            <c:ext xmlns:c16="http://schemas.microsoft.com/office/drawing/2014/chart" uri="{C3380CC4-5D6E-409C-BE32-E72D297353CC}">
              <c16:uniqueId val="{00000000-BE12-FE4B-8434-A8AB6B01BA2D}"/>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10"/>
              <c:pt idx="0">
                <c:v>48.44</c:v>
              </c:pt>
              <c:pt idx="1">
                <c:v>54.52</c:v>
              </c:pt>
              <c:pt idx="2">
                <c:v>60.6</c:v>
              </c:pt>
              <c:pt idx="3">
                <c:v>66.680000000000007</c:v>
              </c:pt>
              <c:pt idx="4">
                <c:v>72.760000000000005</c:v>
              </c:pt>
              <c:pt idx="5">
                <c:v>78.84</c:v>
              </c:pt>
              <c:pt idx="6">
                <c:v>84.92</c:v>
              </c:pt>
              <c:pt idx="7">
                <c:v>91</c:v>
              </c:pt>
              <c:pt idx="8">
                <c:v>97.080000000000013</c:v>
              </c:pt>
              <c:pt idx="9">
                <c:v>103.16</c:v>
              </c:pt>
            </c:numLit>
          </c:val>
          <c:smooth val="0"/>
          <c:extLst>
            <c:ext xmlns:c16="http://schemas.microsoft.com/office/drawing/2014/chart" uri="{C3380CC4-5D6E-409C-BE32-E72D297353CC}">
              <c16:uniqueId val="{00000001-BE12-FE4B-8434-A8AB6B01BA2D}"/>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219075</xdr:colOff>
      <xdr:row>9</xdr:row>
      <xdr:rowOff>147637</xdr:rowOff>
    </xdr:from>
    <xdr:to>
      <xdr:col>12</xdr:col>
      <xdr:colOff>219075</xdr:colOff>
      <xdr:row>24</xdr:row>
      <xdr:rowOff>33337</xdr:rowOff>
    </xdr:to>
    <xdr:graphicFrame macro="">
      <xdr:nvGraphicFramePr>
        <xdr:cNvPr id="2" name="Chart 1">
          <a:extLst>
            <a:ext uri="{FF2B5EF4-FFF2-40B4-BE49-F238E27FC236}">
              <a16:creationId xmlns:a16="http://schemas.microsoft.com/office/drawing/2014/main" id="{D6EBC140-EEB9-1E4E-8B04-93EC7A89A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36</xdr:row>
      <xdr:rowOff>147637</xdr:rowOff>
    </xdr:from>
    <xdr:to>
      <xdr:col>12</xdr:col>
      <xdr:colOff>219075</xdr:colOff>
      <xdr:row>51</xdr:row>
      <xdr:rowOff>33337</xdr:rowOff>
    </xdr:to>
    <xdr:graphicFrame macro="">
      <xdr:nvGraphicFramePr>
        <xdr:cNvPr id="3" name="Chart 2">
          <a:extLst>
            <a:ext uri="{FF2B5EF4-FFF2-40B4-BE49-F238E27FC236}">
              <a16:creationId xmlns:a16="http://schemas.microsoft.com/office/drawing/2014/main" id="{61954967-6906-D444-9DF7-E7ADD851B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9</xdr:row>
      <xdr:rowOff>147637</xdr:rowOff>
    </xdr:from>
    <xdr:to>
      <xdr:col>12</xdr:col>
      <xdr:colOff>219075</xdr:colOff>
      <xdr:row>24</xdr:row>
      <xdr:rowOff>33337</xdr:rowOff>
    </xdr:to>
    <xdr:graphicFrame macro="">
      <xdr:nvGraphicFramePr>
        <xdr:cNvPr id="2" name="Chart 1">
          <a:extLst>
            <a:ext uri="{FF2B5EF4-FFF2-40B4-BE49-F238E27FC236}">
              <a16:creationId xmlns:a16="http://schemas.microsoft.com/office/drawing/2014/main" id="{D39FF241-9375-EB49-B233-6BA2F5B81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36</xdr:row>
      <xdr:rowOff>147637</xdr:rowOff>
    </xdr:from>
    <xdr:to>
      <xdr:col>12</xdr:col>
      <xdr:colOff>219075</xdr:colOff>
      <xdr:row>51</xdr:row>
      <xdr:rowOff>33337</xdr:rowOff>
    </xdr:to>
    <xdr:graphicFrame macro="">
      <xdr:nvGraphicFramePr>
        <xdr:cNvPr id="3" name="Chart 2">
          <a:extLst>
            <a:ext uri="{FF2B5EF4-FFF2-40B4-BE49-F238E27FC236}">
              <a16:creationId xmlns:a16="http://schemas.microsoft.com/office/drawing/2014/main" id="{B4BEC8DB-DFCC-514F-855C-0BC8C4C0F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219075</xdr:colOff>
      <xdr:row>9</xdr:row>
      <xdr:rowOff>147637</xdr:rowOff>
    </xdr:from>
    <xdr:to>
      <xdr:col>12</xdr:col>
      <xdr:colOff>219075</xdr:colOff>
      <xdr:row>24</xdr:row>
      <xdr:rowOff>33337</xdr:rowOff>
    </xdr:to>
    <xdr:graphicFrame macro="">
      <xdr:nvGraphicFramePr>
        <xdr:cNvPr id="2" name="Chart 1">
          <a:extLst>
            <a:ext uri="{FF2B5EF4-FFF2-40B4-BE49-F238E27FC236}">
              <a16:creationId xmlns:a16="http://schemas.microsoft.com/office/drawing/2014/main" id="{FB075F72-AA7E-A749-AB34-D60160DED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36</xdr:row>
      <xdr:rowOff>147637</xdr:rowOff>
    </xdr:from>
    <xdr:to>
      <xdr:col>12</xdr:col>
      <xdr:colOff>219075</xdr:colOff>
      <xdr:row>51</xdr:row>
      <xdr:rowOff>33337</xdr:rowOff>
    </xdr:to>
    <xdr:graphicFrame macro="">
      <xdr:nvGraphicFramePr>
        <xdr:cNvPr id="3" name="Chart 2">
          <a:extLst>
            <a:ext uri="{FF2B5EF4-FFF2-40B4-BE49-F238E27FC236}">
              <a16:creationId xmlns:a16="http://schemas.microsoft.com/office/drawing/2014/main" id="{DF347B7B-46E1-174A-8CF6-9AE92252B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219075</xdr:colOff>
      <xdr:row>9</xdr:row>
      <xdr:rowOff>147637</xdr:rowOff>
    </xdr:from>
    <xdr:to>
      <xdr:col>12</xdr:col>
      <xdr:colOff>219075</xdr:colOff>
      <xdr:row>24</xdr:row>
      <xdr:rowOff>33337</xdr:rowOff>
    </xdr:to>
    <xdr:graphicFrame macro="">
      <xdr:nvGraphicFramePr>
        <xdr:cNvPr id="2" name="Chart 1">
          <a:extLst>
            <a:ext uri="{FF2B5EF4-FFF2-40B4-BE49-F238E27FC236}">
              <a16:creationId xmlns:a16="http://schemas.microsoft.com/office/drawing/2014/main" id="{D96722EE-0726-9944-9E6F-AE9297306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36</xdr:row>
      <xdr:rowOff>147637</xdr:rowOff>
    </xdr:from>
    <xdr:to>
      <xdr:col>12</xdr:col>
      <xdr:colOff>219075</xdr:colOff>
      <xdr:row>51</xdr:row>
      <xdr:rowOff>33337</xdr:rowOff>
    </xdr:to>
    <xdr:graphicFrame macro="">
      <xdr:nvGraphicFramePr>
        <xdr:cNvPr id="3" name="Chart 2">
          <a:extLst>
            <a:ext uri="{FF2B5EF4-FFF2-40B4-BE49-F238E27FC236}">
              <a16:creationId xmlns:a16="http://schemas.microsoft.com/office/drawing/2014/main" id="{83560163-D969-CB48-9F8D-ABCE3EAD3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219075</xdr:colOff>
      <xdr:row>9</xdr:row>
      <xdr:rowOff>147637</xdr:rowOff>
    </xdr:from>
    <xdr:to>
      <xdr:col>25</xdr:col>
      <xdr:colOff>219075</xdr:colOff>
      <xdr:row>24</xdr:row>
      <xdr:rowOff>33337</xdr:rowOff>
    </xdr:to>
    <xdr:graphicFrame macro="">
      <xdr:nvGraphicFramePr>
        <xdr:cNvPr id="6" name="Chart 5">
          <a:extLst>
            <a:ext uri="{FF2B5EF4-FFF2-40B4-BE49-F238E27FC236}">
              <a16:creationId xmlns:a16="http://schemas.microsoft.com/office/drawing/2014/main" id="{4D179AFB-7EFC-0D45-A294-4F1E74C63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219075</xdr:colOff>
      <xdr:row>36</xdr:row>
      <xdr:rowOff>147637</xdr:rowOff>
    </xdr:from>
    <xdr:to>
      <xdr:col>25</xdr:col>
      <xdr:colOff>219075</xdr:colOff>
      <xdr:row>51</xdr:row>
      <xdr:rowOff>33337</xdr:rowOff>
    </xdr:to>
    <xdr:graphicFrame macro="">
      <xdr:nvGraphicFramePr>
        <xdr:cNvPr id="7" name="Chart 6">
          <a:extLst>
            <a:ext uri="{FF2B5EF4-FFF2-40B4-BE49-F238E27FC236}">
              <a16:creationId xmlns:a16="http://schemas.microsoft.com/office/drawing/2014/main" id="{681C45CE-E880-144E-A1EC-1D063B74F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TranslationalGeneticsTeam/Shared%20Documents/Projects/PRS/1_PAN_CANCER_PAPER/5_LANCET_ONC_SUBMISSION/RESUBMISSION_1/ONLINE_DATA/DEPRECATED/Tables%20for%20Paper%202.7_CT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Supp Table 3 - Scrn Metrics"/>
      <sheetName val="2. T1 - PRS % Ca Calculator"/>
      <sheetName val=" Supp Table 4 - PRS Metrics"/>
      <sheetName val="SupTable 5 - Lifetime Risks"/>
      <sheetName val="5. Lifetime Risk Calc"/>
      <sheetName val="6. T2 - ORs Top vs. Bottom"/>
      <sheetName val="7. T2 - Inci + Mort Data"/>
      <sheetName val="Sheet1"/>
      <sheetName val="Sup Table 6a - Cancers Arising"/>
      <sheetName val="Sup Table 6b - Cancers Arising"/>
      <sheetName val="Sup Table 6c - Cancers Arising"/>
      <sheetName val="Sup Table 6a - Cancer Dtctd"/>
      <sheetName val="Sup Table 6b - Cancer Dtctd"/>
      <sheetName val="SupTable 6c - Cancer Dtctd"/>
      <sheetName val="Sup.Table 6d - Cancr Dtctd"/>
      <sheetName val="Sup.Table 7a - Cancers Dtctd"/>
      <sheetName val="Sup Table 7b - Cancer Dtctd"/>
      <sheetName val=" Sup Table 7c - Cancers Dtctd"/>
      <sheetName val="Sup.Table 7d - Can Dtctds"/>
      <sheetName val="Sup. Table 8a - Lives saved"/>
      <sheetName val="Sup Table 8b - Lives saved"/>
      <sheetName val="Sup. Table 8c - Lives saved"/>
      <sheetName val="24. Table 7a - Lives saved, is"/>
      <sheetName val="25. Table 7b - Lives saved, is"/>
      <sheetName val="26. Table 7c - Lives saved, is"/>
      <sheetName val="27. Table 7d - Lives saved, Sis"/>
      <sheetName val="Sup Table 8d"/>
      <sheetName val="Sup Table 8e"/>
      <sheetName val="Table 5 (2)"/>
      <sheetName val="Sup Table 9 - SP Compare BC"/>
      <sheetName val="Sup Table 10a - SP Compare PrCa"/>
      <sheetName val="Sup Table 10b -SP Compare PrCa "/>
      <sheetName val="Sup Table 11 - SP Compare CRC"/>
      <sheetName val="31. T3-4 - CRUK Inci Rates"/>
      <sheetName val="32.T5-6 - Stage-Route-Surv Data"/>
      <sheetName val="33. T1-6 - Zhang Data"/>
    </sheetNames>
    <sheetDataSet>
      <sheetData sheetId="0"/>
      <sheetData sheetId="1"/>
      <sheetData sheetId="2"/>
      <sheetData sheetId="3"/>
      <sheetData sheetId="4"/>
      <sheetData sheetId="5"/>
      <sheetData sheetId="6"/>
      <sheetData sheetId="7"/>
      <sheetData sheetId="8">
        <row r="2">
          <cell r="A2" t="str">
            <v>FIT 20 µg/g threshold (CRC)</v>
          </cell>
          <cell r="B2" t="str">
            <v>CA19-9_20U/mL cutoff</v>
          </cell>
          <cell r="C2" t="str">
            <v>Low dose CT</v>
          </cell>
          <cell r="D2" t="str">
            <v>Film mammography</v>
          </cell>
          <cell r="E2" t="str">
            <v>MMS (CA-125 + TVU)</v>
          </cell>
          <cell r="F2" t="str">
            <v>PSA_4ng/mL cut-off</v>
          </cell>
          <cell r="G2" t="str">
            <v>Semen assay</v>
          </cell>
          <cell r="H2" t="str">
            <v>USS</v>
          </cell>
          <cell r="J2" t="str">
            <v>Other</v>
          </cell>
        </row>
        <row r="3">
          <cell r="A3" t="str">
            <v>FIT 20-50 µg/g threshold (CRC)</v>
          </cell>
          <cell r="B3" t="str">
            <v>CA19-9_37U/mL cutoff</v>
          </cell>
          <cell r="C3" t="str">
            <v>Other</v>
          </cell>
          <cell r="D3" t="str">
            <v>Digital mammography</v>
          </cell>
          <cell r="E3" t="str">
            <v>USS</v>
          </cell>
          <cell r="F3" t="str">
            <v>PSA_3ng/mL cut-off</v>
          </cell>
          <cell r="G3" t="str">
            <v>Other</v>
          </cell>
          <cell r="H3" t="str">
            <v>Other</v>
          </cell>
        </row>
        <row r="4">
          <cell r="A4" t="str">
            <v>FIT &gt;50 µg/g threshold (CRC)</v>
          </cell>
          <cell r="B4" t="str">
            <v>Other</v>
          </cell>
          <cell r="D4" t="str">
            <v>Other</v>
          </cell>
          <cell r="E4" t="str">
            <v>Other</v>
          </cell>
          <cell r="F4" t="str">
            <v>mpMRI</v>
          </cell>
        </row>
        <row r="5">
          <cell r="A5" t="str">
            <v>Other</v>
          </cell>
          <cell r="B5"/>
          <cell r="D5"/>
          <cell r="E5"/>
          <cell r="F5" t="str">
            <v>Other</v>
          </cell>
        </row>
        <row r="6">
          <cell r="A6"/>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58">
          <cell r="U58">
            <v>1262</v>
          </cell>
        </row>
      </sheetData>
      <sheetData sheetId="32"/>
      <sheetData sheetId="33">
        <row r="27">
          <cell r="U27">
            <v>1659</v>
          </cell>
        </row>
      </sheetData>
      <sheetData sheetId="34"/>
      <sheetData sheetId="35"/>
      <sheetData sheetId="3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8A67D-5224-4306-B6A4-B28538F6664A}">
  <dimension ref="A1:R32"/>
  <sheetViews>
    <sheetView workbookViewId="0">
      <selection activeCell="D18" sqref="D18:P18"/>
    </sheetView>
  </sheetViews>
  <sheetFormatPr baseColWidth="10" defaultColWidth="8.83203125" defaultRowHeight="16" x14ac:dyDescent="0.2"/>
  <cols>
    <col min="3" max="3" width="3.1640625" customWidth="1"/>
  </cols>
  <sheetData>
    <row r="1" spans="1:18" x14ac:dyDescent="0.2">
      <c r="A1" s="110"/>
      <c r="B1" s="110"/>
      <c r="C1" s="110"/>
      <c r="D1" s="110"/>
      <c r="E1" s="110"/>
      <c r="F1" s="110"/>
      <c r="G1" s="110"/>
      <c r="H1" s="110"/>
      <c r="I1" s="110"/>
      <c r="J1" s="110"/>
      <c r="K1" s="110"/>
      <c r="L1" s="110"/>
      <c r="M1" s="110"/>
      <c r="N1" s="110"/>
      <c r="O1" s="110"/>
      <c r="P1" s="110"/>
      <c r="Q1" s="110"/>
      <c r="R1" s="110"/>
    </row>
    <row r="2" spans="1:18" x14ac:dyDescent="0.2">
      <c r="A2" s="110"/>
      <c r="B2" s="110"/>
      <c r="C2" s="110"/>
      <c r="D2" s="110"/>
      <c r="E2" s="110"/>
      <c r="F2" s="110"/>
      <c r="G2" s="110"/>
      <c r="H2" s="110"/>
      <c r="I2" s="110"/>
      <c r="J2" s="110"/>
      <c r="K2" s="110"/>
      <c r="L2" s="110"/>
      <c r="M2" s="110"/>
      <c r="N2" s="110"/>
      <c r="O2" s="110"/>
      <c r="P2" s="110"/>
      <c r="Q2" s="110"/>
      <c r="R2" s="110"/>
    </row>
    <row r="3" spans="1:18" x14ac:dyDescent="0.2">
      <c r="A3" s="110"/>
      <c r="B3" s="110"/>
      <c r="C3" s="110"/>
      <c r="D3" s="110"/>
      <c r="E3" s="110"/>
      <c r="F3" s="110"/>
      <c r="G3" s="110"/>
      <c r="H3" s="110"/>
      <c r="I3" s="110"/>
      <c r="J3" s="110"/>
      <c r="K3" s="110"/>
      <c r="L3" s="110"/>
      <c r="M3" s="110"/>
      <c r="N3" s="110"/>
      <c r="O3" s="110"/>
      <c r="P3" s="110"/>
      <c r="Q3" s="110"/>
      <c r="R3" s="110"/>
    </row>
    <row r="4" spans="1:18" ht="19" x14ac:dyDescent="0.25">
      <c r="A4" s="474" t="s">
        <v>299</v>
      </c>
      <c r="B4" s="110"/>
      <c r="C4" s="110"/>
      <c r="D4" s="110"/>
      <c r="E4" s="110"/>
      <c r="F4" s="110"/>
      <c r="G4" s="110"/>
      <c r="H4" s="110"/>
      <c r="I4" s="110"/>
      <c r="J4" s="110"/>
      <c r="K4" s="110"/>
      <c r="L4" s="110"/>
      <c r="M4" s="110"/>
      <c r="N4" s="110"/>
      <c r="O4" s="110"/>
      <c r="P4" s="110"/>
      <c r="Q4" s="110"/>
      <c r="R4" s="110"/>
    </row>
    <row r="5" spans="1:18" x14ac:dyDescent="0.2">
      <c r="A5" s="110"/>
      <c r="B5" s="110"/>
      <c r="C5" s="110"/>
      <c r="D5" s="110"/>
      <c r="E5" s="110"/>
      <c r="F5" s="110"/>
      <c r="G5" s="110"/>
      <c r="H5" s="110"/>
      <c r="I5" s="110"/>
      <c r="J5" s="110"/>
      <c r="K5" s="110"/>
      <c r="L5" s="110"/>
      <c r="M5" s="110"/>
      <c r="N5" s="110"/>
      <c r="O5" s="110"/>
      <c r="P5" s="110"/>
      <c r="Q5" s="110"/>
      <c r="R5" s="110"/>
    </row>
    <row r="6" spans="1:18" ht="18.5" customHeight="1" x14ac:dyDescent="0.2">
      <c r="A6" s="1031" t="s">
        <v>300</v>
      </c>
      <c r="B6" s="1031"/>
      <c r="C6" s="1031"/>
      <c r="D6" s="1018" t="s">
        <v>389</v>
      </c>
      <c r="E6" s="1018"/>
      <c r="F6" s="1018"/>
      <c r="G6" s="1018"/>
      <c r="H6" s="1018"/>
      <c r="I6" s="1018"/>
      <c r="J6" s="1018"/>
      <c r="K6" s="1018"/>
      <c r="L6" s="1018"/>
      <c r="M6" s="1018"/>
      <c r="N6" s="1018"/>
      <c r="O6" s="1018"/>
      <c r="P6" s="1018"/>
      <c r="Q6" s="110"/>
      <c r="R6" s="110"/>
    </row>
    <row r="7" spans="1:18" ht="18.5" customHeight="1" x14ac:dyDescent="0.2">
      <c r="A7" s="1031" t="s">
        <v>301</v>
      </c>
      <c r="B7" s="1031"/>
      <c r="C7" s="1031"/>
      <c r="D7" s="1018" t="s">
        <v>0</v>
      </c>
      <c r="E7" s="1018"/>
      <c r="F7" s="1018"/>
      <c r="G7" s="1018"/>
      <c r="H7" s="1018"/>
      <c r="I7" s="1018"/>
      <c r="J7" s="1018"/>
      <c r="K7" s="1018"/>
      <c r="L7" s="1018"/>
      <c r="M7" s="1018"/>
      <c r="N7" s="1018"/>
      <c r="O7" s="1018"/>
      <c r="P7" s="1018"/>
      <c r="Q7" s="110"/>
      <c r="R7" s="110"/>
    </row>
    <row r="8" spans="1:18" ht="18.5" customHeight="1" x14ac:dyDescent="0.2">
      <c r="A8" s="1031" t="s">
        <v>302</v>
      </c>
      <c r="B8" s="1031"/>
      <c r="C8" s="1031"/>
      <c r="D8" s="1018" t="s">
        <v>33</v>
      </c>
      <c r="E8" s="1018"/>
      <c r="F8" s="1018"/>
      <c r="G8" s="1018"/>
      <c r="H8" s="1018"/>
      <c r="I8" s="1018"/>
      <c r="J8" s="1018"/>
      <c r="K8" s="1018"/>
      <c r="L8" s="1018"/>
      <c r="M8" s="1018"/>
      <c r="N8" s="1018"/>
      <c r="O8" s="1018"/>
      <c r="P8" s="1018"/>
      <c r="Q8" s="110"/>
      <c r="R8" s="110"/>
    </row>
    <row r="9" spans="1:18" ht="18.5" customHeight="1" x14ac:dyDescent="0.2">
      <c r="A9" s="1022" t="s">
        <v>303</v>
      </c>
      <c r="B9" s="1022"/>
      <c r="C9" s="1022"/>
      <c r="D9" s="1018" t="s">
        <v>312</v>
      </c>
      <c r="E9" s="1018"/>
      <c r="F9" s="1018"/>
      <c r="G9" s="1018"/>
      <c r="H9" s="1018"/>
      <c r="I9" s="1018"/>
      <c r="J9" s="1018"/>
      <c r="K9" s="1018"/>
      <c r="L9" s="1018"/>
      <c r="M9" s="1018"/>
      <c r="N9" s="1018"/>
      <c r="O9" s="1018"/>
      <c r="P9" s="1018"/>
      <c r="Q9" s="110"/>
      <c r="R9" s="110"/>
    </row>
    <row r="10" spans="1:18" s="479" customFormat="1" ht="18.5" customHeight="1" x14ac:dyDescent="0.2">
      <c r="A10" s="1025"/>
      <c r="B10" s="1026"/>
      <c r="C10" s="475" t="s">
        <v>307</v>
      </c>
      <c r="D10" s="1023" t="s">
        <v>313</v>
      </c>
      <c r="E10" s="1023"/>
      <c r="F10" s="1023"/>
      <c r="G10" s="1023"/>
      <c r="H10" s="1023"/>
      <c r="I10" s="1023"/>
      <c r="J10" s="1023"/>
      <c r="K10" s="1023"/>
      <c r="L10" s="1023"/>
      <c r="M10" s="1023"/>
      <c r="N10" s="1023"/>
      <c r="O10" s="1023"/>
      <c r="P10" s="1023"/>
      <c r="Q10" s="478"/>
      <c r="R10" s="478"/>
    </row>
    <row r="11" spans="1:18" s="479" customFormat="1" ht="18.5" customHeight="1" x14ac:dyDescent="0.2">
      <c r="A11" s="1027"/>
      <c r="B11" s="1028"/>
      <c r="C11" s="475" t="s">
        <v>308</v>
      </c>
      <c r="D11" s="1023" t="s">
        <v>314</v>
      </c>
      <c r="E11" s="1023"/>
      <c r="F11" s="1023"/>
      <c r="G11" s="1023"/>
      <c r="H11" s="1023"/>
      <c r="I11" s="1023"/>
      <c r="J11" s="1023"/>
      <c r="K11" s="1023"/>
      <c r="L11" s="1023"/>
      <c r="M11" s="1023"/>
      <c r="N11" s="1023"/>
      <c r="O11" s="1023"/>
      <c r="P11" s="1023"/>
      <c r="Q11" s="478"/>
      <c r="R11" s="478"/>
    </row>
    <row r="12" spans="1:18" s="479" customFormat="1" ht="18.5" customHeight="1" x14ac:dyDescent="0.2">
      <c r="A12" s="1027"/>
      <c r="B12" s="1028"/>
      <c r="C12" s="475" t="s">
        <v>309</v>
      </c>
      <c r="D12" s="1024" t="s">
        <v>351</v>
      </c>
      <c r="E12" s="1024"/>
      <c r="F12" s="1024"/>
      <c r="G12" s="1024"/>
      <c r="H12" s="1024"/>
      <c r="I12" s="1024"/>
      <c r="J12" s="1024"/>
      <c r="K12" s="1024"/>
      <c r="L12" s="1024"/>
      <c r="M12" s="1024"/>
      <c r="N12" s="1024"/>
      <c r="O12" s="1024"/>
      <c r="P12" s="1024"/>
      <c r="Q12" s="478"/>
      <c r="R12" s="478"/>
    </row>
    <row r="13" spans="1:18" s="479" customFormat="1" ht="18.5" customHeight="1" x14ac:dyDescent="0.2">
      <c r="A13" s="1029"/>
      <c r="B13" s="1030"/>
      <c r="C13" s="475" t="s">
        <v>310</v>
      </c>
      <c r="D13" s="1023" t="s">
        <v>269</v>
      </c>
      <c r="E13" s="1023"/>
      <c r="F13" s="1023"/>
      <c r="G13" s="1023"/>
      <c r="H13" s="1023"/>
      <c r="I13" s="1023"/>
      <c r="J13" s="1023"/>
      <c r="K13" s="1023"/>
      <c r="L13" s="1023"/>
      <c r="M13" s="1023"/>
      <c r="N13" s="1023"/>
      <c r="O13" s="1023"/>
      <c r="P13" s="1023"/>
      <c r="Q13" s="478"/>
      <c r="R13" s="478"/>
    </row>
    <row r="14" spans="1:18" ht="18.5" customHeight="1" x14ac:dyDescent="0.2">
      <c r="A14" s="1032" t="s">
        <v>304</v>
      </c>
      <c r="B14" s="1033"/>
      <c r="C14" s="1034"/>
      <c r="D14" s="1019" t="s">
        <v>311</v>
      </c>
      <c r="E14" s="1020"/>
      <c r="F14" s="1020"/>
      <c r="G14" s="1020"/>
      <c r="H14" s="1020"/>
      <c r="I14" s="1020"/>
      <c r="J14" s="1020"/>
      <c r="K14" s="1020"/>
      <c r="L14" s="1020"/>
      <c r="M14" s="1020"/>
      <c r="N14" s="1020"/>
      <c r="O14" s="1020"/>
      <c r="P14" s="1021"/>
      <c r="Q14" s="110"/>
      <c r="R14" s="110"/>
    </row>
    <row r="15" spans="1:18" s="477" customFormat="1" ht="18.5" customHeight="1" x14ac:dyDescent="0.2">
      <c r="A15" s="480"/>
      <c r="B15" s="481"/>
      <c r="C15" s="475" t="s">
        <v>307</v>
      </c>
      <c r="D15" s="1024" t="s">
        <v>315</v>
      </c>
      <c r="E15" s="1024"/>
      <c r="F15" s="1024"/>
      <c r="G15" s="1024"/>
      <c r="H15" s="1024"/>
      <c r="I15" s="1024"/>
      <c r="J15" s="1024"/>
      <c r="K15" s="1024"/>
      <c r="L15" s="1024"/>
      <c r="M15" s="1024"/>
      <c r="N15" s="1024"/>
      <c r="O15" s="1024"/>
      <c r="P15" s="1024"/>
      <c r="Q15" s="476"/>
      <c r="R15" s="476"/>
    </row>
    <row r="16" spans="1:18" s="477" customFormat="1" ht="18.5" customHeight="1" x14ac:dyDescent="0.2">
      <c r="A16" s="482"/>
      <c r="B16" s="483"/>
      <c r="C16" s="475" t="s">
        <v>308</v>
      </c>
      <c r="D16" s="1024" t="s">
        <v>316</v>
      </c>
      <c r="E16" s="1024"/>
      <c r="F16" s="1024"/>
      <c r="G16" s="1024"/>
      <c r="H16" s="1024"/>
      <c r="I16" s="1024"/>
      <c r="J16" s="1024"/>
      <c r="K16" s="1024"/>
      <c r="L16" s="1024"/>
      <c r="M16" s="1024"/>
      <c r="N16" s="1024"/>
      <c r="O16" s="1024"/>
      <c r="P16" s="1024"/>
      <c r="Q16" s="476"/>
      <c r="R16" s="476"/>
    </row>
    <row r="17" spans="1:18" s="477" customFormat="1" ht="18.5" customHeight="1" x14ac:dyDescent="0.2">
      <c r="A17" s="482"/>
      <c r="B17" s="483"/>
      <c r="C17" s="475" t="s">
        <v>309</v>
      </c>
      <c r="D17" s="1024" t="s">
        <v>351</v>
      </c>
      <c r="E17" s="1024"/>
      <c r="F17" s="1024"/>
      <c r="G17" s="1024"/>
      <c r="H17" s="1024"/>
      <c r="I17" s="1024"/>
      <c r="J17" s="1024"/>
      <c r="K17" s="1024"/>
      <c r="L17" s="1024"/>
      <c r="M17" s="1024"/>
      <c r="N17" s="1024"/>
      <c r="O17" s="1024"/>
      <c r="P17" s="1024"/>
      <c r="Q17" s="476"/>
      <c r="R17" s="476"/>
    </row>
    <row r="18" spans="1:18" ht="18.5" customHeight="1" x14ac:dyDescent="0.2">
      <c r="A18" s="1022" t="s">
        <v>305</v>
      </c>
      <c r="B18" s="1022"/>
      <c r="C18" s="1022"/>
      <c r="D18" s="1018" t="s">
        <v>390</v>
      </c>
      <c r="E18" s="1018"/>
      <c r="F18" s="1018"/>
      <c r="G18" s="1018"/>
      <c r="H18" s="1018"/>
      <c r="I18" s="1018"/>
      <c r="J18" s="1018"/>
      <c r="K18" s="1018"/>
      <c r="L18" s="1018"/>
      <c r="M18" s="1018"/>
      <c r="N18" s="1018"/>
      <c r="O18" s="1018"/>
      <c r="P18" s="1018"/>
      <c r="Q18" s="473"/>
      <c r="R18" s="110"/>
    </row>
    <row r="19" spans="1:18" ht="18.5" customHeight="1" x14ac:dyDescent="0.2">
      <c r="A19" s="1031" t="s">
        <v>306</v>
      </c>
      <c r="B19" s="1031"/>
      <c r="C19" s="1031"/>
      <c r="D19" s="1018" t="s">
        <v>391</v>
      </c>
      <c r="E19" s="1018"/>
      <c r="F19" s="1018"/>
      <c r="G19" s="1018"/>
      <c r="H19" s="1018"/>
      <c r="I19" s="1018"/>
      <c r="J19" s="1018"/>
      <c r="K19" s="1018"/>
      <c r="L19" s="1018"/>
      <c r="M19" s="1018"/>
      <c r="N19" s="1018"/>
      <c r="O19" s="1018"/>
      <c r="P19" s="1018"/>
      <c r="Q19" s="110"/>
      <c r="R19" s="110"/>
    </row>
    <row r="20" spans="1:18" x14ac:dyDescent="0.2">
      <c r="A20" s="110"/>
      <c r="B20" s="110"/>
      <c r="C20" s="110"/>
      <c r="D20" s="110"/>
      <c r="E20" s="110"/>
      <c r="F20" s="110"/>
      <c r="G20" s="110"/>
      <c r="H20" s="110"/>
      <c r="I20" s="110"/>
      <c r="J20" s="110"/>
      <c r="K20" s="110"/>
      <c r="L20" s="110"/>
      <c r="M20" s="110"/>
      <c r="N20" s="110"/>
      <c r="O20" s="110"/>
      <c r="P20" s="110"/>
      <c r="Q20" s="110"/>
      <c r="R20" s="110"/>
    </row>
    <row r="21" spans="1:18" x14ac:dyDescent="0.2">
      <c r="A21" s="110"/>
      <c r="B21" s="110"/>
      <c r="C21" s="110"/>
      <c r="D21" s="110"/>
      <c r="E21" s="110"/>
      <c r="F21" s="110"/>
      <c r="G21" s="110"/>
      <c r="H21" s="110"/>
      <c r="I21" s="110"/>
      <c r="J21" s="110"/>
      <c r="K21" s="110"/>
      <c r="L21" s="110"/>
      <c r="M21" s="110"/>
      <c r="N21" s="110"/>
      <c r="O21" s="110"/>
      <c r="P21" s="110"/>
      <c r="Q21" s="110"/>
      <c r="R21" s="110"/>
    </row>
    <row r="22" spans="1:18" x14ac:dyDescent="0.2">
      <c r="A22" s="110"/>
      <c r="B22" s="110"/>
      <c r="C22" s="110"/>
      <c r="D22" s="110"/>
      <c r="E22" s="110"/>
      <c r="F22" s="110"/>
      <c r="G22" s="110"/>
      <c r="H22" s="110"/>
      <c r="I22" s="110"/>
      <c r="J22" s="110"/>
      <c r="K22" s="110"/>
      <c r="L22" s="110"/>
      <c r="M22" s="110"/>
      <c r="N22" s="110"/>
      <c r="O22" s="110"/>
      <c r="P22" s="110"/>
      <c r="Q22" s="110"/>
      <c r="R22" s="110"/>
    </row>
    <row r="23" spans="1:18" x14ac:dyDescent="0.2">
      <c r="A23" s="110"/>
      <c r="B23" s="110"/>
      <c r="C23" s="110"/>
      <c r="D23" s="110"/>
      <c r="E23" s="110"/>
      <c r="F23" s="110"/>
      <c r="G23" s="110"/>
      <c r="H23" s="110"/>
      <c r="I23" s="110"/>
      <c r="J23" s="110"/>
      <c r="K23" s="110"/>
      <c r="L23" s="110"/>
      <c r="M23" s="110"/>
      <c r="N23" s="110"/>
      <c r="O23" s="110"/>
      <c r="P23" s="110"/>
      <c r="Q23" s="110"/>
      <c r="R23" s="110"/>
    </row>
    <row r="24" spans="1:18" x14ac:dyDescent="0.2">
      <c r="A24" s="110"/>
      <c r="B24" s="110"/>
      <c r="C24" s="110"/>
      <c r="D24" s="110"/>
      <c r="E24" s="110"/>
      <c r="F24" s="110"/>
      <c r="G24" s="110"/>
      <c r="H24" s="110"/>
      <c r="I24" s="110"/>
      <c r="J24" s="110"/>
      <c r="K24" s="110"/>
      <c r="L24" s="110"/>
      <c r="M24" s="110"/>
      <c r="N24" s="110"/>
      <c r="O24" s="110"/>
      <c r="P24" s="110"/>
      <c r="Q24" s="110"/>
      <c r="R24" s="110"/>
    </row>
    <row r="25" spans="1:18" x14ac:dyDescent="0.2">
      <c r="A25" s="110"/>
      <c r="B25" s="110"/>
      <c r="C25" s="110"/>
      <c r="D25" s="110"/>
      <c r="E25" s="110"/>
      <c r="F25" s="110"/>
      <c r="G25" s="110"/>
      <c r="H25" s="110"/>
      <c r="I25" s="110"/>
      <c r="J25" s="110"/>
      <c r="K25" s="110"/>
      <c r="L25" s="110"/>
      <c r="M25" s="110"/>
      <c r="N25" s="110"/>
      <c r="O25" s="110"/>
      <c r="P25" s="110"/>
      <c r="Q25" s="110"/>
      <c r="R25" s="110"/>
    </row>
    <row r="26" spans="1:18" x14ac:dyDescent="0.2">
      <c r="A26" s="110"/>
      <c r="B26" s="110"/>
      <c r="C26" s="110"/>
      <c r="D26" s="110"/>
      <c r="E26" s="110"/>
      <c r="F26" s="110"/>
      <c r="G26" s="110"/>
      <c r="H26" s="110"/>
      <c r="I26" s="110"/>
      <c r="J26" s="110"/>
      <c r="K26" s="110"/>
      <c r="L26" s="110"/>
      <c r="M26" s="110"/>
      <c r="N26" s="110"/>
      <c r="O26" s="110"/>
      <c r="P26" s="110"/>
      <c r="Q26" s="110"/>
      <c r="R26" s="110"/>
    </row>
    <row r="27" spans="1:18" x14ac:dyDescent="0.2">
      <c r="A27" s="110"/>
      <c r="B27" s="110"/>
      <c r="C27" s="110"/>
      <c r="D27" s="110"/>
      <c r="E27" s="110"/>
      <c r="F27" s="110"/>
      <c r="G27" s="110"/>
      <c r="H27" s="110"/>
      <c r="I27" s="110"/>
      <c r="J27" s="110"/>
      <c r="K27" s="110"/>
      <c r="L27" s="110"/>
      <c r="M27" s="110"/>
      <c r="N27" s="110"/>
      <c r="O27" s="110"/>
      <c r="P27" s="110"/>
      <c r="Q27" s="110"/>
      <c r="R27" s="110"/>
    </row>
    <row r="28" spans="1:18" x14ac:dyDescent="0.2">
      <c r="A28" s="110"/>
      <c r="B28" s="110"/>
      <c r="C28" s="110"/>
      <c r="D28" s="110"/>
      <c r="E28" s="110"/>
      <c r="F28" s="110"/>
      <c r="G28" s="110"/>
      <c r="H28" s="110"/>
      <c r="I28" s="110"/>
      <c r="J28" s="110"/>
      <c r="K28" s="110"/>
      <c r="L28" s="110"/>
      <c r="M28" s="110"/>
      <c r="N28" s="110"/>
      <c r="O28" s="110"/>
      <c r="P28" s="110"/>
      <c r="Q28" s="110"/>
      <c r="R28" s="110"/>
    </row>
    <row r="29" spans="1:18" x14ac:dyDescent="0.2">
      <c r="A29" s="110"/>
      <c r="B29" s="110"/>
      <c r="C29" s="110"/>
      <c r="D29" s="110"/>
      <c r="E29" s="110"/>
      <c r="F29" s="110"/>
      <c r="G29" s="110"/>
      <c r="H29" s="110"/>
      <c r="I29" s="110"/>
      <c r="J29" s="110"/>
      <c r="K29" s="110"/>
      <c r="L29" s="110"/>
      <c r="M29" s="110"/>
      <c r="N29" s="110"/>
      <c r="O29" s="110"/>
      <c r="P29" s="110"/>
      <c r="Q29" s="110"/>
      <c r="R29" s="110"/>
    </row>
    <row r="30" spans="1:18" x14ac:dyDescent="0.2">
      <c r="A30" s="110"/>
      <c r="B30" s="110"/>
      <c r="C30" s="110"/>
      <c r="D30" s="110"/>
      <c r="E30" s="110"/>
      <c r="F30" s="110"/>
      <c r="G30" s="110"/>
      <c r="H30" s="110"/>
      <c r="I30" s="110"/>
      <c r="J30" s="110"/>
      <c r="K30" s="110"/>
      <c r="L30" s="110"/>
      <c r="M30" s="110"/>
      <c r="N30" s="110"/>
      <c r="O30" s="110"/>
      <c r="P30" s="110"/>
      <c r="Q30" s="110"/>
      <c r="R30" s="110"/>
    </row>
    <row r="31" spans="1:18" x14ac:dyDescent="0.2">
      <c r="A31" s="110"/>
      <c r="B31" s="110"/>
      <c r="C31" s="110"/>
      <c r="D31" s="110"/>
      <c r="E31" s="110"/>
      <c r="F31" s="110"/>
      <c r="G31" s="110"/>
      <c r="H31" s="110"/>
      <c r="I31" s="110"/>
      <c r="J31" s="110"/>
      <c r="K31" s="110"/>
      <c r="L31" s="110"/>
      <c r="M31" s="110"/>
      <c r="N31" s="110"/>
      <c r="O31" s="110"/>
      <c r="P31" s="110"/>
      <c r="Q31" s="110"/>
      <c r="R31" s="110"/>
    </row>
    <row r="32" spans="1:18" x14ac:dyDescent="0.2">
      <c r="A32" s="110"/>
      <c r="B32" s="110"/>
      <c r="C32" s="110"/>
      <c r="D32" s="110"/>
      <c r="E32" s="110"/>
      <c r="F32" s="110"/>
      <c r="G32" s="110"/>
      <c r="H32" s="110"/>
      <c r="I32" s="110"/>
      <c r="J32" s="110"/>
      <c r="K32" s="110"/>
      <c r="L32" s="110"/>
      <c r="M32" s="110"/>
      <c r="N32" s="110"/>
      <c r="O32" s="110"/>
      <c r="P32" s="110"/>
      <c r="Q32" s="110"/>
      <c r="R32" s="110"/>
    </row>
  </sheetData>
  <mergeCells count="22">
    <mergeCell ref="D6:P6"/>
    <mergeCell ref="D9:P9"/>
    <mergeCell ref="D10:P10"/>
    <mergeCell ref="A10:B13"/>
    <mergeCell ref="D19:P19"/>
    <mergeCell ref="D15:P15"/>
    <mergeCell ref="D16:P16"/>
    <mergeCell ref="D17:P17"/>
    <mergeCell ref="A19:C19"/>
    <mergeCell ref="A6:C6"/>
    <mergeCell ref="A7:C7"/>
    <mergeCell ref="A8:C8"/>
    <mergeCell ref="A9:C9"/>
    <mergeCell ref="A14:C14"/>
    <mergeCell ref="D7:P7"/>
    <mergeCell ref="D8:P8"/>
    <mergeCell ref="D18:P18"/>
    <mergeCell ref="D14:P14"/>
    <mergeCell ref="A18:C18"/>
    <mergeCell ref="D11:P11"/>
    <mergeCell ref="D12:P12"/>
    <mergeCell ref="D13:P13"/>
  </mergeCells>
  <phoneticPr fontId="24" type="noConversion"/>
  <hyperlinks>
    <hyperlink ref="A6:C6" location="' Supp Table 3 - Scrn Metrics'!A1" display="Supplementary table 3" xr:uid="{76C71C7A-2045-401A-BC9A-A937D1E01495}"/>
    <hyperlink ref="A7:C7" location="' Supp Table 4 - PRS Metrics'!A1" display="Supplementary table 4" xr:uid="{01C0B41A-7F8D-454C-AD4E-842496F72479}"/>
    <hyperlink ref="A8:C8" location="'SupTable 5 - Lifetime Risks'!A1" display="Supplementary table 5" xr:uid="{3511C397-6006-400A-AF73-51A234C87362}"/>
    <hyperlink ref="C10" location="'Sup Table 6a - Cancer Dtctd'!A1" display="a" xr:uid="{D1A8334B-F041-4F41-89D6-B1C256BD60CD}"/>
    <hyperlink ref="C11" location="'Sup Table 6b - Cancer Dtctd'!A1" display="b" xr:uid="{67A896FD-36E9-400F-85AA-216AB6F812A2}"/>
    <hyperlink ref="C12" location="'SupTable 6c - Cancer Dtctd'!A1" display="c" xr:uid="{0B53E085-6645-4F2D-8E13-7FCA270BF8A5}"/>
    <hyperlink ref="C13" location="'Sup.Table 6d - Cancr Dtctd'!A1" display="d" xr:uid="{67D79106-72FA-4954-9D84-3F073561A15D}"/>
    <hyperlink ref="C15" location="'Sup.Table 7a - Cancers Dtctd'!A1" display="a" xr:uid="{615F5D41-3880-4463-A163-EEA5FCCBB0CE}"/>
    <hyperlink ref="C16" location="'Sup Table 7b - Cancer Dtctd'!A1" display="b" xr:uid="{190D017D-175E-462A-8F15-F7A1B991C11D}"/>
    <hyperlink ref="C17" location="' Sup Table 7c - Cancers Dtctd'!A1" display="c" xr:uid="{F3A9D96A-1F6A-4452-A1D4-4DD56F2E67AE}"/>
    <hyperlink ref="A19:C19" location="'Sup Table 9 - SP Compare BC'!A1" display="Supplementary table 9" xr:uid="{7F3E371D-63FC-4646-993E-F9D0FF199984}"/>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EBA10-0EBE-4F56-8593-7D6D0AB1AF4A}">
  <dimension ref="B1:AR154"/>
  <sheetViews>
    <sheetView zoomScale="90" zoomScaleNormal="90" workbookViewId="0">
      <selection activeCell="B154" sqref="B154"/>
    </sheetView>
  </sheetViews>
  <sheetFormatPr baseColWidth="10" defaultColWidth="11.1640625" defaultRowHeight="16" x14ac:dyDescent="0.2"/>
  <cols>
    <col min="1" max="1" width="3.83203125" style="752" customWidth="1"/>
    <col min="2" max="2" width="10.83203125" style="752" customWidth="1"/>
    <col min="3" max="3" width="14.83203125" style="803" hidden="1" customWidth="1"/>
    <col min="4" max="4" width="14.33203125" style="752" customWidth="1"/>
    <col min="5" max="6" width="8.33203125" style="752" customWidth="1"/>
    <col min="7" max="7" width="10.83203125" style="753" customWidth="1"/>
    <col min="8" max="9" width="10.83203125" style="752" hidden="1" customWidth="1"/>
    <col min="10" max="10" width="10.83203125" style="752" customWidth="1"/>
    <col min="11" max="11" width="11.1640625" style="752" customWidth="1"/>
    <col min="12" max="16" width="8.33203125" style="752" customWidth="1"/>
    <col min="17" max="17" width="9.83203125" style="753" customWidth="1"/>
    <col min="18" max="22" width="8.33203125" style="753" customWidth="1"/>
    <col min="23" max="23" width="10.1640625" style="752" customWidth="1"/>
    <col min="24" max="40" width="8.33203125" style="752" customWidth="1"/>
    <col min="41" max="41" width="11.1640625" style="752"/>
    <col min="42" max="42" width="13.33203125" style="752" customWidth="1"/>
    <col min="43" max="16384" width="11.1640625" style="752"/>
  </cols>
  <sheetData>
    <row r="1" spans="2:40" ht="17" thickBot="1" x14ac:dyDescent="0.25">
      <c r="C1" s="751"/>
    </row>
    <row r="2" spans="2:40" ht="46.5" customHeight="1" x14ac:dyDescent="0.2">
      <c r="B2" s="1222" t="s">
        <v>181</v>
      </c>
      <c r="C2" s="1225" t="s">
        <v>207</v>
      </c>
      <c r="D2" s="1228" t="s">
        <v>182</v>
      </c>
      <c r="E2" s="1231" t="s">
        <v>183</v>
      </c>
      <c r="F2" s="1231"/>
      <c r="G2" s="1233" t="s">
        <v>184</v>
      </c>
      <c r="H2" s="1234"/>
      <c r="I2" s="1234"/>
      <c r="J2" s="1235"/>
      <c r="K2" s="1186" t="s">
        <v>208</v>
      </c>
      <c r="L2" s="1187"/>
      <c r="M2" s="1187"/>
      <c r="N2" s="1187"/>
      <c r="O2" s="1187"/>
      <c r="P2" s="1188"/>
      <c r="Q2" s="1210" t="s">
        <v>208</v>
      </c>
      <c r="R2" s="1211"/>
      <c r="S2" s="1211"/>
      <c r="T2" s="1211"/>
      <c r="U2" s="1211"/>
      <c r="V2" s="1211"/>
      <c r="W2" s="1186" t="s">
        <v>208</v>
      </c>
      <c r="X2" s="1187"/>
      <c r="Y2" s="1187"/>
      <c r="Z2" s="1187"/>
      <c r="AA2" s="1187"/>
      <c r="AB2" s="1187"/>
      <c r="AC2" s="1210" t="s">
        <v>208</v>
      </c>
      <c r="AD2" s="1211"/>
      <c r="AE2" s="1211"/>
      <c r="AF2" s="1211"/>
      <c r="AG2" s="1211"/>
      <c r="AH2" s="1211"/>
      <c r="AI2" s="1186" t="s">
        <v>208</v>
      </c>
      <c r="AJ2" s="1187"/>
      <c r="AK2" s="1187"/>
      <c r="AL2" s="1187"/>
      <c r="AM2" s="1187"/>
      <c r="AN2" s="1188"/>
    </row>
    <row r="3" spans="2:40" x14ac:dyDescent="0.2">
      <c r="B3" s="1223"/>
      <c r="C3" s="1226"/>
      <c r="D3" s="1229"/>
      <c r="E3" s="1232"/>
      <c r="F3" s="1232"/>
      <c r="G3" s="1236"/>
      <c r="H3" s="1237"/>
      <c r="I3" s="1237"/>
      <c r="J3" s="1238"/>
      <c r="K3" s="1189">
        <v>0.5</v>
      </c>
      <c r="L3" s="1190"/>
      <c r="M3" s="1190"/>
      <c r="N3" s="1190"/>
      <c r="O3" s="1190"/>
      <c r="P3" s="1191"/>
      <c r="Q3" s="1212">
        <v>0.2</v>
      </c>
      <c r="R3" s="1213"/>
      <c r="S3" s="1213"/>
      <c r="T3" s="1213"/>
      <c r="U3" s="1213"/>
      <c r="V3" s="1213"/>
      <c r="W3" s="1204">
        <v>0.1</v>
      </c>
      <c r="X3" s="1205"/>
      <c r="Y3" s="1205"/>
      <c r="Z3" s="1205"/>
      <c r="AA3" s="1205"/>
      <c r="AB3" s="1205"/>
      <c r="AC3" s="1212">
        <v>0.05</v>
      </c>
      <c r="AD3" s="1213"/>
      <c r="AE3" s="1213"/>
      <c r="AF3" s="1213"/>
      <c r="AG3" s="1213"/>
      <c r="AH3" s="1213"/>
      <c r="AI3" s="1204">
        <v>0.01</v>
      </c>
      <c r="AJ3" s="1205"/>
      <c r="AK3" s="1205"/>
      <c r="AL3" s="1205"/>
      <c r="AM3" s="1205"/>
      <c r="AN3" s="1206"/>
    </row>
    <row r="4" spans="2:40" x14ac:dyDescent="0.2">
      <c r="B4" s="1223"/>
      <c r="C4" s="1226"/>
      <c r="D4" s="1229"/>
      <c r="E4" s="1232"/>
      <c r="F4" s="1232"/>
      <c r="G4" s="1236"/>
      <c r="H4" s="1237"/>
      <c r="I4" s="1237"/>
      <c r="J4" s="1238"/>
      <c r="K4" s="1192" t="s">
        <v>185</v>
      </c>
      <c r="L4" s="1193"/>
      <c r="M4" s="1193"/>
      <c r="N4" s="1193"/>
      <c r="O4" s="1193"/>
      <c r="P4" s="1194"/>
      <c r="Q4" s="1202" t="s">
        <v>185</v>
      </c>
      <c r="R4" s="1203"/>
      <c r="S4" s="1203"/>
      <c r="T4" s="1203"/>
      <c r="U4" s="1203"/>
      <c r="V4" s="1203"/>
      <c r="W4" s="1217" t="s">
        <v>185</v>
      </c>
      <c r="X4" s="1218"/>
      <c r="Y4" s="1218"/>
      <c r="Z4" s="1218"/>
      <c r="AA4" s="1218"/>
      <c r="AB4" s="1218"/>
      <c r="AC4" s="1202" t="s">
        <v>185</v>
      </c>
      <c r="AD4" s="1203"/>
      <c r="AE4" s="1203"/>
      <c r="AF4" s="1203"/>
      <c r="AG4" s="1203"/>
      <c r="AH4" s="1203"/>
      <c r="AI4" s="1207" t="s">
        <v>185</v>
      </c>
      <c r="AJ4" s="1208"/>
      <c r="AK4" s="1208"/>
      <c r="AL4" s="1208"/>
      <c r="AM4" s="1208"/>
      <c r="AN4" s="1209"/>
    </row>
    <row r="5" spans="2:40" ht="45" customHeight="1" x14ac:dyDescent="0.2">
      <c r="B5" s="1223"/>
      <c r="C5" s="1226"/>
      <c r="D5" s="1229"/>
      <c r="E5" s="1239" t="s">
        <v>40</v>
      </c>
      <c r="F5" s="1239" t="s">
        <v>41</v>
      </c>
      <c r="G5" s="1241" t="s">
        <v>209</v>
      </c>
      <c r="H5" s="1243" t="s">
        <v>187</v>
      </c>
      <c r="I5" s="1243" t="s">
        <v>188</v>
      </c>
      <c r="J5" s="1245" t="s">
        <v>189</v>
      </c>
      <c r="K5" s="1195" t="s">
        <v>190</v>
      </c>
      <c r="L5" s="1196" t="s">
        <v>347</v>
      </c>
      <c r="M5" s="1196" t="s">
        <v>191</v>
      </c>
      <c r="N5" s="1196" t="s">
        <v>210</v>
      </c>
      <c r="O5" s="1197" t="s">
        <v>211</v>
      </c>
      <c r="P5" s="1198" t="s">
        <v>213</v>
      </c>
      <c r="Q5" s="1219" t="s">
        <v>190</v>
      </c>
      <c r="R5" s="1220" t="s">
        <v>347</v>
      </c>
      <c r="S5" s="1214" t="s">
        <v>191</v>
      </c>
      <c r="T5" s="1214" t="s">
        <v>210</v>
      </c>
      <c r="U5" s="1221" t="s">
        <v>211</v>
      </c>
      <c r="V5" s="1200" t="s">
        <v>213</v>
      </c>
      <c r="W5" s="1195" t="s">
        <v>190</v>
      </c>
      <c r="X5" s="1196" t="s">
        <v>347</v>
      </c>
      <c r="Y5" s="1196" t="s">
        <v>191</v>
      </c>
      <c r="Z5" s="1196" t="s">
        <v>210</v>
      </c>
      <c r="AA5" s="1197" t="s">
        <v>211</v>
      </c>
      <c r="AB5" s="1198" t="s">
        <v>213</v>
      </c>
      <c r="AC5" s="1220" t="s">
        <v>190</v>
      </c>
      <c r="AD5" s="1220" t="s">
        <v>347</v>
      </c>
      <c r="AE5" s="1214" t="s">
        <v>191</v>
      </c>
      <c r="AF5" s="1214" t="s">
        <v>210</v>
      </c>
      <c r="AG5" s="1247" t="s">
        <v>211</v>
      </c>
      <c r="AH5" s="1200" t="s">
        <v>213</v>
      </c>
      <c r="AI5" s="1249" t="s">
        <v>190</v>
      </c>
      <c r="AJ5" s="1197" t="s">
        <v>347</v>
      </c>
      <c r="AK5" s="1197" t="s">
        <v>191</v>
      </c>
      <c r="AL5" s="1197" t="s">
        <v>210</v>
      </c>
      <c r="AM5" s="1197" t="s">
        <v>211</v>
      </c>
      <c r="AN5" s="1215" t="s">
        <v>213</v>
      </c>
    </row>
    <row r="6" spans="2:40" ht="45" customHeight="1" thickBot="1" x14ac:dyDescent="0.25">
      <c r="B6" s="1224"/>
      <c r="C6" s="1227"/>
      <c r="D6" s="1230"/>
      <c r="E6" s="1240"/>
      <c r="F6" s="1240"/>
      <c r="G6" s="1242"/>
      <c r="H6" s="1244"/>
      <c r="I6" s="1244"/>
      <c r="J6" s="1246"/>
      <c r="K6" s="1195"/>
      <c r="L6" s="1196"/>
      <c r="M6" s="1196"/>
      <c r="N6" s="1196"/>
      <c r="O6" s="1196"/>
      <c r="P6" s="1199"/>
      <c r="Q6" s="1219"/>
      <c r="R6" s="1220"/>
      <c r="S6" s="1214"/>
      <c r="T6" s="1214"/>
      <c r="U6" s="1221"/>
      <c r="V6" s="1201"/>
      <c r="W6" s="1195"/>
      <c r="X6" s="1196"/>
      <c r="Y6" s="1196"/>
      <c r="Z6" s="1196"/>
      <c r="AA6" s="1196"/>
      <c r="AB6" s="1199"/>
      <c r="AC6" s="1220"/>
      <c r="AD6" s="1220"/>
      <c r="AE6" s="1214"/>
      <c r="AF6" s="1214"/>
      <c r="AG6" s="1221"/>
      <c r="AH6" s="1248"/>
      <c r="AI6" s="1195"/>
      <c r="AJ6" s="1196"/>
      <c r="AK6" s="1196"/>
      <c r="AL6" s="1196"/>
      <c r="AM6" s="1196"/>
      <c r="AN6" s="1216"/>
    </row>
    <row r="7" spans="2:40" ht="21" customHeight="1" thickBot="1" x14ac:dyDescent="0.25">
      <c r="B7" s="754" t="s">
        <v>8</v>
      </c>
      <c r="C7" s="755">
        <v>0.8</v>
      </c>
      <c r="D7" s="756"/>
      <c r="E7" s="757"/>
      <c r="F7" s="758"/>
      <c r="G7" s="759"/>
      <c r="H7" s="760"/>
      <c r="I7" s="760"/>
      <c r="J7" s="761"/>
      <c r="K7" s="762"/>
      <c r="L7" s="762"/>
      <c r="M7" s="762"/>
      <c r="N7" s="762"/>
      <c r="O7" s="762"/>
      <c r="P7" s="762"/>
      <c r="Q7" s="763"/>
      <c r="R7" s="764"/>
      <c r="S7" s="764"/>
      <c r="T7" s="764"/>
      <c r="U7" s="764"/>
      <c r="V7" s="765"/>
      <c r="W7" s="764"/>
      <c r="X7" s="764"/>
      <c r="Y7" s="764"/>
      <c r="Z7" s="764"/>
      <c r="AA7" s="764"/>
      <c r="AB7" s="765"/>
      <c r="AC7" s="763"/>
      <c r="AD7" s="764"/>
      <c r="AE7" s="764"/>
      <c r="AF7" s="766"/>
      <c r="AG7" s="764"/>
      <c r="AH7" s="765"/>
      <c r="AI7" s="763"/>
      <c r="AJ7" s="764"/>
      <c r="AK7" s="764"/>
      <c r="AL7" s="764"/>
      <c r="AM7" s="764"/>
      <c r="AN7" s="767"/>
    </row>
    <row r="8" spans="2:40" x14ac:dyDescent="0.2">
      <c r="B8" s="768" t="s">
        <v>8</v>
      </c>
      <c r="C8" s="769" t="s">
        <v>180</v>
      </c>
      <c r="D8" s="770" t="s">
        <v>192</v>
      </c>
      <c r="E8" s="771">
        <f>VLOOKUP($B8&amp;"_"&amp;$D8,'App5 - CRUK Inci Rates'!C:H,6,FALSE)</f>
        <v>0</v>
      </c>
      <c r="F8" s="772">
        <f>VLOOKUP($B8&amp;"_"&amp;$D8,'App5 - CRUK Inci Rates'!C:H,3,FALSE)</f>
        <v>124.6</v>
      </c>
      <c r="G8" s="773">
        <f>VLOOKUP($B8&amp;"_"&amp;$D8,'App5 - CRUK Inci Rates'!C:J,8,FALSE)</f>
        <v>2054223.3333333333</v>
      </c>
      <c r="H8" s="774">
        <f>VLOOKUP($B8&amp;"_"&amp;$D8,'App5 - CRUK Inci Rates'!C:J,7,FALSE)</f>
        <v>0</v>
      </c>
      <c r="I8" s="774">
        <f>VLOOKUP($B8&amp;"_"&amp;$D8,'App5 - CRUK Inci Rates'!C:J,4,FALSE)</f>
        <v>2054223.3333333333</v>
      </c>
      <c r="J8" s="775">
        <f>VLOOKUP($B8&amp;"_"&amp;$D8,'App5 - CRUK Inci Rates'!C:K,9,FALSE)</f>
        <v>2559</v>
      </c>
      <c r="K8" s="753">
        <f>$G8*$K$3</f>
        <v>1027111.6666666666</v>
      </c>
      <c r="L8" s="753">
        <f>VLOOKUP("*"&amp;$B8&amp;"*",'S4 - Summ PRS Characteristics'!$C$21:$Q$28,11,FALSE)*$J8</f>
        <v>2003.8766562718845</v>
      </c>
      <c r="M8" s="753">
        <f>$J8-$L8</f>
        <v>555.12334372811551</v>
      </c>
      <c r="N8" s="753">
        <f>IF($C8="other",(1-$C$7)*L8,(1-(VLOOKUP($C8,'S3 - Screening Tool Metrics'!$C$3:$G$17,5,FALSE)/100))*L8)</f>
        <v>400.77533125437679</v>
      </c>
      <c r="O8" s="753">
        <f>IF($C8="other",$C$7*L8,(VLOOKUP($C8,'S3 - Screening Tool Metrics'!$C$3:$G$17,5,FALSE)/100)*L8)</f>
        <v>1603.1013250175076</v>
      </c>
      <c r="P8" s="753">
        <f>$O8/$J8*100</f>
        <v>62.645616452423127</v>
      </c>
      <c r="Q8" s="776">
        <f t="shared" ref="Q8:Q21" si="0">$G8*Q$3</f>
        <v>410844.66666666669</v>
      </c>
      <c r="R8" s="753">
        <f>VLOOKUP("*"&amp;$B8&amp;"*",'S4 - Summ PRS Characteristics'!$C$21:$Q$28,12,FALSE)*$J8</f>
        <v>1219.2848382587788</v>
      </c>
      <c r="S8" s="753">
        <f>$J8-R8</f>
        <v>1339.7151617412212</v>
      </c>
      <c r="T8" s="753">
        <f>IF($C8="other",(1-$C7)*R8,(1-(VLOOKUP($C8,'S3 - Screening Tool Metrics'!$C$3:$G$17,5,FALSE)/100))*R8)</f>
        <v>243.8569676517557</v>
      </c>
      <c r="U8" s="753">
        <f>IF($C8="other",$C7*R8,(VLOOKUP($C8,'S3 - Screening Tool Metrics'!$C$3:$G$17,5,FALSE)/100)*R8)</f>
        <v>975.42787060702312</v>
      </c>
      <c r="V8" s="777">
        <f t="shared" ref="V8:V21" si="1">U8/J8*100</f>
        <v>38.117540859985269</v>
      </c>
      <c r="W8" s="753">
        <f t="shared" ref="W8:W21" si="2">$G8*W$3</f>
        <v>205422.33333333334</v>
      </c>
      <c r="X8" s="753">
        <f>VLOOKUP("*"&amp;$B8&amp;"*",'S4 - Summ PRS Characteristics'!$C$21:$Q$28,13,FALSE)*$J8</f>
        <v>790.49614445028089</v>
      </c>
      <c r="Y8" s="753">
        <f>$J8-X8</f>
        <v>1768.503855549719</v>
      </c>
      <c r="Z8" s="753">
        <f>IF($C8="other",(1-$C7)*X8,(1-(VLOOKUP($C8,'S3 - Screening Tool Metrics'!$C$3:$G$17,5,FALSE)/100))*X8)</f>
        <v>158.09922889005614</v>
      </c>
      <c r="AA8" s="753">
        <f>IF($C8="other",$C7*X8,(VLOOKUP($C8,'S3 - Screening Tool Metrics'!$C$3:$G$17,5,FALSE)/100)*X8)</f>
        <v>632.39691556022478</v>
      </c>
      <c r="AB8" s="777">
        <f t="shared" ref="AB8:AB21" si="3">$AA8/$J8*100</f>
        <v>24.712657896061931</v>
      </c>
      <c r="AC8" s="776">
        <f t="shared" ref="AC8:AC21" si="4">$G8*AC$3</f>
        <v>102711.16666666667</v>
      </c>
      <c r="AD8" s="753">
        <f>VLOOKUP("*"&amp;$B8&amp;"*",'S4 - Summ PRS Characteristics'!$C$21:$Q$28,14,FALSE)*$J8</f>
        <v>497.15006085416303</v>
      </c>
      <c r="AE8" s="753">
        <f>$J8-AD8</f>
        <v>2061.8499391458372</v>
      </c>
      <c r="AF8" s="753">
        <f>IF($C8="other",(1-$C7)*AD8,(1-(VLOOKUP($C8,'S3 - Screening Tool Metrics'!$C$3:$G$17,5,FALSE)/100))*AD8)</f>
        <v>99.430012170832583</v>
      </c>
      <c r="AG8" s="753">
        <f>IF($C8="other",$C7*AD8,(VLOOKUP($C8,'S3 - Screening Tool Metrics'!$C$3:$G$17,5,FALSE)/100)*AD8)</f>
        <v>397.72004868333045</v>
      </c>
      <c r="AH8" s="777">
        <f t="shared" ref="AH8:AH21" si="5">$AG8/$J8*100</f>
        <v>15.542010499543979</v>
      </c>
      <c r="AI8" s="776">
        <f t="shared" ref="AI8:AI21" si="6">$G8*AI$3</f>
        <v>20542.233333333334</v>
      </c>
      <c r="AJ8" s="753">
        <f>VLOOKUP("*"&amp;$B8&amp;"*",'S4 - Summ PRS Characteristics'!$C$21:$Q$28,15,FALSE)*$J8</f>
        <v>156.93123229377886</v>
      </c>
      <c r="AK8" s="753">
        <f>$J8-AJ8</f>
        <v>2402.068767706221</v>
      </c>
      <c r="AL8" s="753">
        <f>IF($C8="other",(1-$C7)*AJ8,(1-(VLOOKUP($C8,'S3 - Screening Tool Metrics'!$C$3:$G$17,5,FALSE)/100))*AJ8)</f>
        <v>31.386246458755764</v>
      </c>
      <c r="AM8" s="753">
        <f>IF($C8="other",$C7*AJ8,(VLOOKUP($C8,'S3 - Screening Tool Metrics'!$C$3:$G$17,5,FALSE)/100)*AJ8)</f>
        <v>125.5449858350231</v>
      </c>
      <c r="AN8" s="778">
        <f t="shared" ref="AN8:AN21" si="7">$AM8/$J8*100</f>
        <v>4.9060174222361512</v>
      </c>
    </row>
    <row r="9" spans="2:40" x14ac:dyDescent="0.2">
      <c r="B9" s="768" t="s">
        <v>8</v>
      </c>
      <c r="C9" s="779" t="str">
        <f>$C8</f>
        <v>Other</v>
      </c>
      <c r="D9" s="780" t="s">
        <v>193</v>
      </c>
      <c r="E9" s="781">
        <f>VLOOKUP($B9&amp;"_"&amp;$D9,'App5 - CRUK Inci Rates'!C:H,6,FALSE)</f>
        <v>0</v>
      </c>
      <c r="F9" s="782">
        <f>VLOOKUP($B9&amp;"_"&amp;$D9,'App5 - CRUK Inci Rates'!C:H,3,FALSE)</f>
        <v>214.8</v>
      </c>
      <c r="G9" s="783">
        <f>VLOOKUP($B9&amp;"_"&amp;$D9,'App5 - CRUK Inci Rates'!C:J,8,FALSE)</f>
        <v>2315479.3333333335</v>
      </c>
      <c r="H9" s="784">
        <f>VLOOKUP($B9&amp;"_"&amp;$D9,'App5 - CRUK Inci Rates'!C:J,7,FALSE)</f>
        <v>0</v>
      </c>
      <c r="I9" s="784">
        <f>VLOOKUP($B9&amp;"_"&amp;$D9,'App5 - CRUK Inci Rates'!C:J,4,FALSE)</f>
        <v>2315479.3333333335</v>
      </c>
      <c r="J9" s="778">
        <f>VLOOKUP($B9&amp;"_"&amp;$D9,'App5 - CRUK Inci Rates'!C:K,9,FALSE)</f>
        <v>4974</v>
      </c>
      <c r="K9" s="753">
        <f t="shared" ref="K9:K73" si="8">$G9*$K$3</f>
        <v>1157739.6666666667</v>
      </c>
      <c r="L9" s="753">
        <f>VLOOKUP("*"&amp;$B9&amp;"*",'S4 - Summ PRS Characteristics'!$C$21:$Q$28,11,FALSE)*$J9</f>
        <v>3894.9912029294073</v>
      </c>
      <c r="M9" s="753">
        <f t="shared" ref="M9:M73" si="9">$J9-$L9</f>
        <v>1079.0087970705927</v>
      </c>
      <c r="N9" s="753">
        <f>IF($C9="other",(1-$C$7)*L9,(1-(VLOOKUP($C9,'S3 - Screening Tool Metrics'!$C$3:$G$17,5,FALSE)/100))*L9)</f>
        <v>778.99824058588126</v>
      </c>
      <c r="O9" s="753">
        <f>IF($C9="other",$C$7*L9,(VLOOKUP($C9,'S3 - Screening Tool Metrics'!$C$3:$G$17,5,FALSE)/100)*L9)</f>
        <v>3115.992962343526</v>
      </c>
      <c r="P9" s="753">
        <f t="shared" ref="P9:P73" si="10">$O9/$J9*100</f>
        <v>62.645616452423113</v>
      </c>
      <c r="Q9" s="776">
        <f t="shared" si="0"/>
        <v>463095.8666666667</v>
      </c>
      <c r="R9" s="753">
        <f>VLOOKUP("*"&amp;$B9&amp;"*",'S4 - Summ PRS Characteristics'!$C$21:$Q$28,12,FALSE)*$J9</f>
        <v>2369.9581029695842</v>
      </c>
      <c r="S9" s="753">
        <f t="shared" ref="S9:S21" si="11">$J9-R9</f>
        <v>2604.0418970304158</v>
      </c>
      <c r="T9" s="753">
        <f>IF($C9="other",(1-$C7)*R9,(1-(VLOOKUP($C9,'S3 - Screening Tool Metrics'!$C$3:$G$17,5,FALSE)/100))*R9)</f>
        <v>473.99162059391671</v>
      </c>
      <c r="U9" s="753">
        <f>IF($C9="other",$C7*R9,(VLOOKUP($C9,'S3 - Screening Tool Metrics'!$C$3:$G$17,5,FALSE)/100)*R9)</f>
        <v>1895.9664823756675</v>
      </c>
      <c r="V9" s="777">
        <f t="shared" si="1"/>
        <v>38.117540859985269</v>
      </c>
      <c r="W9" s="753">
        <f t="shared" si="2"/>
        <v>231547.93333333335</v>
      </c>
      <c r="X9" s="753">
        <f>VLOOKUP("*"&amp;$B9&amp;"*",'S4 - Summ PRS Characteristics'!$C$21:$Q$28,13,FALSE)*$J9</f>
        <v>1536.5095046876504</v>
      </c>
      <c r="Y9" s="753">
        <f t="shared" ref="Y9:Y21" si="12">$J9-X9</f>
        <v>3437.4904953123496</v>
      </c>
      <c r="Z9" s="753">
        <f>IF($C9="other",(1-$C7)*X9,(1-(VLOOKUP($C9,'S3 - Screening Tool Metrics'!$C$3:$G$17,5,FALSE)/100))*X9)</f>
        <v>307.30190093753004</v>
      </c>
      <c r="AA9" s="753">
        <f>IF($C9="other",$C7*X9,(VLOOKUP($C9,'S3 - Screening Tool Metrics'!$C$3:$G$17,5,FALSE)/100)*X9)</f>
        <v>1229.2076037501204</v>
      </c>
      <c r="AB9" s="777">
        <f t="shared" si="3"/>
        <v>24.712657896061931</v>
      </c>
      <c r="AC9" s="776">
        <f t="shared" si="4"/>
        <v>115773.96666666667</v>
      </c>
      <c r="AD9" s="753">
        <f>VLOOKUP("*"&amp;$B9&amp;"*",'S4 - Summ PRS Characteristics'!$C$21:$Q$28,14,FALSE)*$J9</f>
        <v>966.32450280914691</v>
      </c>
      <c r="AE9" s="753">
        <f>$J9-AD9</f>
        <v>4007.6754971908531</v>
      </c>
      <c r="AF9" s="753">
        <f>IF($C9="other",(1-$C7)*AD9,(1-(VLOOKUP($C9,'S3 - Screening Tool Metrics'!$C$3:$G$17,5,FALSE)/100))*AD9)</f>
        <v>193.26490056182934</v>
      </c>
      <c r="AG9" s="753">
        <f>IF($C9="other",$C7*AD9,(VLOOKUP($C9,'S3 - Screening Tool Metrics'!$C$3:$G$17,5,FALSE)/100)*AD9)</f>
        <v>773.05960224731757</v>
      </c>
      <c r="AH9" s="777">
        <f t="shared" si="5"/>
        <v>15.542010499543979</v>
      </c>
      <c r="AI9" s="776">
        <f t="shared" si="6"/>
        <v>23154.793333333335</v>
      </c>
      <c r="AJ9" s="753">
        <f>VLOOKUP("*"&amp;$B9&amp;"*",'S4 - Summ PRS Characteristics'!$C$21:$Q$28,15,FALSE)*$J9</f>
        <v>305.03163322753267</v>
      </c>
      <c r="AK9" s="753">
        <f t="shared" ref="AK9:AK21" si="13">$J9-AJ9</f>
        <v>4668.9683667724676</v>
      </c>
      <c r="AL9" s="753">
        <f>IF($C9="other",(1-$C7)*AJ9,(1-(VLOOKUP($C9,'S3 - Screening Tool Metrics'!$C$3:$G$17,5,FALSE)/100))*AJ9)</f>
        <v>61.006326645506519</v>
      </c>
      <c r="AM9" s="753">
        <f>IF($C9="other",$C7*AJ9,(VLOOKUP($C9,'S3 - Screening Tool Metrics'!$C$3:$G$17,5,FALSE)/100)*AJ9)</f>
        <v>244.02530658202613</v>
      </c>
      <c r="AN9" s="778">
        <f t="shared" si="7"/>
        <v>4.9060174222361512</v>
      </c>
    </row>
    <row r="10" spans="2:40" x14ac:dyDescent="0.2">
      <c r="B10" s="768" t="s">
        <v>8</v>
      </c>
      <c r="C10" s="779" t="str">
        <f>$C8</f>
        <v>Other</v>
      </c>
      <c r="D10" s="780" t="s">
        <v>194</v>
      </c>
      <c r="E10" s="781">
        <f>VLOOKUP($B10&amp;"_"&amp;$D10,'App5 - CRUK Inci Rates'!C:H,6,FALSE)</f>
        <v>0</v>
      </c>
      <c r="F10" s="782">
        <f>VLOOKUP($B10&amp;"_"&amp;$D10,'App5 - CRUK Inci Rates'!C:H,3,FALSE)</f>
        <v>279.8</v>
      </c>
      <c r="G10" s="783">
        <f>VLOOKUP($B10&amp;"_"&amp;$D10,'App5 - CRUK Inci Rates'!C:J,8,FALSE)</f>
        <v>2364638</v>
      </c>
      <c r="H10" s="784">
        <f>VLOOKUP($B10&amp;"_"&amp;$D10,'App5 - CRUK Inci Rates'!C:J,7,FALSE)</f>
        <v>0</v>
      </c>
      <c r="I10" s="784">
        <f>VLOOKUP($B10&amp;"_"&amp;$D10,'App5 - CRUK Inci Rates'!C:J,4,FALSE)</f>
        <v>2364638</v>
      </c>
      <c r="J10" s="778">
        <f>VLOOKUP($B10&amp;"_"&amp;$D10,'App5 - CRUK Inci Rates'!C:K,9,FALSE)</f>
        <v>6616</v>
      </c>
      <c r="K10" s="753">
        <f t="shared" si="8"/>
        <v>1182319</v>
      </c>
      <c r="L10" s="753">
        <f>VLOOKUP("*"&amp;$B10&amp;"*",'S4 - Summ PRS Characteristics'!$C$21:$Q$28,11,FALSE)*$J10</f>
        <v>5180.7924806153915</v>
      </c>
      <c r="M10" s="753">
        <f t="shared" si="9"/>
        <v>1435.2075193846085</v>
      </c>
      <c r="N10" s="753">
        <f>IF($C10="other",(1-$C$7)*L10,(1-(VLOOKUP($C10,'S3 - Screening Tool Metrics'!$C$3:$G$17,5,FALSE)/100))*L10)</f>
        <v>1036.1584961230781</v>
      </c>
      <c r="O10" s="753">
        <f>IF($C10="other",$C$7*L10,(VLOOKUP($C10,'S3 - Screening Tool Metrics'!$C$3:$G$17,5,FALSE)/100)*L10)</f>
        <v>4144.6339844923132</v>
      </c>
      <c r="P10" s="753">
        <f t="shared" si="10"/>
        <v>62.645616452423113</v>
      </c>
      <c r="Q10" s="776">
        <f t="shared" si="0"/>
        <v>472927.60000000003</v>
      </c>
      <c r="R10" s="753">
        <f>VLOOKUP("*"&amp;$B10&amp;"*",'S4 - Summ PRS Characteristics'!$C$21:$Q$28,12,FALSE)*$J10</f>
        <v>3152.3206291207821</v>
      </c>
      <c r="S10" s="753">
        <f t="shared" si="11"/>
        <v>3463.6793708792179</v>
      </c>
      <c r="T10" s="753">
        <f>IF($C10="other",(1-$C7)*R10,(1-(VLOOKUP($C10,'S3 - Screening Tool Metrics'!$C$3:$G$17,5,FALSE)/100))*R10)</f>
        <v>630.46412582415633</v>
      </c>
      <c r="U10" s="753">
        <f>IF($C10="other",$C7*R10,(VLOOKUP($C10,'S3 - Screening Tool Metrics'!$C$3:$G$17,5,FALSE)/100)*R10)</f>
        <v>2521.8565032966258</v>
      </c>
      <c r="V10" s="777">
        <f t="shared" si="1"/>
        <v>38.117540859985276</v>
      </c>
      <c r="W10" s="753">
        <f t="shared" si="2"/>
        <v>236463.80000000002</v>
      </c>
      <c r="X10" s="753">
        <f>VLOOKUP("*"&amp;$B10&amp;"*",'S4 - Summ PRS Characteristics'!$C$21:$Q$28,13,FALSE)*$J10</f>
        <v>2043.7368080043213</v>
      </c>
      <c r="Y10" s="753">
        <f t="shared" si="12"/>
        <v>4572.2631919956784</v>
      </c>
      <c r="Z10" s="753">
        <f>IF($C10="other",(1-$C7)*X10,(1-(VLOOKUP($C10,'S3 - Screening Tool Metrics'!$C$3:$G$17,5,FALSE)/100))*X10)</f>
        <v>408.74736160086417</v>
      </c>
      <c r="AA10" s="753">
        <f>IF($C10="other",$C7*X10,(VLOOKUP($C10,'S3 - Screening Tool Metrics'!$C$3:$G$17,5,FALSE)/100)*X10)</f>
        <v>1634.9894464034571</v>
      </c>
      <c r="AB10" s="777">
        <f t="shared" si="3"/>
        <v>24.712657896061927</v>
      </c>
      <c r="AC10" s="776">
        <f t="shared" si="4"/>
        <v>118231.90000000001</v>
      </c>
      <c r="AD10" s="753">
        <f>VLOOKUP("*"&amp;$B10&amp;"*",'S4 - Summ PRS Characteristics'!$C$21:$Q$28,14,FALSE)*$J10</f>
        <v>1285.3242683122871</v>
      </c>
      <c r="AE10" s="753">
        <f t="shared" ref="AE10:AE21" si="14">$J10-AD10</f>
        <v>5330.6757316877129</v>
      </c>
      <c r="AF10" s="753">
        <f>IF($C10="other",(1-$C7)*AD10,(1-(VLOOKUP($C10,'S3 - Screening Tool Metrics'!$C$3:$G$17,5,FALSE)/100))*AD10)</f>
        <v>257.06485366245738</v>
      </c>
      <c r="AG10" s="753">
        <f>IF($C10="other",$C7*AD10,(VLOOKUP($C10,'S3 - Screening Tool Metrics'!$C$3:$G$17,5,FALSE)/100)*AD10)</f>
        <v>1028.2594146498298</v>
      </c>
      <c r="AH10" s="777">
        <f t="shared" si="5"/>
        <v>15.542010499543983</v>
      </c>
      <c r="AI10" s="776">
        <f t="shared" si="6"/>
        <v>23646.38</v>
      </c>
      <c r="AJ10" s="753">
        <f>VLOOKUP("*"&amp;$B10&amp;"*",'S4 - Summ PRS Characteristics'!$C$21:$Q$28,15,FALSE)*$J10</f>
        <v>405.72764081892967</v>
      </c>
      <c r="AK10" s="753">
        <f t="shared" si="13"/>
        <v>6210.27235918107</v>
      </c>
      <c r="AL10" s="753">
        <f>IF($C10="other",(1-$C7)*AJ10,(1-(VLOOKUP($C10,'S3 - Screening Tool Metrics'!$C$3:$G$17,5,FALSE)/100))*AJ10)</f>
        <v>81.145528163785912</v>
      </c>
      <c r="AM10" s="753">
        <f>IF($C10="other",$C7*AJ10,(VLOOKUP($C10,'S3 - Screening Tool Metrics'!$C$3:$G$17,5,FALSE)/100)*AJ10)</f>
        <v>324.58211265514376</v>
      </c>
      <c r="AN10" s="778">
        <f t="shared" si="7"/>
        <v>4.9060174222361512</v>
      </c>
    </row>
    <row r="11" spans="2:40" x14ac:dyDescent="0.2">
      <c r="B11" s="768" t="s">
        <v>8</v>
      </c>
      <c r="C11" s="779" t="str">
        <f>$C8</f>
        <v>Other</v>
      </c>
      <c r="D11" s="780" t="s">
        <v>195</v>
      </c>
      <c r="E11" s="781">
        <f>VLOOKUP($B11&amp;"_"&amp;$D11,'App5 - CRUK Inci Rates'!C:H,6,FALSE)</f>
        <v>0</v>
      </c>
      <c r="F11" s="782">
        <f>VLOOKUP($B11&amp;"_"&amp;$D11,'App5 - CRUK Inci Rates'!C:H,3,FALSE)</f>
        <v>285.5</v>
      </c>
      <c r="G11" s="783">
        <f>VLOOKUP($B11&amp;"_"&amp;$D11,'App5 - CRUK Inci Rates'!C:J,8,FALSE)</f>
        <v>2119687.3333333335</v>
      </c>
      <c r="H11" s="784">
        <f>VLOOKUP($B11&amp;"_"&amp;$D11,'App5 - CRUK Inci Rates'!C:J,7,FALSE)</f>
        <v>0</v>
      </c>
      <c r="I11" s="784">
        <f>VLOOKUP($B11&amp;"_"&amp;$D11,'App5 - CRUK Inci Rates'!C:J,4,FALSE)</f>
        <v>2119687.3333333335</v>
      </c>
      <c r="J11" s="778">
        <f>VLOOKUP($B11&amp;"_"&amp;$D11,'App5 - CRUK Inci Rates'!C:K,9,FALSE)</f>
        <v>6052</v>
      </c>
      <c r="K11" s="753">
        <f t="shared" si="8"/>
        <v>1059843.6666666667</v>
      </c>
      <c r="L11" s="753">
        <f>VLOOKUP("*"&amp;$B11&amp;"*",'S4 - Summ PRS Characteristics'!$C$21:$Q$28,11,FALSE)*$J11</f>
        <v>4739.1408846258091</v>
      </c>
      <c r="M11" s="753">
        <f t="shared" si="9"/>
        <v>1312.8591153741909</v>
      </c>
      <c r="N11" s="753">
        <f>IF($C11="other",(1-$C$7)*L11,(1-(VLOOKUP($C11,'S3 - Screening Tool Metrics'!$C$3:$G$17,5,FALSE)/100))*L11)</f>
        <v>947.82817692516164</v>
      </c>
      <c r="O11" s="753">
        <f>IF($C11="other",$C$7*L11,(VLOOKUP($C11,'S3 - Screening Tool Metrics'!$C$3:$G$17,5,FALSE)/100)*L11)</f>
        <v>3791.3127077006475</v>
      </c>
      <c r="P11" s="753">
        <f t="shared" si="10"/>
        <v>62.645616452423127</v>
      </c>
      <c r="Q11" s="776">
        <f t="shared" si="0"/>
        <v>423937.46666666673</v>
      </c>
      <c r="R11" s="753">
        <f>VLOOKUP("*"&amp;$B11&amp;"*",'S4 - Summ PRS Characteristics'!$C$21:$Q$28,12,FALSE)*$J11</f>
        <v>2883.5919660578857</v>
      </c>
      <c r="S11" s="753">
        <f t="shared" si="11"/>
        <v>3168.4080339421143</v>
      </c>
      <c r="T11" s="753">
        <f>IF($C11="other",(1-$C7)*R11,(1-(VLOOKUP($C11,'S3 - Screening Tool Metrics'!$C$3:$G$17,5,FALSE)/100))*R11)</f>
        <v>576.71839321157699</v>
      </c>
      <c r="U11" s="753">
        <f>IF($C11="other",$C7*R11,(VLOOKUP($C11,'S3 - Screening Tool Metrics'!$C$3:$G$17,5,FALSE)/100)*R11)</f>
        <v>2306.8735728463084</v>
      </c>
      <c r="V11" s="777">
        <f t="shared" si="1"/>
        <v>38.117540859985269</v>
      </c>
      <c r="W11" s="753">
        <f t="shared" si="2"/>
        <v>211968.73333333337</v>
      </c>
      <c r="X11" s="753">
        <f>VLOOKUP("*"&amp;$B11&amp;"*",'S4 - Summ PRS Characteristics'!$C$21:$Q$28,13,FALSE)*$J11</f>
        <v>1869.5125698370848</v>
      </c>
      <c r="Y11" s="753">
        <f t="shared" si="12"/>
        <v>4182.4874301629152</v>
      </c>
      <c r="Z11" s="753">
        <f>IF($C11="other",(1-$C7)*X11,(1-(VLOOKUP($C11,'S3 - Screening Tool Metrics'!$C$3:$G$17,5,FALSE)/100))*X11)</f>
        <v>373.90251396741689</v>
      </c>
      <c r="AA11" s="753">
        <f>IF($C11="other",$C7*X11,(VLOOKUP($C11,'S3 - Screening Tool Metrics'!$C$3:$G$17,5,FALSE)/100)*X11)</f>
        <v>1495.610055869668</v>
      </c>
      <c r="AB11" s="777">
        <f t="shared" si="3"/>
        <v>24.712657896061931</v>
      </c>
      <c r="AC11" s="776">
        <f t="shared" si="4"/>
        <v>105984.36666666668</v>
      </c>
      <c r="AD11" s="753">
        <f>VLOOKUP("*"&amp;$B11&amp;"*",'S4 - Summ PRS Characteristics'!$C$21:$Q$28,14,FALSE)*$J11</f>
        <v>1175.7530942905021</v>
      </c>
      <c r="AE11" s="753">
        <f t="shared" si="14"/>
        <v>4876.2469057094977</v>
      </c>
      <c r="AF11" s="753">
        <f>IF($C11="other",(1-$C7)*AD11,(1-(VLOOKUP($C11,'S3 - Screening Tool Metrics'!$C$3:$G$17,5,FALSE)/100))*AD11)</f>
        <v>235.15061885810036</v>
      </c>
      <c r="AG11" s="753">
        <f>IF($C11="other",$C7*AD11,(VLOOKUP($C11,'S3 - Screening Tool Metrics'!$C$3:$G$17,5,FALSE)/100)*AD11)</f>
        <v>940.60247543240166</v>
      </c>
      <c r="AH11" s="777">
        <f t="shared" si="5"/>
        <v>15.542010499543979</v>
      </c>
      <c r="AI11" s="776">
        <f t="shared" si="6"/>
        <v>21196.873333333337</v>
      </c>
      <c r="AJ11" s="753">
        <f>VLOOKUP("*"&amp;$B11&amp;"*",'S4 - Summ PRS Characteristics'!$C$21:$Q$28,15,FALSE)*$J11</f>
        <v>371.14021799216482</v>
      </c>
      <c r="AK11" s="753">
        <f t="shared" si="13"/>
        <v>5680.8597820078348</v>
      </c>
      <c r="AL11" s="753">
        <f>IF($C11="other",(1-$C7)*AJ11,(1-(VLOOKUP($C11,'S3 - Screening Tool Metrics'!$C$3:$G$17,5,FALSE)/100))*AJ11)</f>
        <v>74.228043598432947</v>
      </c>
      <c r="AM11" s="753">
        <f>IF($C11="other",$C7*AJ11,(VLOOKUP($C11,'S3 - Screening Tool Metrics'!$C$3:$G$17,5,FALSE)/100)*AJ11)</f>
        <v>296.91217439373185</v>
      </c>
      <c r="AN11" s="778">
        <f t="shared" si="7"/>
        <v>4.9060174222361512</v>
      </c>
    </row>
    <row r="12" spans="2:40" x14ac:dyDescent="0.2">
      <c r="B12" s="768" t="s">
        <v>8</v>
      </c>
      <c r="C12" s="779" t="str">
        <f>$C8</f>
        <v>Other</v>
      </c>
      <c r="D12" s="780" t="s">
        <v>196</v>
      </c>
      <c r="E12" s="781">
        <f>VLOOKUP($B12&amp;"_"&amp;$D12,'App5 - CRUK Inci Rates'!C:H,6,FALSE)</f>
        <v>0</v>
      </c>
      <c r="F12" s="782">
        <f>VLOOKUP($B12&amp;"_"&amp;$D12,'App5 - CRUK Inci Rates'!C:H,3,FALSE)</f>
        <v>337.96472190440318</v>
      </c>
      <c r="G12" s="783">
        <f>VLOOKUP($B12&amp;"_"&amp;$D12,'App5 - CRUK Inci Rates'!C:J,8,FALSE)</f>
        <v>1837174</v>
      </c>
      <c r="H12" s="784">
        <f>VLOOKUP($B12&amp;"_"&amp;$D12,'App5 - CRUK Inci Rates'!C:J,7,FALSE)</f>
        <v>0</v>
      </c>
      <c r="I12" s="784">
        <f>VLOOKUP($B12&amp;"_"&amp;$D12,'App5 - CRUK Inci Rates'!C:J,4,FALSE)</f>
        <v>1837174</v>
      </c>
      <c r="J12" s="778">
        <f>VLOOKUP($B12&amp;"_"&amp;$D12,'App5 - CRUK Inci Rates'!C:K,9,FALSE)</f>
        <v>6209</v>
      </c>
      <c r="K12" s="753">
        <f t="shared" si="8"/>
        <v>918587</v>
      </c>
      <c r="L12" s="753">
        <f>VLOOKUP("*"&amp;$B12&amp;"*",'S4 - Summ PRS Characteristics'!$C$21:$Q$28,11,FALSE)*$J12</f>
        <v>4862.0829069136889</v>
      </c>
      <c r="M12" s="753">
        <f t="shared" si="9"/>
        <v>1346.9170930863111</v>
      </c>
      <c r="N12" s="753">
        <f>IF($C12="other",(1-$C$7)*L12,(1-(VLOOKUP($C12,'S3 - Screening Tool Metrics'!$C$3:$G$17,5,FALSE)/100))*L12)</f>
        <v>972.4165813827376</v>
      </c>
      <c r="O12" s="753">
        <f>IF($C12="other",$C$7*L12,(VLOOKUP($C12,'S3 - Screening Tool Metrics'!$C$3:$G$17,5,FALSE)/100)*L12)</f>
        <v>3889.6663255309513</v>
      </c>
      <c r="P12" s="753">
        <f t="shared" si="10"/>
        <v>62.645616452423113</v>
      </c>
      <c r="Q12" s="776">
        <f t="shared" si="0"/>
        <v>367434.80000000005</v>
      </c>
      <c r="R12" s="753">
        <f>VLOOKUP("*"&amp;$B12&amp;"*",'S4 - Summ PRS Characteristics'!$C$21:$Q$28,12,FALSE)*$J12</f>
        <v>2958.3976399956068</v>
      </c>
      <c r="S12" s="753">
        <f t="shared" si="11"/>
        <v>3250.6023600043932</v>
      </c>
      <c r="T12" s="753">
        <f>IF($C12="other",(1-$C7)*R12,(1-(VLOOKUP($C12,'S3 - Screening Tool Metrics'!$C$3:$G$17,5,FALSE)/100))*R12)</f>
        <v>591.67952799912121</v>
      </c>
      <c r="U12" s="753">
        <f>IF($C12="other",$C7*R12,(VLOOKUP($C12,'S3 - Screening Tool Metrics'!$C$3:$G$17,5,FALSE)/100)*R12)</f>
        <v>2366.7181119964857</v>
      </c>
      <c r="V12" s="777">
        <f t="shared" si="1"/>
        <v>38.117540859985276</v>
      </c>
      <c r="W12" s="753">
        <f t="shared" si="2"/>
        <v>183717.40000000002</v>
      </c>
      <c r="X12" s="753">
        <f>VLOOKUP("*"&amp;$B12&amp;"*",'S4 - Summ PRS Characteristics'!$C$21:$Q$28,13,FALSE)*$J12</f>
        <v>1918.0111609581063</v>
      </c>
      <c r="Y12" s="753">
        <f t="shared" si="12"/>
        <v>4290.9888390418937</v>
      </c>
      <c r="Z12" s="753">
        <f>IF($C12="other",(1-$C7)*X12,(1-(VLOOKUP($C12,'S3 - Screening Tool Metrics'!$C$3:$G$17,5,FALSE)/100))*X12)</f>
        <v>383.60223219162117</v>
      </c>
      <c r="AA12" s="753">
        <f>IF($C12="other",$C7*X12,(VLOOKUP($C12,'S3 - Screening Tool Metrics'!$C$3:$G$17,5,FALSE)/100)*X12)</f>
        <v>1534.4089287664851</v>
      </c>
      <c r="AB12" s="777">
        <f t="shared" si="3"/>
        <v>24.712657896061931</v>
      </c>
      <c r="AC12" s="776">
        <f t="shared" si="4"/>
        <v>91858.700000000012</v>
      </c>
      <c r="AD12" s="753">
        <f>VLOOKUP("*"&amp;$B12&amp;"*",'S4 - Summ PRS Characteristics'!$C$21:$Q$28,14,FALSE)*$J12</f>
        <v>1206.254289895857</v>
      </c>
      <c r="AE12" s="753">
        <f t="shared" si="14"/>
        <v>5002.7457101041427</v>
      </c>
      <c r="AF12" s="753">
        <f>IF($C12="other",(1-$C7)*AD12,(1-(VLOOKUP($C12,'S3 - Screening Tool Metrics'!$C$3:$G$17,5,FALSE)/100))*AD12)</f>
        <v>241.25085797917134</v>
      </c>
      <c r="AG12" s="753">
        <f>IF($C12="other",$C7*AD12,(VLOOKUP($C12,'S3 - Screening Tool Metrics'!$C$3:$G$17,5,FALSE)/100)*AD12)</f>
        <v>965.00343191668571</v>
      </c>
      <c r="AH12" s="777">
        <f t="shared" si="5"/>
        <v>15.542010499543979</v>
      </c>
      <c r="AI12" s="776">
        <f t="shared" si="6"/>
        <v>18371.740000000002</v>
      </c>
      <c r="AJ12" s="753">
        <f>VLOOKUP("*"&amp;$B12&amp;"*",'S4 - Summ PRS Characteristics'!$C$21:$Q$28,15,FALSE)*$J12</f>
        <v>380.76827718330327</v>
      </c>
      <c r="AK12" s="753">
        <f t="shared" si="13"/>
        <v>5828.2317228166967</v>
      </c>
      <c r="AL12" s="753">
        <f>IF($C12="other",(1-$C7)*AJ12,(1-(VLOOKUP($C12,'S3 - Screening Tool Metrics'!$C$3:$G$17,5,FALSE)/100))*AJ12)</f>
        <v>76.153655436660642</v>
      </c>
      <c r="AM12" s="753">
        <f>IF($C12="other",$C7*AJ12,(VLOOKUP($C12,'S3 - Screening Tool Metrics'!$C$3:$G$17,5,FALSE)/100)*AJ12)</f>
        <v>304.61462174664263</v>
      </c>
      <c r="AN12" s="778">
        <f t="shared" si="7"/>
        <v>4.9060174222361512</v>
      </c>
    </row>
    <row r="13" spans="2:40" x14ac:dyDescent="0.2">
      <c r="B13" s="768" t="s">
        <v>8</v>
      </c>
      <c r="C13" s="779" t="str">
        <f>$C8</f>
        <v>Other</v>
      </c>
      <c r="D13" s="780" t="s">
        <v>197</v>
      </c>
      <c r="E13" s="781">
        <f>VLOOKUP($B13&amp;"_"&amp;$D13,'App5 - CRUK Inci Rates'!C:H,6,FALSE)</f>
        <v>0</v>
      </c>
      <c r="F13" s="782">
        <f>VLOOKUP($B13&amp;"_"&amp;$D13,'App5 - CRUK Inci Rates'!C:H,3,FALSE)</f>
        <v>412.3</v>
      </c>
      <c r="G13" s="783">
        <f>VLOOKUP($B13&amp;"_"&amp;$D13,'App5 - CRUK Inci Rates'!C:J,8,FALSE)</f>
        <v>1805190</v>
      </c>
      <c r="H13" s="784">
        <f>VLOOKUP($B13&amp;"_"&amp;$D13,'App5 - CRUK Inci Rates'!C:J,7,FALSE)</f>
        <v>0</v>
      </c>
      <c r="I13" s="784">
        <f>VLOOKUP($B13&amp;"_"&amp;$D13,'App5 - CRUK Inci Rates'!C:J,4,FALSE)</f>
        <v>1805190</v>
      </c>
      <c r="J13" s="778">
        <f>VLOOKUP($B13&amp;"_"&amp;$D13,'App5 - CRUK Inci Rates'!C:K,9,FALSE)</f>
        <v>7443</v>
      </c>
      <c r="K13" s="753">
        <f t="shared" si="8"/>
        <v>902595</v>
      </c>
      <c r="L13" s="753">
        <f>VLOOKUP("*"&amp;$B13&amp;"*",'S4 - Summ PRS Characteristics'!$C$21:$Q$28,11,FALSE)*$J13</f>
        <v>5828.3915406923161</v>
      </c>
      <c r="M13" s="753">
        <f t="shared" si="9"/>
        <v>1614.6084593076839</v>
      </c>
      <c r="N13" s="753">
        <f>IF($C13="other",(1-$C$7)*L13,(1-(VLOOKUP($C13,'S3 - Screening Tool Metrics'!$C$3:$G$17,5,FALSE)/100))*L13)</f>
        <v>1165.6783081384629</v>
      </c>
      <c r="O13" s="753">
        <f>IF($C13="other",$C$7*L13,(VLOOKUP($C13,'S3 - Screening Tool Metrics'!$C$3:$G$17,5,FALSE)/100)*L13)</f>
        <v>4662.7132325538532</v>
      </c>
      <c r="P13" s="753">
        <f t="shared" si="10"/>
        <v>62.645616452423127</v>
      </c>
      <c r="Q13" s="776">
        <f t="shared" si="0"/>
        <v>361038</v>
      </c>
      <c r="R13" s="753">
        <f>VLOOKUP("*"&amp;$B13&amp;"*",'S4 - Summ PRS Characteristics'!$C$21:$Q$28,12,FALSE)*$J13</f>
        <v>3546.3607077608794</v>
      </c>
      <c r="S13" s="753">
        <f t="shared" si="11"/>
        <v>3896.6392922391206</v>
      </c>
      <c r="T13" s="753">
        <f>IF($C13="other",(1-$C7)*R13,(1-(VLOOKUP($C13,'S3 - Screening Tool Metrics'!$C$3:$G$17,5,FALSE)/100))*R13)</f>
        <v>709.27214155217575</v>
      </c>
      <c r="U13" s="753">
        <f>IF($C13="other",$C7*R13,(VLOOKUP($C13,'S3 - Screening Tool Metrics'!$C$3:$G$17,5,FALSE)/100)*R13)</f>
        <v>2837.0885662087039</v>
      </c>
      <c r="V13" s="777">
        <f t="shared" si="1"/>
        <v>38.117540859985269</v>
      </c>
      <c r="W13" s="753">
        <f t="shared" si="2"/>
        <v>180519</v>
      </c>
      <c r="X13" s="753">
        <f>VLOOKUP("*"&amp;$B13&amp;"*",'S4 - Summ PRS Characteristics'!$C$21:$Q$28,13,FALSE)*$J13</f>
        <v>2299.2039090048615</v>
      </c>
      <c r="Y13" s="753">
        <f t="shared" si="12"/>
        <v>5143.796090995138</v>
      </c>
      <c r="Z13" s="753">
        <f>IF($C13="other",(1-$C7)*X13,(1-(VLOOKUP($C13,'S3 - Screening Tool Metrics'!$C$3:$G$17,5,FALSE)/100))*X13)</f>
        <v>459.8407818009722</v>
      </c>
      <c r="AA13" s="753">
        <f>IF($C13="other",$C7*X13,(VLOOKUP($C13,'S3 - Screening Tool Metrics'!$C$3:$G$17,5,FALSE)/100)*X13)</f>
        <v>1839.3631272038892</v>
      </c>
      <c r="AB13" s="777">
        <f t="shared" si="3"/>
        <v>24.712657896061927</v>
      </c>
      <c r="AC13" s="776">
        <f t="shared" si="4"/>
        <v>90259.5</v>
      </c>
      <c r="AD13" s="753">
        <f>VLOOKUP("*"&amp;$B13&amp;"*",'S4 - Summ PRS Characteristics'!$C$21:$Q$28,14,FALSE)*$J13</f>
        <v>1445.9898018513229</v>
      </c>
      <c r="AE13" s="753">
        <f t="shared" si="14"/>
        <v>5997.0101981486769</v>
      </c>
      <c r="AF13" s="753">
        <f>IF($C13="other",(1-$C7)*AD13,(1-(VLOOKUP($C13,'S3 - Screening Tool Metrics'!$C$3:$G$17,5,FALSE)/100))*AD13)</f>
        <v>289.19796037026452</v>
      </c>
      <c r="AG13" s="753">
        <f>IF($C13="other",$C7*AD13,(VLOOKUP($C13,'S3 - Screening Tool Metrics'!$C$3:$G$17,5,FALSE)/100)*AD13)</f>
        <v>1156.7918414810583</v>
      </c>
      <c r="AH13" s="777">
        <f t="shared" si="5"/>
        <v>15.542010499543979</v>
      </c>
      <c r="AI13" s="776">
        <f t="shared" si="6"/>
        <v>18051.900000000001</v>
      </c>
      <c r="AJ13" s="753">
        <f>VLOOKUP("*"&amp;$B13&amp;"*",'S4 - Summ PRS Characteristics'!$C$21:$Q$28,15,FALSE)*$J13</f>
        <v>456.44359592129587</v>
      </c>
      <c r="AK13" s="753">
        <f t="shared" si="13"/>
        <v>6986.556404078704</v>
      </c>
      <c r="AL13" s="753">
        <f>IF($C13="other",(1-$C7)*AJ13,(1-(VLOOKUP($C13,'S3 - Screening Tool Metrics'!$C$3:$G$17,5,FALSE)/100))*AJ13)</f>
        <v>91.288719184259151</v>
      </c>
      <c r="AM13" s="753">
        <f>IF($C13="other",$C7*AJ13,(VLOOKUP($C13,'S3 - Screening Tool Metrics'!$C$3:$G$17,5,FALSE)/100)*AJ13)</f>
        <v>365.15487673703672</v>
      </c>
      <c r="AN13" s="778">
        <f t="shared" si="7"/>
        <v>4.9060174222361512</v>
      </c>
    </row>
    <row r="14" spans="2:40" x14ac:dyDescent="0.2">
      <c r="B14" s="768" t="s">
        <v>8</v>
      </c>
      <c r="C14" s="779" t="str">
        <f>$C8</f>
        <v>Other</v>
      </c>
      <c r="D14" s="780" t="s">
        <v>198</v>
      </c>
      <c r="E14" s="781">
        <f>VLOOKUP($B14&amp;"_"&amp;$D14,'App5 - CRUK Inci Rates'!C:H,6,FALSE)</f>
        <v>0</v>
      </c>
      <c r="F14" s="782">
        <f>VLOOKUP($B14&amp;"_"&amp;$D14,'App5 - CRUK Inci Rates'!C:H,3,FALSE)</f>
        <v>372.7</v>
      </c>
      <c r="G14" s="783">
        <f>VLOOKUP($B14&amp;"_"&amp;$D14,'App5 - CRUK Inci Rates'!C:J,8,FALSE)</f>
        <v>1603609.6666666667</v>
      </c>
      <c r="H14" s="784">
        <f>VLOOKUP($B14&amp;"_"&amp;$D14,'App5 - CRUK Inci Rates'!C:J,7,FALSE)</f>
        <v>0</v>
      </c>
      <c r="I14" s="784">
        <f>VLOOKUP($B14&amp;"_"&amp;$D14,'App5 - CRUK Inci Rates'!C:J,4,FALSE)</f>
        <v>1603609.6666666667</v>
      </c>
      <c r="J14" s="778">
        <f>VLOOKUP($B14&amp;"_"&amp;$D14,'App5 - CRUK Inci Rates'!C:K,9,FALSE)</f>
        <v>5977</v>
      </c>
      <c r="K14" s="753">
        <f t="shared" si="8"/>
        <v>801804.83333333337</v>
      </c>
      <c r="L14" s="753">
        <f>VLOOKUP("*"&amp;$B14&amp;"*",'S4 - Summ PRS Characteristics'!$C$21:$Q$28,11,FALSE)*$J14</f>
        <v>4680.4106192016625</v>
      </c>
      <c r="M14" s="753">
        <f t="shared" si="9"/>
        <v>1296.5893807983375</v>
      </c>
      <c r="N14" s="753">
        <f>IF($C14="other",(1-$C$7)*L14,(1-(VLOOKUP($C14,'S3 - Screening Tool Metrics'!$C$3:$G$17,5,FALSE)/100))*L14)</f>
        <v>936.08212384033232</v>
      </c>
      <c r="O14" s="753">
        <f>IF($C14="other",$C$7*L14,(VLOOKUP($C14,'S3 - Screening Tool Metrics'!$C$3:$G$17,5,FALSE)/100)*L14)</f>
        <v>3744.3284953613302</v>
      </c>
      <c r="P14" s="753">
        <f t="shared" si="10"/>
        <v>62.645616452423127</v>
      </c>
      <c r="Q14" s="776">
        <f t="shared" si="0"/>
        <v>320721.93333333335</v>
      </c>
      <c r="R14" s="753">
        <f>VLOOKUP("*"&amp;$B14&amp;"*",'S4 - Summ PRS Characteristics'!$C$21:$Q$28,12,FALSE)*$J14</f>
        <v>2847.8567715016497</v>
      </c>
      <c r="S14" s="753">
        <f t="shared" si="11"/>
        <v>3129.1432284983503</v>
      </c>
      <c r="T14" s="753">
        <f>IF($C14="other",(1-$C7)*R14,(1-(VLOOKUP($C14,'S3 - Screening Tool Metrics'!$C$3:$G$17,5,FALSE)/100))*R14)</f>
        <v>569.57135430032986</v>
      </c>
      <c r="U14" s="753">
        <f>IF($C14="other",$C7*R14,(VLOOKUP($C14,'S3 - Screening Tool Metrics'!$C$3:$G$17,5,FALSE)/100)*R14)</f>
        <v>2278.2854172013199</v>
      </c>
      <c r="V14" s="777">
        <f t="shared" si="1"/>
        <v>38.117540859985276</v>
      </c>
      <c r="W14" s="753">
        <f t="shared" si="2"/>
        <v>160360.96666666667</v>
      </c>
      <c r="X14" s="753">
        <f>VLOOKUP("*"&amp;$B14&amp;"*",'S4 - Summ PRS Characteristics'!$C$21:$Q$28,13,FALSE)*$J14</f>
        <v>1846.3444530595268</v>
      </c>
      <c r="Y14" s="753">
        <f t="shared" si="12"/>
        <v>4130.655546940473</v>
      </c>
      <c r="Z14" s="753">
        <f>IF($C14="other",(1-$C7)*X14,(1-(VLOOKUP($C14,'S3 - Screening Tool Metrics'!$C$3:$G$17,5,FALSE)/100))*X14)</f>
        <v>369.26889061190531</v>
      </c>
      <c r="AA14" s="753">
        <f>IF($C14="other",$C7*X14,(VLOOKUP($C14,'S3 - Screening Tool Metrics'!$C$3:$G$17,5,FALSE)/100)*X14)</f>
        <v>1477.0755624476215</v>
      </c>
      <c r="AB14" s="777">
        <f t="shared" si="3"/>
        <v>24.712657896061931</v>
      </c>
      <c r="AC14" s="776">
        <f t="shared" si="4"/>
        <v>80180.483333333337</v>
      </c>
      <c r="AD14" s="753">
        <f>VLOOKUP("*"&amp;$B14&amp;"*",'S4 - Summ PRS Characteristics'!$C$21:$Q$28,14,FALSE)*$J14</f>
        <v>1161.1824594471796</v>
      </c>
      <c r="AE14" s="753">
        <f t="shared" si="14"/>
        <v>4815.81754055282</v>
      </c>
      <c r="AF14" s="753">
        <f>IF($C14="other",(1-$C7)*AD14,(1-(VLOOKUP($C14,'S3 - Screening Tool Metrics'!$C$3:$G$17,5,FALSE)/100))*AD14)</f>
        <v>232.23649188943585</v>
      </c>
      <c r="AG14" s="753">
        <f>IF($C14="other",$C7*AD14,(VLOOKUP($C14,'S3 - Screening Tool Metrics'!$C$3:$G$17,5,FALSE)/100)*AD14)</f>
        <v>928.94596755774364</v>
      </c>
      <c r="AH14" s="777">
        <f t="shared" si="5"/>
        <v>15.542010499543979</v>
      </c>
      <c r="AI14" s="776">
        <f t="shared" si="6"/>
        <v>16036.096666666668</v>
      </c>
      <c r="AJ14" s="753">
        <f>VLOOKUP("*"&amp;$B14&amp;"*",'S4 - Summ PRS Characteristics'!$C$21:$Q$28,15,FALSE)*$J14</f>
        <v>366.54082665881839</v>
      </c>
      <c r="AK14" s="753">
        <f t="shared" si="13"/>
        <v>5610.4591733411817</v>
      </c>
      <c r="AL14" s="753">
        <f>IF($C14="other",(1-$C7)*AJ14,(1-(VLOOKUP($C14,'S3 - Screening Tool Metrics'!$C$3:$G$17,5,FALSE)/100))*AJ14)</f>
        <v>73.308165331763661</v>
      </c>
      <c r="AM14" s="753">
        <f>IF($C14="other",$C7*AJ14,(VLOOKUP($C14,'S3 - Screening Tool Metrics'!$C$3:$G$17,5,FALSE)/100)*AJ14)</f>
        <v>293.2326613270547</v>
      </c>
      <c r="AN14" s="778">
        <f t="shared" si="7"/>
        <v>4.9060174222361503</v>
      </c>
    </row>
    <row r="15" spans="2:40" x14ac:dyDescent="0.2">
      <c r="B15" s="768" t="s">
        <v>8</v>
      </c>
      <c r="C15" s="779" t="str">
        <f>$C8</f>
        <v>Other</v>
      </c>
      <c r="D15" s="780" t="s">
        <v>199</v>
      </c>
      <c r="E15" s="781">
        <f>VLOOKUP($B15&amp;"_"&amp;$D15,'App5 - CRUK Inci Rates'!C:H,6,FALSE)</f>
        <v>0</v>
      </c>
      <c r="F15" s="782">
        <f>VLOOKUP($B15&amp;"_"&amp;$D15,'App5 - CRUK Inci Rates'!C:H,3,FALSE)</f>
        <v>403</v>
      </c>
      <c r="G15" s="783">
        <f>VLOOKUP($B15&amp;"_"&amp;$D15,'App5 - CRUK Inci Rates'!C:J,8,FALSE)</f>
        <v>1181645.3333333333</v>
      </c>
      <c r="H15" s="784">
        <f>VLOOKUP($B15&amp;"_"&amp;$D15,'App5 - CRUK Inci Rates'!C:J,7,FALSE)</f>
        <v>0</v>
      </c>
      <c r="I15" s="784">
        <f>VLOOKUP($B15&amp;"_"&amp;$D15,'App5 - CRUK Inci Rates'!C:J,4,FALSE)</f>
        <v>1181645.3333333333</v>
      </c>
      <c r="J15" s="778">
        <f>VLOOKUP($B15&amp;"_"&amp;$D15,'App5 - CRUK Inci Rates'!C:K,9,FALSE)</f>
        <v>4762</v>
      </c>
      <c r="K15" s="753">
        <f t="shared" si="8"/>
        <v>590822.66666666663</v>
      </c>
      <c r="L15" s="753">
        <f>VLOOKUP("*"&amp;$B15&amp;"*",'S4 - Summ PRS Characteristics'!$C$21:$Q$28,11,FALSE)*$J15</f>
        <v>3728.9803193304861</v>
      </c>
      <c r="M15" s="753">
        <f t="shared" si="9"/>
        <v>1033.0196806695139</v>
      </c>
      <c r="N15" s="753">
        <f>IF($C15="other",(1-$C$7)*L15,(1-(VLOOKUP($C15,'S3 - Screening Tool Metrics'!$C$3:$G$17,5,FALSE)/100))*L15)</f>
        <v>745.79606386609703</v>
      </c>
      <c r="O15" s="753">
        <f>IF($C15="other",$C$7*L15,(VLOOKUP($C15,'S3 - Screening Tool Metrics'!$C$3:$G$17,5,FALSE)/100)*L15)</f>
        <v>2983.184255464389</v>
      </c>
      <c r="P15" s="753">
        <f t="shared" si="10"/>
        <v>62.645616452423127</v>
      </c>
      <c r="Q15" s="776">
        <f t="shared" si="0"/>
        <v>236329.06666666665</v>
      </c>
      <c r="R15" s="753">
        <f>VLOOKUP("*"&amp;$B15&amp;"*",'S4 - Summ PRS Characteristics'!$C$21:$Q$28,12,FALSE)*$J15</f>
        <v>2268.9466196906233</v>
      </c>
      <c r="S15" s="753">
        <f t="shared" si="11"/>
        <v>2493.0533803093767</v>
      </c>
      <c r="T15" s="753">
        <f>IF($C15="other",(1-$C7)*R15,(1-(VLOOKUP($C15,'S3 - Screening Tool Metrics'!$C$3:$G$17,5,FALSE)/100))*R15)</f>
        <v>453.78932393812454</v>
      </c>
      <c r="U15" s="753">
        <f>IF($C15="other",$C7*R15,(VLOOKUP($C15,'S3 - Screening Tool Metrics'!$C$3:$G$17,5,FALSE)/100)*R15)</f>
        <v>1815.1572957524986</v>
      </c>
      <c r="V15" s="777">
        <f t="shared" si="1"/>
        <v>38.117540859985269</v>
      </c>
      <c r="W15" s="753">
        <f t="shared" si="2"/>
        <v>118164.53333333333</v>
      </c>
      <c r="X15" s="753">
        <f>VLOOKUP("*"&amp;$B15&amp;"*",'S4 - Summ PRS Characteristics'!$C$21:$Q$28,13,FALSE)*$J15</f>
        <v>1471.0209612630863</v>
      </c>
      <c r="Y15" s="753">
        <f t="shared" si="12"/>
        <v>3290.9790387369139</v>
      </c>
      <c r="Z15" s="753">
        <f>IF($C15="other",(1-$C7)*X15,(1-(VLOOKUP($C15,'S3 - Screening Tool Metrics'!$C$3:$G$17,5,FALSE)/100))*X15)</f>
        <v>294.20419225261719</v>
      </c>
      <c r="AA15" s="753">
        <f>IF($C15="other",$C7*X15,(VLOOKUP($C15,'S3 - Screening Tool Metrics'!$C$3:$G$17,5,FALSE)/100)*X15)</f>
        <v>1176.816769010469</v>
      </c>
      <c r="AB15" s="777">
        <f t="shared" si="3"/>
        <v>24.712657896061927</v>
      </c>
      <c r="AC15" s="776">
        <f t="shared" si="4"/>
        <v>59082.266666666663</v>
      </c>
      <c r="AD15" s="753">
        <f>VLOOKUP("*"&amp;$B15&amp;"*",'S4 - Summ PRS Characteristics'!$C$21:$Q$28,14,FALSE)*$J15</f>
        <v>925.13817498535536</v>
      </c>
      <c r="AE15" s="753">
        <f t="shared" si="14"/>
        <v>3836.8618250146446</v>
      </c>
      <c r="AF15" s="753">
        <f>IF($C15="other",(1-$C7)*AD15,(1-(VLOOKUP($C15,'S3 - Screening Tool Metrics'!$C$3:$G$17,5,FALSE)/100))*AD15)</f>
        <v>185.02763499707103</v>
      </c>
      <c r="AG15" s="753">
        <f>IF($C15="other",$C7*AD15,(VLOOKUP($C15,'S3 - Screening Tool Metrics'!$C$3:$G$17,5,FALSE)/100)*AD15)</f>
        <v>740.11053998828436</v>
      </c>
      <c r="AH15" s="777">
        <f t="shared" si="5"/>
        <v>15.542010499543983</v>
      </c>
      <c r="AI15" s="776">
        <f t="shared" si="6"/>
        <v>11816.453333333333</v>
      </c>
      <c r="AJ15" s="753">
        <f>VLOOKUP("*"&amp;$B15&amp;"*",'S4 - Summ PRS Characteristics'!$C$21:$Q$28,15,FALSE)*$J15</f>
        <v>292.03068705860687</v>
      </c>
      <c r="AK15" s="753">
        <f t="shared" si="13"/>
        <v>4469.9693129413936</v>
      </c>
      <c r="AL15" s="753">
        <f>IF($C15="other",(1-$C7)*AJ15,(1-(VLOOKUP($C15,'S3 - Screening Tool Metrics'!$C$3:$G$17,5,FALSE)/100))*AJ15)</f>
        <v>58.40613741172136</v>
      </c>
      <c r="AM15" s="753">
        <f>IF($C15="other",$C7*AJ15,(VLOOKUP($C15,'S3 - Screening Tool Metrics'!$C$3:$G$17,5,FALSE)/100)*AJ15)</f>
        <v>233.6245496468855</v>
      </c>
      <c r="AN15" s="778">
        <f t="shared" si="7"/>
        <v>4.9060174222361512</v>
      </c>
    </row>
    <row r="16" spans="2:40" x14ac:dyDescent="0.2">
      <c r="B16" s="768" t="s">
        <v>8</v>
      </c>
      <c r="C16" s="779" t="str">
        <f>$C8</f>
        <v>Other</v>
      </c>
      <c r="D16" s="780" t="s">
        <v>200</v>
      </c>
      <c r="E16" s="781">
        <f>VLOOKUP($B16&amp;"_"&amp;$D16,'App5 - CRUK Inci Rates'!C:H,6,FALSE)</f>
        <v>0</v>
      </c>
      <c r="F16" s="782">
        <f>VLOOKUP($B16&amp;"_"&amp;$D16,'App5 - CRUK Inci Rates'!C:H,3,FALSE)</f>
        <v>270.90219320904782</v>
      </c>
      <c r="G16" s="783">
        <f>VLOOKUP($B16&amp;"_"&amp;$D16,'App5 - CRUK Inci Rates'!C:J,8,FALSE)</f>
        <v>12496392</v>
      </c>
      <c r="H16" s="784">
        <f>VLOOKUP($B16&amp;"_"&amp;$D16,'App5 - CRUK Inci Rates'!C:J,7,FALSE)</f>
        <v>0</v>
      </c>
      <c r="I16" s="784">
        <f>VLOOKUP($B16&amp;"_"&amp;$D16,'App5 - CRUK Inci Rates'!C:J,4,FALSE)</f>
        <v>12496392</v>
      </c>
      <c r="J16" s="778">
        <f>VLOOKUP($B16&amp;"_"&amp;$D16,'App5 - CRUK Inci Rates'!C:K,9,FALSE)</f>
        <v>33853</v>
      </c>
      <c r="K16" s="753">
        <f t="shared" si="8"/>
        <v>6248196</v>
      </c>
      <c r="L16" s="753">
        <f>VLOOKUP("*"&amp;$B16&amp;"*",'S4 - Summ PRS Characteristics'!$C$21:$Q$28,11,FALSE)*$J16</f>
        <v>26509.275672048498</v>
      </c>
      <c r="M16" s="753">
        <f t="shared" si="9"/>
        <v>7343.7243279515023</v>
      </c>
      <c r="N16" s="753">
        <f>IF($C16="other",(1-$C$7)*L16,(1-(VLOOKUP($C16,'S3 - Screening Tool Metrics'!$C$3:$G$17,5,FALSE)/100))*L16)</f>
        <v>5301.8551344096986</v>
      </c>
      <c r="O16" s="753">
        <f>IF($C16="other",$C$7*L16,(VLOOKUP($C16,'S3 - Screening Tool Metrics'!$C$3:$G$17,5,FALSE)/100)*L16)</f>
        <v>21207.420537638798</v>
      </c>
      <c r="P16" s="753">
        <f t="shared" si="10"/>
        <v>62.645616452423113</v>
      </c>
      <c r="Q16" s="776">
        <f t="shared" si="0"/>
        <v>2499278.4</v>
      </c>
      <c r="R16" s="753">
        <f>VLOOKUP("*"&amp;$B16&amp;"*",'S4 - Summ PRS Characteristics'!$C$21:$Q$28,12,FALSE)*$J16</f>
        <v>16129.913884163518</v>
      </c>
      <c r="S16" s="753">
        <f t="shared" si="11"/>
        <v>17723.086115836482</v>
      </c>
      <c r="T16" s="753">
        <f>IF($C16="other",(1-$C7)*R16,(1-(VLOOKUP($C16,'S3 - Screening Tool Metrics'!$C$3:$G$17,5,FALSE)/100))*R16)</f>
        <v>3225.9827768327027</v>
      </c>
      <c r="U16" s="753">
        <f>IF($C16="other",$C7*R16,(VLOOKUP($C16,'S3 - Screening Tool Metrics'!$C$3:$G$17,5,FALSE)/100)*R16)</f>
        <v>12903.931107330814</v>
      </c>
      <c r="V16" s="777">
        <f t="shared" si="1"/>
        <v>38.117540859985269</v>
      </c>
      <c r="W16" s="753">
        <f t="shared" si="2"/>
        <v>1249639.2</v>
      </c>
      <c r="X16" s="753">
        <f>VLOOKUP("*"&amp;$B16&amp;"*",'S4 - Summ PRS Characteristics'!$C$21:$Q$28,13,FALSE)*$J16</f>
        <v>10457.470096942305</v>
      </c>
      <c r="Y16" s="753">
        <f t="shared" si="12"/>
        <v>23395.529903057693</v>
      </c>
      <c r="Z16" s="753">
        <f>IF($C16="other",(1-$C7)*X16,(1-(VLOOKUP($C16,'S3 - Screening Tool Metrics'!$C$3:$G$17,5,FALSE)/100))*X16)</f>
        <v>2091.4940193884604</v>
      </c>
      <c r="AA16" s="753">
        <f>IF($C16="other",$C7*X16,(VLOOKUP($C16,'S3 - Screening Tool Metrics'!$C$3:$G$17,5,FALSE)/100)*X16)</f>
        <v>8365.9760775538434</v>
      </c>
      <c r="AB16" s="777">
        <f t="shared" si="3"/>
        <v>24.712657896061923</v>
      </c>
      <c r="AC16" s="776">
        <f t="shared" si="4"/>
        <v>624819.6</v>
      </c>
      <c r="AD16" s="753">
        <f>VLOOKUP("*"&amp;$B16&amp;"*",'S4 - Summ PRS Characteristics'!$C$21:$Q$28,14,FALSE)*$J16</f>
        <v>6576.7960180132786</v>
      </c>
      <c r="AE16" s="753">
        <f t="shared" si="14"/>
        <v>27276.20398198672</v>
      </c>
      <c r="AF16" s="753">
        <f>IF($C16="other",(1-$C7)*AD16,(1-(VLOOKUP($C16,'S3 - Screening Tool Metrics'!$C$3:$G$17,5,FALSE)/100))*AD16)</f>
        <v>1315.3592036026555</v>
      </c>
      <c r="AG16" s="753">
        <f>IF($C16="other",$C7*AD16,(VLOOKUP($C16,'S3 - Screening Tool Metrics'!$C$3:$G$17,5,FALSE)/100)*AD16)</f>
        <v>5261.4368144106229</v>
      </c>
      <c r="AH16" s="777">
        <f t="shared" si="5"/>
        <v>15.542010499543979</v>
      </c>
      <c r="AI16" s="776">
        <f t="shared" si="6"/>
        <v>124963.92</v>
      </c>
      <c r="AJ16" s="753">
        <f>VLOOKUP("*"&amp;$B16&amp;"*",'S4 - Summ PRS Characteristics'!$C$21:$Q$28,15,FALSE)*$J16</f>
        <v>2076.042597437005</v>
      </c>
      <c r="AK16" s="753">
        <f t="shared" si="13"/>
        <v>31776.957402562995</v>
      </c>
      <c r="AL16" s="753">
        <f>IF($C16="other",(1-$C7)*AJ16,(1-(VLOOKUP($C16,'S3 - Screening Tool Metrics'!$C$3:$G$17,5,FALSE)/100))*AJ16)</f>
        <v>415.20851948740091</v>
      </c>
      <c r="AM16" s="753">
        <f>IF($C16="other",$C7*AJ16,(VLOOKUP($C16,'S3 - Screening Tool Metrics'!$C$3:$G$17,5,FALSE)/100)*AJ16)</f>
        <v>1660.8340779496041</v>
      </c>
      <c r="AN16" s="778">
        <f t="shared" si="7"/>
        <v>4.9060174222361512</v>
      </c>
    </row>
    <row r="17" spans="2:40" x14ac:dyDescent="0.2">
      <c r="B17" s="768" t="s">
        <v>8</v>
      </c>
      <c r="C17" s="779" t="str">
        <f>$C8</f>
        <v>Other</v>
      </c>
      <c r="D17" s="780" t="s">
        <v>201</v>
      </c>
      <c r="E17" s="781">
        <f>VLOOKUP($B17&amp;"_"&amp;$D17,'App5 - CRUK Inci Rates'!C:H,6,FALSE)</f>
        <v>0</v>
      </c>
      <c r="F17" s="782">
        <f>VLOOKUP($B17&amp;"_"&amp;$D17,'App5 - CRUK Inci Rates'!C:H,3,FALSE)</f>
        <v>172.39159216630148</v>
      </c>
      <c r="G17" s="783">
        <f>VLOOKUP($B17&amp;"_"&amp;$D17,'App5 - CRUK Inci Rates'!C:J,8,FALSE)</f>
        <v>4369702.666666667</v>
      </c>
      <c r="H17" s="784">
        <f>VLOOKUP($B17&amp;"_"&amp;$D17,'App5 - CRUK Inci Rates'!C:J,7,FALSE)</f>
        <v>0</v>
      </c>
      <c r="I17" s="784">
        <f>VLOOKUP($B17&amp;"_"&amp;$D17,'App5 - CRUK Inci Rates'!C:J,4,FALSE)</f>
        <v>4369702.666666667</v>
      </c>
      <c r="J17" s="778">
        <f>VLOOKUP($B17&amp;"_"&amp;$D17,'App5 - CRUK Inci Rates'!C:K,9,FALSE)</f>
        <v>7533</v>
      </c>
      <c r="K17" s="753">
        <f t="shared" si="8"/>
        <v>2184851.3333333335</v>
      </c>
      <c r="L17" s="753">
        <f>VLOOKUP("*"&amp;$B17&amp;"*",'S4 - Summ PRS Characteristics'!$C$21:$Q$28,11,FALSE)*$J17</f>
        <v>5898.867859201292</v>
      </c>
      <c r="M17" s="753">
        <f t="shared" si="9"/>
        <v>1634.132140798708</v>
      </c>
      <c r="N17" s="753">
        <f>IF($C17="other",(1-$C$7)*L17,(1-(VLOOKUP($C17,'S3 - Screening Tool Metrics'!$C$3:$G$17,5,FALSE)/100))*L17)</f>
        <v>1179.7735718402582</v>
      </c>
      <c r="O17" s="753">
        <f>IF($C17="other",$C$7*L17,(VLOOKUP($C17,'S3 - Screening Tool Metrics'!$C$3:$G$17,5,FALSE)/100)*L17)</f>
        <v>4719.0942873610338</v>
      </c>
      <c r="P17" s="753">
        <f t="shared" si="10"/>
        <v>62.645616452423127</v>
      </c>
      <c r="Q17" s="776">
        <f t="shared" si="0"/>
        <v>873940.53333333344</v>
      </c>
      <c r="R17" s="753">
        <f>VLOOKUP("*"&amp;$B17&amp;"*",'S4 - Summ PRS Characteristics'!$C$21:$Q$28,12,FALSE)*$J17</f>
        <v>3589.2429412283632</v>
      </c>
      <c r="S17" s="753">
        <f t="shared" si="11"/>
        <v>3943.7570587716368</v>
      </c>
      <c r="T17" s="753">
        <f>IF($C17="other",(1-$C7)*R17,(1-(VLOOKUP($C17,'S3 - Screening Tool Metrics'!$C$3:$G$17,5,FALSE)/100))*R17)</f>
        <v>717.84858824567243</v>
      </c>
      <c r="U17" s="753">
        <f>IF($C17="other",$C7*R17,(VLOOKUP($C17,'S3 - Screening Tool Metrics'!$C$3:$G$17,5,FALSE)/100)*R17)</f>
        <v>2871.3943529826906</v>
      </c>
      <c r="V17" s="777">
        <f t="shared" si="1"/>
        <v>38.117540859985269</v>
      </c>
      <c r="W17" s="753">
        <f t="shared" si="2"/>
        <v>436970.26666666672</v>
      </c>
      <c r="X17" s="753">
        <f>VLOOKUP("*"&amp;$B17&amp;"*",'S4 - Summ PRS Characteristics'!$C$21:$Q$28,13,FALSE)*$J17</f>
        <v>2327.0056491379314</v>
      </c>
      <c r="Y17" s="753">
        <f t="shared" si="12"/>
        <v>5205.994350862069</v>
      </c>
      <c r="Z17" s="753">
        <f>IF($C17="other",(1-$C7)*X17,(1-(VLOOKUP($C17,'S3 - Screening Tool Metrics'!$C$3:$G$17,5,FALSE)/100))*X17)</f>
        <v>465.4011298275862</v>
      </c>
      <c r="AA17" s="753">
        <f>IF($C17="other",$C7*X17,(VLOOKUP($C17,'S3 - Screening Tool Metrics'!$C$3:$G$17,5,FALSE)/100)*X17)</f>
        <v>1861.6045193103453</v>
      </c>
      <c r="AB17" s="777">
        <f t="shared" si="3"/>
        <v>24.712657896061931</v>
      </c>
      <c r="AC17" s="776">
        <f t="shared" si="4"/>
        <v>218485.13333333336</v>
      </c>
      <c r="AD17" s="753">
        <f>VLOOKUP("*"&amp;$B17&amp;"*",'S4 - Summ PRS Characteristics'!$C$21:$Q$28,14,FALSE)*$J17</f>
        <v>1463.4745636633099</v>
      </c>
      <c r="AE17" s="753">
        <f t="shared" si="14"/>
        <v>6069.5254363366903</v>
      </c>
      <c r="AF17" s="753">
        <f>IF($C17="other",(1-$C7)*AD17,(1-(VLOOKUP($C17,'S3 - Screening Tool Metrics'!$C$3:$G$17,5,FALSE)/100))*AD17)</f>
        <v>292.69491273266192</v>
      </c>
      <c r="AG17" s="753">
        <f>IF($C17="other",$C7*AD17,(VLOOKUP($C17,'S3 - Screening Tool Metrics'!$C$3:$G$17,5,FALSE)/100)*AD17)</f>
        <v>1170.7796509306479</v>
      </c>
      <c r="AH17" s="777">
        <f t="shared" si="5"/>
        <v>15.542010499543979</v>
      </c>
      <c r="AI17" s="776">
        <f t="shared" si="6"/>
        <v>43697.026666666672</v>
      </c>
      <c r="AJ17" s="753">
        <f>VLOOKUP("*"&amp;$B17&amp;"*",'S4 - Summ PRS Characteristics'!$C$21:$Q$28,15,FALSE)*$J17</f>
        <v>461.96286552131153</v>
      </c>
      <c r="AK17" s="753">
        <f t="shared" si="13"/>
        <v>7071.0371344786881</v>
      </c>
      <c r="AL17" s="753">
        <f>IF($C17="other",(1-$C7)*AJ17,(1-(VLOOKUP($C17,'S3 - Screening Tool Metrics'!$C$3:$G$17,5,FALSE)/100))*AJ17)</f>
        <v>92.392573104262283</v>
      </c>
      <c r="AM17" s="753">
        <f>IF($C17="other",$C7*AJ17,(VLOOKUP($C17,'S3 - Screening Tool Metrics'!$C$3:$G$17,5,FALSE)/100)*AJ17)</f>
        <v>369.57029241704925</v>
      </c>
      <c r="AN17" s="778">
        <f t="shared" si="7"/>
        <v>4.9060174222361512</v>
      </c>
    </row>
    <row r="18" spans="2:40" x14ac:dyDescent="0.2">
      <c r="B18" s="768" t="s">
        <v>8</v>
      </c>
      <c r="C18" s="779" t="str">
        <f>$C8</f>
        <v>Other</v>
      </c>
      <c r="D18" s="780" t="s">
        <v>202</v>
      </c>
      <c r="E18" s="781">
        <f>VLOOKUP($B18&amp;"_"&amp;$D18,'App5 - CRUK Inci Rates'!C:H,6,FALSE)</f>
        <v>0</v>
      </c>
      <c r="F18" s="782">
        <f>VLOOKUP($B18&amp;"_"&amp;$D18,'App5 - CRUK Inci Rates'!C:H,3,FALSE)</f>
        <v>282.4951148355575</v>
      </c>
      <c r="G18" s="783">
        <f>VLOOKUP($B18&amp;"_"&amp;$D18,'App5 - CRUK Inci Rates'!C:J,8,FALSE)</f>
        <v>4484325.333333334</v>
      </c>
      <c r="H18" s="784">
        <f>VLOOKUP($B18&amp;"_"&amp;$D18,'App5 - CRUK Inci Rates'!C:J,7,FALSE)</f>
        <v>0</v>
      </c>
      <c r="I18" s="784">
        <f>VLOOKUP($B18&amp;"_"&amp;$D18,'App5 - CRUK Inci Rates'!C:J,4,FALSE)</f>
        <v>4484325.333333334</v>
      </c>
      <c r="J18" s="778">
        <f>VLOOKUP($B18&amp;"_"&amp;$D18,'App5 - CRUK Inci Rates'!C:K,9,FALSE)</f>
        <v>12668</v>
      </c>
      <c r="K18" s="753">
        <f t="shared" si="8"/>
        <v>2242162.666666667</v>
      </c>
      <c r="L18" s="753">
        <f>VLOOKUP("*"&amp;$B18&amp;"*",'S4 - Summ PRS Characteristics'!$C$21:$Q$28,11,FALSE)*$J18</f>
        <v>9919.9333652412006</v>
      </c>
      <c r="M18" s="753">
        <f t="shared" si="9"/>
        <v>2748.0666347587994</v>
      </c>
      <c r="N18" s="753">
        <f>IF($C18="other",(1-$C$7)*L18,(1-(VLOOKUP($C18,'S3 - Screening Tool Metrics'!$C$3:$G$17,5,FALSE)/100))*L18)</f>
        <v>1983.9866730482397</v>
      </c>
      <c r="O18" s="753">
        <f>IF($C18="other",$C$7*L18,(VLOOKUP($C18,'S3 - Screening Tool Metrics'!$C$3:$G$17,5,FALSE)/100)*L18)</f>
        <v>7935.9466921929607</v>
      </c>
      <c r="P18" s="753">
        <f t="shared" si="10"/>
        <v>62.645616452423113</v>
      </c>
      <c r="Q18" s="776">
        <f t="shared" si="0"/>
        <v>896865.06666666688</v>
      </c>
      <c r="R18" s="753">
        <f>VLOOKUP("*"&amp;$B18&amp;"*",'S4 - Summ PRS Characteristics'!$C$21:$Q$28,12,FALSE)*$J18</f>
        <v>6035.9125951786673</v>
      </c>
      <c r="S18" s="753">
        <f t="shared" si="11"/>
        <v>6632.0874048213327</v>
      </c>
      <c r="T18" s="753">
        <f>IF($C18="other",(1-$C7)*R18,(1-(VLOOKUP($C18,'S3 - Screening Tool Metrics'!$C$3:$G$17,5,FALSE)/100))*R18)</f>
        <v>1207.1825190357331</v>
      </c>
      <c r="U18" s="753">
        <f>IF($C18="other",$C7*R18,(VLOOKUP($C18,'S3 - Screening Tool Metrics'!$C$3:$G$17,5,FALSE)/100)*R18)</f>
        <v>4828.7300761429342</v>
      </c>
      <c r="V18" s="777">
        <f t="shared" si="1"/>
        <v>38.117540859985269</v>
      </c>
      <c r="W18" s="753">
        <f t="shared" si="2"/>
        <v>448432.53333333344</v>
      </c>
      <c r="X18" s="753">
        <f>VLOOKUP("*"&amp;$B18&amp;"*",'S4 - Summ PRS Characteristics'!$C$21:$Q$28,13,FALSE)*$J18</f>
        <v>3913.2493778414059</v>
      </c>
      <c r="Y18" s="753">
        <f t="shared" si="12"/>
        <v>8754.7506221585936</v>
      </c>
      <c r="Z18" s="753">
        <f>IF($C18="other",(1-$C7)*X18,(1-(VLOOKUP($C18,'S3 - Screening Tool Metrics'!$C$3:$G$17,5,FALSE)/100))*X18)</f>
        <v>782.649875568281</v>
      </c>
      <c r="AA18" s="753">
        <f>IF($C18="other",$C7*X18,(VLOOKUP($C18,'S3 - Screening Tool Metrics'!$C$3:$G$17,5,FALSE)/100)*X18)</f>
        <v>3130.5995022731249</v>
      </c>
      <c r="AB18" s="777">
        <f t="shared" si="3"/>
        <v>24.712657896061927</v>
      </c>
      <c r="AC18" s="776">
        <f t="shared" si="4"/>
        <v>224216.26666666672</v>
      </c>
      <c r="AD18" s="753">
        <f>VLOOKUP("*"&amp;$B18&amp;"*",'S4 - Summ PRS Characteristics'!$C$21:$Q$28,14,FALSE)*$J18</f>
        <v>2461.077362602789</v>
      </c>
      <c r="AE18" s="753">
        <f t="shared" si="14"/>
        <v>10206.922637397211</v>
      </c>
      <c r="AF18" s="753">
        <f>IF($C18="other",(1-$C7)*AD18,(1-(VLOOKUP($C18,'S3 - Screening Tool Metrics'!$C$3:$G$17,5,FALSE)/100))*AD18)</f>
        <v>492.21547252055768</v>
      </c>
      <c r="AG18" s="753">
        <f>IF($C18="other",$C7*AD18,(VLOOKUP($C18,'S3 - Screening Tool Metrics'!$C$3:$G$17,5,FALSE)/100)*AD18)</f>
        <v>1968.8618900822312</v>
      </c>
      <c r="AH18" s="777">
        <f t="shared" si="5"/>
        <v>15.542010499543979</v>
      </c>
      <c r="AI18" s="776">
        <f t="shared" si="6"/>
        <v>44843.253333333341</v>
      </c>
      <c r="AJ18" s="753">
        <f>VLOOKUP("*"&amp;$B18&amp;"*",'S4 - Summ PRS Characteristics'!$C$21:$Q$28,15,FALSE)*$J18</f>
        <v>776.86785881109449</v>
      </c>
      <c r="AK18" s="753">
        <f t="shared" si="13"/>
        <v>11891.132141188906</v>
      </c>
      <c r="AL18" s="753">
        <f>IF($C18="other",(1-$C7)*AJ18,(1-(VLOOKUP($C18,'S3 - Screening Tool Metrics'!$C$3:$G$17,5,FALSE)/100))*AJ18)</f>
        <v>155.37357176221886</v>
      </c>
      <c r="AM18" s="753">
        <f>IF($C18="other",$C7*AJ18,(VLOOKUP($C18,'S3 - Screening Tool Metrics'!$C$3:$G$17,5,FALSE)/100)*AJ18)</f>
        <v>621.49428704887566</v>
      </c>
      <c r="AN18" s="778">
        <f t="shared" si="7"/>
        <v>4.9060174222361512</v>
      </c>
    </row>
    <row r="19" spans="2:40" x14ac:dyDescent="0.2">
      <c r="B19" s="768" t="s">
        <v>8</v>
      </c>
      <c r="C19" s="779" t="str">
        <f>$C8</f>
        <v>Other</v>
      </c>
      <c r="D19" s="780" t="s">
        <v>203</v>
      </c>
      <c r="E19" s="781">
        <f>VLOOKUP($B19&amp;"_"&amp;$D19,'App5 - CRUK Inci Rates'!C:H,6,FALSE)</f>
        <v>0</v>
      </c>
      <c r="F19" s="782">
        <f>VLOOKUP($B19&amp;"_"&amp;$D19,'App5 - CRUK Inci Rates'!C:H,3,FALSE)</f>
        <v>323.87112291893521</v>
      </c>
      <c r="G19" s="783">
        <f>VLOOKUP($B19&amp;"_"&amp;$D19,'App5 - CRUK Inci Rates'!C:J,8,FALSE)</f>
        <v>8126689.333333334</v>
      </c>
      <c r="H19" s="784">
        <f>VLOOKUP($B19&amp;"_"&amp;$D19,'App5 - CRUK Inci Rates'!C:J,7,FALSE)</f>
        <v>0</v>
      </c>
      <c r="I19" s="784">
        <f>VLOOKUP($B19&amp;"_"&amp;$D19,'App5 - CRUK Inci Rates'!C:J,4,FALSE)</f>
        <v>8126689.333333334</v>
      </c>
      <c r="J19" s="778">
        <f>VLOOKUP($B19&amp;"_"&amp;$D19,'App5 - CRUK Inci Rates'!C:K,9,FALSE)</f>
        <v>26320</v>
      </c>
      <c r="K19" s="753">
        <f t="shared" si="8"/>
        <v>4063344.666666667</v>
      </c>
      <c r="L19" s="753">
        <f>VLOOKUP("*"&amp;$B19&amp;"*",'S4 - Summ PRS Characteristics'!$C$21:$Q$28,11,FALSE)*$J19</f>
        <v>20610.407812847207</v>
      </c>
      <c r="M19" s="753">
        <f t="shared" si="9"/>
        <v>5709.5921871527935</v>
      </c>
      <c r="N19" s="753">
        <f>IF($C19="other",(1-$C$7)*L19,(1-(VLOOKUP($C19,'S3 - Screening Tool Metrics'!$C$3:$G$17,5,FALSE)/100))*L19)</f>
        <v>4122.0815625694404</v>
      </c>
      <c r="O19" s="753">
        <f>IF($C19="other",$C$7*L19,(VLOOKUP($C19,'S3 - Screening Tool Metrics'!$C$3:$G$17,5,FALSE)/100)*L19)</f>
        <v>16488.326250277765</v>
      </c>
      <c r="P19" s="753">
        <f t="shared" si="10"/>
        <v>62.645616452423127</v>
      </c>
      <c r="Q19" s="776">
        <f t="shared" si="0"/>
        <v>1625337.8666666669</v>
      </c>
      <c r="R19" s="753">
        <f>VLOOKUP("*"&amp;$B19&amp;"*",'S4 - Summ PRS Characteristics'!$C$21:$Q$28,12,FALSE)*$J19</f>
        <v>12540.670942935154</v>
      </c>
      <c r="S19" s="753">
        <f t="shared" si="11"/>
        <v>13779.329057064846</v>
      </c>
      <c r="T19" s="753">
        <f>IF($C19="other",(1-$C7)*R19,(1-(VLOOKUP($C19,'S3 - Screening Tool Metrics'!$C$3:$G$17,5,FALSE)/100))*R19)</f>
        <v>2508.1341885870302</v>
      </c>
      <c r="U19" s="753">
        <f>IF($C19="other",$C7*R19,(VLOOKUP($C19,'S3 - Screening Tool Metrics'!$C$3:$G$17,5,FALSE)/100)*R19)</f>
        <v>10032.536754348124</v>
      </c>
      <c r="V19" s="777">
        <f t="shared" si="1"/>
        <v>38.117540859985276</v>
      </c>
      <c r="W19" s="753">
        <f t="shared" si="2"/>
        <v>812668.93333333347</v>
      </c>
      <c r="X19" s="753">
        <f>VLOOKUP("*"&amp;$B19&amp;"*",'S4 - Summ PRS Characteristics'!$C$21:$Q$28,13,FALSE)*$J19</f>
        <v>8130.4644478043738</v>
      </c>
      <c r="Y19" s="753">
        <f t="shared" si="12"/>
        <v>18189.535552195626</v>
      </c>
      <c r="Z19" s="753">
        <f>IF($C19="other",(1-$C7)*X19,(1-(VLOOKUP($C19,'S3 - Screening Tool Metrics'!$C$3:$G$17,5,FALSE)/100))*X19)</f>
        <v>1626.0928895608745</v>
      </c>
      <c r="AA19" s="753">
        <f>IF($C19="other",$C7*X19,(VLOOKUP($C19,'S3 - Screening Tool Metrics'!$C$3:$G$17,5,FALSE)/100)*X19)</f>
        <v>6504.3715582434997</v>
      </c>
      <c r="AB19" s="777">
        <f t="shared" si="3"/>
        <v>24.712657896061931</v>
      </c>
      <c r="AC19" s="776">
        <f t="shared" si="4"/>
        <v>406334.46666666673</v>
      </c>
      <c r="AD19" s="753">
        <f>VLOOKUP("*"&amp;$B19&amp;"*",'S4 - Summ PRS Characteristics'!$C$21:$Q$28,14,FALSE)*$J19</f>
        <v>5113.3214543499689</v>
      </c>
      <c r="AE19" s="753">
        <f t="shared" si="14"/>
        <v>21206.678545650029</v>
      </c>
      <c r="AF19" s="753">
        <f>IF($C19="other",(1-$C7)*AD19,(1-(VLOOKUP($C19,'S3 - Screening Tool Metrics'!$C$3:$G$17,5,FALSE)/100))*AD19)</f>
        <v>1022.6642908699936</v>
      </c>
      <c r="AG19" s="753">
        <f>IF($C19="other",$C7*AD19,(VLOOKUP($C19,'S3 - Screening Tool Metrics'!$C$3:$G$17,5,FALSE)/100)*AD19)</f>
        <v>4090.6571634799752</v>
      </c>
      <c r="AH19" s="777">
        <f t="shared" si="5"/>
        <v>15.542010499543979</v>
      </c>
      <c r="AI19" s="776">
        <f t="shared" si="6"/>
        <v>81266.893333333341</v>
      </c>
      <c r="AJ19" s="753">
        <f>VLOOKUP("*"&amp;$B19&amp;"*",'S4 - Summ PRS Characteristics'!$C$21:$Q$28,15,FALSE)*$J19</f>
        <v>1614.0797319156936</v>
      </c>
      <c r="AK19" s="753">
        <f t="shared" si="13"/>
        <v>24705.920268084308</v>
      </c>
      <c r="AL19" s="753">
        <f>IF($C19="other",(1-$C7)*AJ19,(1-(VLOOKUP($C19,'S3 - Screening Tool Metrics'!$C$3:$G$17,5,FALSE)/100))*AJ19)</f>
        <v>322.81594638313868</v>
      </c>
      <c r="AM19" s="753">
        <f>IF($C19="other",$C7*AJ19,(VLOOKUP($C19,'S3 - Screening Tool Metrics'!$C$3:$G$17,5,FALSE)/100)*AJ19)</f>
        <v>1291.2637855325549</v>
      </c>
      <c r="AN19" s="778">
        <f t="shared" si="7"/>
        <v>4.9060174222361512</v>
      </c>
    </row>
    <row r="20" spans="2:40" x14ac:dyDescent="0.2">
      <c r="B20" s="768" t="s">
        <v>8</v>
      </c>
      <c r="C20" s="779" t="str">
        <f>$C9</f>
        <v>Other</v>
      </c>
      <c r="D20" s="780" t="s">
        <v>292</v>
      </c>
      <c r="E20" s="781">
        <f>VLOOKUP($B20&amp;"_"&amp;$D20,'App5 - CRUK Inci Rates'!C:H,6,FALSE)</f>
        <v>0</v>
      </c>
      <c r="F20" s="782">
        <f>VLOOKUP($B20&amp;"_"&amp;$D20,'App5 - CRUK Inci Rates'!C:H,3,FALSE)</f>
        <v>374.17267503121917</v>
      </c>
      <c r="G20" s="783">
        <f>VLOOKUP($B20&amp;"_"&amp;$D20,'App5 - CRUK Inci Rates'!C:J,8,FALSE)</f>
        <v>5245973.666666667</v>
      </c>
      <c r="H20" s="784">
        <f>VLOOKUP($B20&amp;"_"&amp;$D20,'App5 - CRUK Inci Rates'!C:J,7,FALSE)</f>
        <v>0</v>
      </c>
      <c r="I20" s="784">
        <f>VLOOKUP($B20&amp;"_"&amp;$D20,'App5 - CRUK Inci Rates'!C:J,4,FALSE)</f>
        <v>5245973.666666667</v>
      </c>
      <c r="J20" s="778">
        <f>VLOOKUP($B20&amp;"_"&amp;$D20,'App5 - CRUK Inci Rates'!C:K,9,FALSE)</f>
        <v>19629</v>
      </c>
      <c r="K20" s="753">
        <f t="shared" si="8"/>
        <v>2622986.8333333335</v>
      </c>
      <c r="L20" s="753">
        <f>VLOOKUP("*"&amp;$B20&amp;"*",'S4 - Summ PRS Characteristics'!$C$21:$Q$28,11,FALSE)*$J20</f>
        <v>15370.885066807667</v>
      </c>
      <c r="M20" s="753">
        <f t="shared" si="9"/>
        <v>4258.1149331923334</v>
      </c>
      <c r="N20" s="753">
        <f>IF($C20="other",(1-$C$7)*L20,(1-(VLOOKUP($C20,'S3 - Screening Tool Metrics'!$C$3:$G$17,5,FALSE)/100))*L20)</f>
        <v>3074.1770133615328</v>
      </c>
      <c r="O20" s="753">
        <f>IF($C20="other",$C$7*L20,(VLOOKUP($C20,'S3 - Screening Tool Metrics'!$C$3:$G$17,5,FALSE)/100)*L20)</f>
        <v>12296.708053446135</v>
      </c>
      <c r="P20" s="753">
        <f t="shared" si="10"/>
        <v>62.645616452423127</v>
      </c>
      <c r="Q20" s="776">
        <f t="shared" si="0"/>
        <v>1049194.7333333334</v>
      </c>
      <c r="R20" s="753">
        <f>VLOOKUP("*"&amp;$B20&amp;"*",'S4 - Summ PRS Characteristics'!$C$21:$Q$28,12,FALSE)*$J20</f>
        <v>9352.6151192581365</v>
      </c>
      <c r="S20" s="753">
        <f t="shared" ref="S20" si="15">$J20-R20</f>
        <v>10276.384880741864</v>
      </c>
      <c r="T20" s="753">
        <f>IF($C20="other",(1-$C7)*R20,(1-(VLOOKUP($C20,'S3 - Screening Tool Metrics'!$C$3:$G$17,5,FALSE)/100))*R20)</f>
        <v>1870.5230238516269</v>
      </c>
      <c r="U20" s="753">
        <f>IF($C20="other",$C7*R20,(VLOOKUP($C20,'S3 - Screening Tool Metrics'!$C$3:$G$17,5,FALSE)/100)*R20)</f>
        <v>7482.0920954065095</v>
      </c>
      <c r="V20" s="777">
        <f t="shared" si="1"/>
        <v>38.117540859985276</v>
      </c>
      <c r="W20" s="753">
        <f t="shared" si="2"/>
        <v>524597.3666666667</v>
      </c>
      <c r="X20" s="753">
        <f>VLOOKUP("*"&amp;$B20&amp;"*",'S4 - Summ PRS Characteristics'!$C$21:$Q$28,13,FALSE)*$J20</f>
        <v>6063.5595230224944</v>
      </c>
      <c r="Y20" s="753">
        <f t="shared" ref="Y20" si="16">$J20-X20</f>
        <v>13565.440476977506</v>
      </c>
      <c r="Z20" s="753">
        <f>IF($C20="other",(1-$C7)*X20,(1-(VLOOKUP($C20,'S3 - Screening Tool Metrics'!$C$3:$G$17,5,FALSE)/100))*X20)</f>
        <v>1212.7119046044986</v>
      </c>
      <c r="AA20" s="753">
        <f>IF($C20="other",$C7*X20,(VLOOKUP($C20,'S3 - Screening Tool Metrics'!$C$3:$G$17,5,FALSE)/100)*X20)</f>
        <v>4850.8476184179954</v>
      </c>
      <c r="AB20" s="777">
        <f t="shared" si="3"/>
        <v>24.712657896061927</v>
      </c>
      <c r="AC20" s="776">
        <f t="shared" si="4"/>
        <v>262298.68333333335</v>
      </c>
      <c r="AD20" s="753">
        <f>VLOOKUP("*"&amp;$B20&amp;"*",'S4 - Summ PRS Characteristics'!$C$21:$Q$28,14,FALSE)*$J20</f>
        <v>3813.4265511943595</v>
      </c>
      <c r="AE20" s="753">
        <f t="shared" ref="AE20" si="17">$J20-AD20</f>
        <v>15815.573448805641</v>
      </c>
      <c r="AF20" s="753">
        <f>IF($C20="other",(1-$C7)*AD20,(1-(VLOOKUP($C20,'S3 - Screening Tool Metrics'!$C$3:$G$17,5,FALSE)/100))*AD20)</f>
        <v>762.68531023887169</v>
      </c>
      <c r="AG20" s="753">
        <f>IF($C20="other",$C7*AD20,(VLOOKUP($C20,'S3 - Screening Tool Metrics'!$C$3:$G$17,5,FALSE)/100)*AD20)</f>
        <v>3050.7412409554877</v>
      </c>
      <c r="AH20" s="777">
        <f t="shared" si="5"/>
        <v>15.542010499543979</v>
      </c>
      <c r="AI20" s="776">
        <f t="shared" si="6"/>
        <v>52459.736666666671</v>
      </c>
      <c r="AJ20" s="753">
        <f>VLOOKUP("*"&amp;$B20&amp;"*",'S4 - Summ PRS Characteristics'!$C$21:$Q$28,15,FALSE)*$J20</f>
        <v>1203.7526997634175</v>
      </c>
      <c r="AK20" s="753">
        <f t="shared" ref="AK20" si="18">$J20-AJ20</f>
        <v>18425.247300236584</v>
      </c>
      <c r="AL20" s="753">
        <f>IF($C20="other",(1-$C7)*AJ20,(1-(VLOOKUP($C20,'S3 - Screening Tool Metrics'!$C$3:$G$17,5,FALSE)/100))*AJ20)</f>
        <v>240.75053995268345</v>
      </c>
      <c r="AM20" s="753">
        <f>IF($C20="other",$C7*AJ20,(VLOOKUP($C20,'S3 - Screening Tool Metrics'!$C$3:$G$17,5,FALSE)/100)*AJ20)</f>
        <v>963.00215981073404</v>
      </c>
      <c r="AN20" s="778">
        <f t="shared" si="7"/>
        <v>4.9060174222361512</v>
      </c>
    </row>
    <row r="21" spans="2:40" x14ac:dyDescent="0.2">
      <c r="B21" s="768" t="s">
        <v>8</v>
      </c>
      <c r="C21" s="779" t="str">
        <f>$C8</f>
        <v>Other</v>
      </c>
      <c r="D21" s="780" t="s">
        <v>204</v>
      </c>
      <c r="E21" s="781">
        <f>VLOOKUP($B21&amp;"_"&amp;$D21,'App5 - CRUK Inci Rates'!C:H,6,FALSE)</f>
        <v>0</v>
      </c>
      <c r="F21" s="782">
        <f>VLOOKUP($B21&amp;"_"&amp;$D21,'App5 - CRUK Inci Rates'!C:H,3,FALSE)</f>
        <v>291.80100809814547</v>
      </c>
      <c r="G21" s="783">
        <f>VLOOKUP($B21&amp;"_"&amp;$D21,'App5 - CRUK Inci Rates'!C:J,8,FALSE)</f>
        <v>15281647</v>
      </c>
      <c r="H21" s="784">
        <f>VLOOKUP($B21&amp;"_"&amp;$D21,'App5 - CRUK Inci Rates'!C:J,7,FALSE)</f>
        <v>0</v>
      </c>
      <c r="I21" s="784">
        <f>VLOOKUP($B21&amp;"_"&amp;$D21,'App5 - CRUK Inci Rates'!C:J,4,FALSE)</f>
        <v>15281647</v>
      </c>
      <c r="J21" s="778">
        <f>VLOOKUP($B21&amp;"_"&amp;$D21,'App5 - CRUK Inci Rates'!C:K,9,FALSE)</f>
        <v>44592</v>
      </c>
      <c r="K21" s="753">
        <f t="shared" si="8"/>
        <v>7640823.5</v>
      </c>
      <c r="L21" s="753">
        <f>VLOOKUP("*"&amp;$B21&amp;"*",'S4 - Summ PRS Characteristics'!$C$21:$Q$28,11,FALSE)*$J21</f>
        <v>34918.666610580643</v>
      </c>
      <c r="M21" s="753">
        <f t="shared" si="9"/>
        <v>9673.3333894193565</v>
      </c>
      <c r="N21" s="753">
        <f>IF($C21="other",(1-$C$7)*L21,(1-(VLOOKUP($C21,'S3 - Screening Tool Metrics'!$C$3:$G$17,5,FALSE)/100))*L21)</f>
        <v>6983.7333221161271</v>
      </c>
      <c r="O21" s="753">
        <f>IF($C21="other",$C$7*L21,(VLOOKUP($C21,'S3 - Screening Tool Metrics'!$C$3:$G$17,5,FALSE)/100)*L21)</f>
        <v>27934.933288464515</v>
      </c>
      <c r="P21" s="753">
        <f t="shared" si="10"/>
        <v>62.645616452423113</v>
      </c>
      <c r="Q21" s="776">
        <f t="shared" si="0"/>
        <v>3056329.4000000004</v>
      </c>
      <c r="R21" s="753">
        <f>VLOOKUP("*"&amp;$B21&amp;"*",'S4 - Summ PRS Characteristics'!$C$21:$Q$28,12,FALSE)*$J21</f>
        <v>21246.71727535579</v>
      </c>
      <c r="S21" s="753">
        <f t="shared" si="11"/>
        <v>23345.28272464421</v>
      </c>
      <c r="T21" s="753">
        <f>IF($C21="other",(1-$C7)*R21,(1-(VLOOKUP($C21,'S3 - Screening Tool Metrics'!$C$3:$G$17,5,FALSE)/100))*R21)</f>
        <v>4249.3434550711572</v>
      </c>
      <c r="U21" s="753">
        <f>IF($C21="other",$C7*R21,(VLOOKUP($C21,'S3 - Screening Tool Metrics'!$C$3:$G$17,5,FALSE)/100)*R21)</f>
        <v>16997.373820284633</v>
      </c>
      <c r="V21" s="777">
        <f t="shared" si="1"/>
        <v>38.117540859985269</v>
      </c>
      <c r="W21" s="753">
        <f t="shared" si="2"/>
        <v>1528164.7000000002</v>
      </c>
      <c r="X21" s="753">
        <f>VLOOKUP("*"&amp;$B21&amp;"*",'S4 - Summ PRS Characteristics'!$C$21:$Q$28,13,FALSE)*$J21</f>
        <v>13774.835511264919</v>
      </c>
      <c r="Y21" s="753">
        <f t="shared" si="12"/>
        <v>30817.164488735081</v>
      </c>
      <c r="Z21" s="753">
        <f>IF($C21="other",(1-$C7)*X21,(1-(VLOOKUP($C21,'S3 - Screening Tool Metrics'!$C$3:$G$17,5,FALSE)/100))*X21)</f>
        <v>2754.9671022529833</v>
      </c>
      <c r="AA21" s="753">
        <f>IF($C21="other",$C7*X21,(VLOOKUP($C21,'S3 - Screening Tool Metrics'!$C$3:$G$17,5,FALSE)/100)*X21)</f>
        <v>11019.868409011935</v>
      </c>
      <c r="AB21" s="777">
        <f t="shared" si="3"/>
        <v>24.712657896061931</v>
      </c>
      <c r="AC21" s="776">
        <f t="shared" si="4"/>
        <v>764082.35000000009</v>
      </c>
      <c r="AD21" s="753">
        <f>VLOOKUP("*"&amp;$B21&amp;"*",'S4 - Summ PRS Characteristics'!$C$21:$Q$28,14,FALSE)*$J21</f>
        <v>8663.1166524458131</v>
      </c>
      <c r="AE21" s="753">
        <f t="shared" si="14"/>
        <v>35928.883347554191</v>
      </c>
      <c r="AF21" s="753">
        <f>IF($C21="other",(1-$C7)*AD21,(1-(VLOOKUP($C21,'S3 - Screening Tool Metrics'!$C$3:$G$17,5,FALSE)/100))*AD21)</f>
        <v>1732.6233304891623</v>
      </c>
      <c r="AG21" s="753">
        <f>IF($C21="other",$C7*AD21,(VLOOKUP($C21,'S3 - Screening Tool Metrics'!$C$3:$G$17,5,FALSE)/100)*AD21)</f>
        <v>6930.493321956651</v>
      </c>
      <c r="AH21" s="777">
        <f t="shared" si="5"/>
        <v>15.542010499543979</v>
      </c>
      <c r="AI21" s="776">
        <f t="shared" si="6"/>
        <v>152816.47</v>
      </c>
      <c r="AJ21" s="753">
        <f>VLOOKUP("*"&amp;$B21&amp;"*",'S4 - Summ PRS Characteristics'!$C$21:$Q$28,15,FALSE)*$J21</f>
        <v>2734.6141111544302</v>
      </c>
      <c r="AK21" s="753">
        <f t="shared" si="13"/>
        <v>41857.385888845572</v>
      </c>
      <c r="AL21" s="753">
        <f>IF($C21="other",(1-$C7)*AJ21,(1-(VLOOKUP($C21,'S3 - Screening Tool Metrics'!$C$3:$G$17,5,FALSE)/100))*AJ21)</f>
        <v>546.92282223088591</v>
      </c>
      <c r="AM21" s="753">
        <f>IF($C21="other",$C7*AJ21,(VLOOKUP($C21,'S3 - Screening Tool Metrics'!$C$3:$G$17,5,FALSE)/100)*AJ21)</f>
        <v>2187.6912889235441</v>
      </c>
      <c r="AN21" s="778">
        <f t="shared" si="7"/>
        <v>4.9060174222361503</v>
      </c>
    </row>
    <row r="22" spans="2:40" ht="17" thickBot="1" x14ac:dyDescent="0.25">
      <c r="B22" s="785" t="s">
        <v>8</v>
      </c>
      <c r="C22" s="786" t="str">
        <f>$C8</f>
        <v>Other</v>
      </c>
      <c r="D22" s="787" t="s">
        <v>205</v>
      </c>
      <c r="E22" s="788">
        <f>VLOOKUP($B22&amp;"_"&amp;$D22,'App5 - CRUK Inci Rates'!C:H,6,FALSE)</f>
        <v>0</v>
      </c>
      <c r="F22" s="789">
        <f>VLOOKUP($B22&amp;"_"&amp;$D22,'App5 - CRUK Inci Rates'!C:H,3,FALSE)</f>
        <v>166.0138492223038</v>
      </c>
      <c r="G22" s="790">
        <f>VLOOKUP($B22&amp;"_"&amp;$D22,'App5 - CRUK Inci Rates'!C:J,8,FALSE)</f>
        <v>33458051.999999996</v>
      </c>
      <c r="H22" s="791">
        <f>VLOOKUP($B22&amp;"_"&amp;$D22,'App5 - CRUK Inci Rates'!C:J,7,FALSE)</f>
        <v>0</v>
      </c>
      <c r="I22" s="791">
        <f>VLOOKUP($B22&amp;"_"&amp;$D22,'App5 - CRUK Inci Rates'!C:J,4,FALSE)</f>
        <v>33458051.999999996</v>
      </c>
      <c r="J22" s="778">
        <f>VLOOKUP($B22&amp;"_"&amp;$D22,'App5 - CRUK Inci Rates'!C:K,9,FALSE)</f>
        <v>55545</v>
      </c>
      <c r="K22" s="792"/>
      <c r="L22" s="792"/>
      <c r="M22" s="792"/>
      <c r="N22" s="792"/>
      <c r="O22" s="792"/>
      <c r="P22" s="792"/>
      <c r="Q22" s="793"/>
      <c r="R22" s="794"/>
      <c r="S22" s="794"/>
      <c r="T22" s="794"/>
      <c r="U22" s="794"/>
      <c r="V22" s="795"/>
      <c r="W22" s="794"/>
      <c r="X22" s="794"/>
      <c r="Y22" s="794"/>
      <c r="Z22" s="794"/>
      <c r="AA22" s="794"/>
      <c r="AB22" s="795"/>
      <c r="AC22" s="793"/>
      <c r="AD22" s="794"/>
      <c r="AE22" s="794"/>
      <c r="AF22" s="794"/>
      <c r="AG22" s="794"/>
      <c r="AH22" s="795"/>
      <c r="AI22" s="793"/>
      <c r="AJ22" s="794"/>
      <c r="AK22" s="794"/>
      <c r="AL22" s="794"/>
      <c r="AM22" s="794"/>
      <c r="AN22" s="796"/>
    </row>
    <row r="23" spans="2:40" ht="21" customHeight="1" thickBot="1" x14ac:dyDescent="0.25">
      <c r="B23" s="754" t="s">
        <v>10</v>
      </c>
      <c r="C23" s="755">
        <v>0.8</v>
      </c>
      <c r="D23" s="756"/>
      <c r="E23" s="757"/>
      <c r="F23" s="758"/>
      <c r="G23" s="759"/>
      <c r="H23" s="760"/>
      <c r="I23" s="760"/>
      <c r="J23" s="761"/>
      <c r="K23" s="762"/>
      <c r="L23" s="762"/>
      <c r="M23" s="762"/>
      <c r="N23" s="762"/>
      <c r="O23" s="762"/>
      <c r="P23" s="762"/>
      <c r="Q23" s="763"/>
      <c r="R23" s="764"/>
      <c r="S23" s="764"/>
      <c r="T23" s="764"/>
      <c r="U23" s="764"/>
      <c r="V23" s="765"/>
      <c r="W23" s="764"/>
      <c r="X23" s="764"/>
      <c r="Y23" s="764"/>
      <c r="Z23" s="764"/>
      <c r="AA23" s="764"/>
      <c r="AB23" s="765"/>
      <c r="AC23" s="763"/>
      <c r="AD23" s="764"/>
      <c r="AE23" s="764"/>
      <c r="AF23" s="764"/>
      <c r="AG23" s="764"/>
      <c r="AH23" s="765"/>
      <c r="AI23" s="763"/>
      <c r="AJ23" s="764"/>
      <c r="AK23" s="764"/>
      <c r="AL23" s="764"/>
      <c r="AM23" s="764"/>
      <c r="AN23" s="767"/>
    </row>
    <row r="24" spans="2:40" x14ac:dyDescent="0.2">
      <c r="B24" s="768" t="s">
        <v>10</v>
      </c>
      <c r="C24" s="769" t="s">
        <v>180</v>
      </c>
      <c r="D24" s="770" t="s">
        <v>192</v>
      </c>
      <c r="E24" s="771">
        <f>VLOOKUP($B24&amp;"_"&amp;$D24,'App5 - CRUK Inci Rates'!C:H,6,FALSE)</f>
        <v>4.3</v>
      </c>
      <c r="F24" s="772">
        <f>VLOOKUP($B24&amp;"_"&amp;$D24,'App5 - CRUK Inci Rates'!C:H,3,FALSE)</f>
        <v>0</v>
      </c>
      <c r="G24" s="773">
        <f>VLOOKUP($B24&amp;"_"&amp;$D24,'App5 - CRUK Inci Rates'!C:J,8,FALSE)</f>
        <v>2021384.6666666667</v>
      </c>
      <c r="H24" s="774">
        <f>VLOOKUP($B24&amp;"_"&amp;$D24,'App5 - CRUK Inci Rates'!C:J,7,FALSE)</f>
        <v>2021384.6666666667</v>
      </c>
      <c r="I24" s="774">
        <f>VLOOKUP($B24&amp;"_"&amp;$D24,'App5 - CRUK Inci Rates'!C:J,4,FALSE)</f>
        <v>0</v>
      </c>
      <c r="J24" s="775">
        <f>VLOOKUP($B24&amp;"_"&amp;$D24,'App5 - CRUK Inci Rates'!C:K,9,FALSE)</f>
        <v>88</v>
      </c>
      <c r="K24" s="753">
        <f t="shared" si="8"/>
        <v>1010692.3333333334</v>
      </c>
      <c r="L24" s="753">
        <f>VLOOKUP("*"&amp;$B24&amp;"*",'S4 - Summ PRS Characteristics'!$C$21:$Q$28,11,FALSE)*$J24</f>
        <v>71.010074862779106</v>
      </c>
      <c r="M24" s="753">
        <f t="shared" si="9"/>
        <v>16.989925137220894</v>
      </c>
      <c r="N24" s="753">
        <f>IF($C24="other",(1-$C$7)*L24,(1-(VLOOKUP($C24,'S3 - Screening Tool Metrics'!$C$3:$G$17,5,FALSE)/100))*L24)</f>
        <v>14.202014972555817</v>
      </c>
      <c r="O24" s="753">
        <f>IF($C24="other",$C$7*L24,(VLOOKUP($C24,'S3 - Screening Tool Metrics'!$C$3:$G$17,5,FALSE)/100)*L24)</f>
        <v>56.808059890223291</v>
      </c>
      <c r="P24" s="753">
        <f t="shared" si="10"/>
        <v>64.554613511617376</v>
      </c>
      <c r="Q24" s="776">
        <f t="shared" ref="Q24:Q38" si="19">$G24*Q$3</f>
        <v>404276.93333333335</v>
      </c>
      <c r="R24" s="753">
        <f>VLOOKUP("*"&amp;$B24&amp;"*",'S4 - Summ PRS Characteristics'!$C$21:$Q$28,12,FALSE)*$J24</f>
        <v>44.878536544892533</v>
      </c>
      <c r="S24" s="753">
        <f>$J24-R24</f>
        <v>43.121463455107467</v>
      </c>
      <c r="T24" s="753">
        <f>IF($C24="other",(1-$C23)*R24,(1-(VLOOKUP($C24,'S3 - Screening Tool Metrics'!$C$3:$G$17,5,FALSE)/100))*R24)</f>
        <v>8.9757073089785049</v>
      </c>
      <c r="U24" s="753">
        <f>IF($C24="other",$C23*R24,(VLOOKUP($C24,'S3 - Screening Tool Metrics'!$C$3:$G$17,5,FALSE)/100)*R24)</f>
        <v>35.902829235914027</v>
      </c>
      <c r="V24" s="777">
        <f t="shared" ref="V24:V38" si="20">U24/J24*100</f>
        <v>40.798669586265937</v>
      </c>
      <c r="W24" s="753">
        <f t="shared" ref="W24:W38" si="21">$G24*W$3</f>
        <v>202138.46666666667</v>
      </c>
      <c r="X24" s="753">
        <f>VLOOKUP("*"&amp;$B24&amp;"*",'S4 - Summ PRS Characteristics'!$C$21:$Q$28,13,FALSE)*$J24</f>
        <v>29.841364253551102</v>
      </c>
      <c r="Y24" s="753">
        <f>$J24-X24</f>
        <v>58.158635746448894</v>
      </c>
      <c r="Z24" s="753">
        <f>IF($C24="other",(1-$C23)*X24,(1-(VLOOKUP($C24,'S3 - Screening Tool Metrics'!$C$3:$G$17,5,FALSE)/100))*X24)</f>
        <v>5.9682728507102194</v>
      </c>
      <c r="AA24" s="753">
        <f>IF($C24="other",$C23*X24,(VLOOKUP($C24,'S3 - Screening Tool Metrics'!$C$3:$G$17,5,FALSE)/100)*X24)</f>
        <v>23.873091402840885</v>
      </c>
      <c r="AB24" s="777">
        <f t="shared" ref="AB24:AB38" si="22">$AA24/$J24*100</f>
        <v>27.128512957773733</v>
      </c>
      <c r="AC24" s="776">
        <f t="shared" ref="AC24:AC38" si="23">$G24*AC$3</f>
        <v>101069.23333333334</v>
      </c>
      <c r="AD24" s="753">
        <f>VLOOKUP("*"&amp;$B24&amp;"*",'S4 - Summ PRS Characteristics'!$C$21:$Q$28,14,FALSE)*$J24</f>
        <v>19.203714696117352</v>
      </c>
      <c r="AE24" s="753">
        <f>$J24-AD24</f>
        <v>68.796285303882655</v>
      </c>
      <c r="AF24" s="753">
        <f>IF($C24="other",(1-$C23)*AD24,(1-(VLOOKUP($C24,'S3 - Screening Tool Metrics'!$C$3:$G$17,5,FALSE)/100))*AD24)</f>
        <v>3.8407429392234693</v>
      </c>
      <c r="AG24" s="753">
        <f>IF($C24="other",$C23*AD24,(VLOOKUP($C24,'S3 - Screening Tool Metrics'!$C$3:$G$17,5,FALSE)/100)*AD24)</f>
        <v>15.362971756893883</v>
      </c>
      <c r="AH24" s="777">
        <f t="shared" ref="AH24:AH38" si="24">$AG24/$J24*100</f>
        <v>17.457922451015776</v>
      </c>
      <c r="AI24" s="776">
        <f t="shared" ref="AI24:AI38" si="25">$G24*AI$3</f>
        <v>20213.846666666668</v>
      </c>
      <c r="AJ24" s="753">
        <f>VLOOKUP("*"&amp;$B24&amp;"*",'S4 - Summ PRS Characteristics'!$C$21:$Q$28,15,FALSE)*$J24</f>
        <v>6.3523987285674259</v>
      </c>
      <c r="AK24" s="753">
        <f>$J24-AJ24</f>
        <v>81.647601271432578</v>
      </c>
      <c r="AL24" s="753">
        <f>IF($C24="other",(1-$C23)*AJ24,(1-(VLOOKUP($C24,'S3 - Screening Tool Metrics'!$C$3:$G$17,5,FALSE)/100))*AJ24)</f>
        <v>1.2704797457134849</v>
      </c>
      <c r="AM24" s="753">
        <f>IF($C24="other",$C23*AJ24,(VLOOKUP($C24,'S3 - Screening Tool Metrics'!$C$3:$G$17,5,FALSE)/100)*AJ24)</f>
        <v>5.0819189828539413</v>
      </c>
      <c r="AN24" s="778">
        <f t="shared" ref="AN24:AN38" si="26">$AM24/$J24*100</f>
        <v>5.7749079350612975</v>
      </c>
    </row>
    <row r="25" spans="2:40" x14ac:dyDescent="0.2">
      <c r="B25" s="768" t="s">
        <v>10</v>
      </c>
      <c r="C25" s="779" t="str">
        <f>$C24</f>
        <v>Other</v>
      </c>
      <c r="D25" s="780" t="s">
        <v>193</v>
      </c>
      <c r="E25" s="781">
        <f>VLOOKUP($B25&amp;"_"&amp;$D25,'App5 - CRUK Inci Rates'!C:H,6,FALSE)</f>
        <v>20.5</v>
      </c>
      <c r="F25" s="782">
        <f>VLOOKUP($B25&amp;"_"&amp;$D25,'App5 - CRUK Inci Rates'!C:H,3,FALSE)</f>
        <v>0</v>
      </c>
      <c r="G25" s="783">
        <f>VLOOKUP($B25&amp;"_"&amp;$D25,'App5 - CRUK Inci Rates'!C:J,8,FALSE)</f>
        <v>2251680</v>
      </c>
      <c r="H25" s="784">
        <f>VLOOKUP($B25&amp;"_"&amp;$D25,'App5 - CRUK Inci Rates'!C:J,7,FALSE)</f>
        <v>2251680</v>
      </c>
      <c r="I25" s="784">
        <f>VLOOKUP($B25&amp;"_"&amp;$D25,'App5 - CRUK Inci Rates'!C:J,4,FALSE)</f>
        <v>0</v>
      </c>
      <c r="J25" s="778">
        <f>VLOOKUP($B25&amp;"_"&amp;$D25,'App5 - CRUK Inci Rates'!C:K,9,FALSE)</f>
        <v>461</v>
      </c>
      <c r="K25" s="753">
        <f t="shared" si="8"/>
        <v>1125840</v>
      </c>
      <c r="L25" s="753">
        <f>VLOOKUP("*"&amp;$B25&amp;"*",'S4 - Summ PRS Characteristics'!$C$21:$Q$28,11,FALSE)*$J25</f>
        <v>371.99596036069505</v>
      </c>
      <c r="M25" s="753">
        <f t="shared" si="9"/>
        <v>89.004039639304949</v>
      </c>
      <c r="N25" s="753">
        <f>IF($C25="other",(1-$C$7)*L25,(1-(VLOOKUP($C25,'S3 - Screening Tool Metrics'!$C$3:$G$17,5,FALSE)/100))*L25)</f>
        <v>74.399192072138987</v>
      </c>
      <c r="O25" s="753">
        <f>IF($C25="other",$C$7*L25,(VLOOKUP($C25,'S3 - Screening Tool Metrics'!$C$3:$G$17,5,FALSE)/100)*L25)</f>
        <v>297.59676828855606</v>
      </c>
      <c r="P25" s="753">
        <f t="shared" si="10"/>
        <v>64.554613511617362</v>
      </c>
      <c r="Q25" s="776">
        <f t="shared" si="19"/>
        <v>450336</v>
      </c>
      <c r="R25" s="753">
        <f>VLOOKUP("*"&amp;$B25&amp;"*",'S4 - Summ PRS Characteristics'!$C$21:$Q$28,12,FALSE)*$J25</f>
        <v>235.10233349085749</v>
      </c>
      <c r="S25" s="753">
        <f t="shared" ref="S25:S38" si="27">$J25-R25</f>
        <v>225.89766650914251</v>
      </c>
      <c r="T25" s="753">
        <f>IF($C25="other",(1-$C23)*R25,(1-(VLOOKUP($C25,'S3 - Screening Tool Metrics'!$C$3:$G$17,5,FALSE)/100))*R25)</f>
        <v>47.020466698171489</v>
      </c>
      <c r="U25" s="753">
        <f>IF($C25="other",$C23*R25,(VLOOKUP($C25,'S3 - Screening Tool Metrics'!$C$3:$G$17,5,FALSE)/100)*R25)</f>
        <v>188.08186679268601</v>
      </c>
      <c r="V25" s="777">
        <f t="shared" si="20"/>
        <v>40.798669586265945</v>
      </c>
      <c r="W25" s="753">
        <f t="shared" si="21"/>
        <v>225168</v>
      </c>
      <c r="X25" s="753">
        <f>VLOOKUP("*"&amp;$B25&amp;"*",'S4 - Summ PRS Characteristics'!$C$21:$Q$28,13,FALSE)*$J25</f>
        <v>156.32805591917111</v>
      </c>
      <c r="Y25" s="753">
        <f t="shared" ref="Y25:Y38" si="28">$J25-X25</f>
        <v>304.67194408082889</v>
      </c>
      <c r="Z25" s="753">
        <f>IF($C25="other",(1-$C23)*X25,(1-(VLOOKUP($C25,'S3 - Screening Tool Metrics'!$C$3:$G$17,5,FALSE)/100))*X25)</f>
        <v>31.265611183834213</v>
      </c>
      <c r="AA25" s="753">
        <f>IF($C25="other",$C23*X25,(VLOOKUP($C25,'S3 - Screening Tool Metrics'!$C$3:$G$17,5,FALSE)/100)*X25)</f>
        <v>125.0624447353369</v>
      </c>
      <c r="AB25" s="777">
        <f t="shared" si="22"/>
        <v>27.128512957773733</v>
      </c>
      <c r="AC25" s="776">
        <f t="shared" si="23"/>
        <v>112584</v>
      </c>
      <c r="AD25" s="753">
        <f>VLOOKUP("*"&amp;$B25&amp;"*",'S4 - Summ PRS Characteristics'!$C$21:$Q$28,14,FALSE)*$J25</f>
        <v>100.6012781239784</v>
      </c>
      <c r="AE25" s="753">
        <f>$J25-AD25</f>
        <v>360.39872187602157</v>
      </c>
      <c r="AF25" s="753">
        <f>IF($C25="other",(1-$C23)*AD25,(1-(VLOOKUP($C25,'S3 - Screening Tool Metrics'!$C$3:$G$17,5,FALSE)/100))*AD25)</f>
        <v>20.120255624795675</v>
      </c>
      <c r="AG25" s="753">
        <f>IF($C25="other",$C23*AD25,(VLOOKUP($C25,'S3 - Screening Tool Metrics'!$C$3:$G$17,5,FALSE)/100)*AD25)</f>
        <v>80.481022499182728</v>
      </c>
      <c r="AH25" s="777">
        <f t="shared" si="24"/>
        <v>17.457922451015776</v>
      </c>
      <c r="AI25" s="776">
        <f t="shared" si="25"/>
        <v>22516.799999999999</v>
      </c>
      <c r="AJ25" s="753">
        <f>VLOOKUP("*"&amp;$B25&amp;"*",'S4 - Summ PRS Characteristics'!$C$21:$Q$28,15,FALSE)*$J25</f>
        <v>33.277906975790721</v>
      </c>
      <c r="AK25" s="753">
        <f t="shared" ref="AK25:AK38" si="29">$J25-AJ25</f>
        <v>427.7220930242093</v>
      </c>
      <c r="AL25" s="753">
        <f>IF($C25="other",(1-$C23)*AJ25,(1-(VLOOKUP($C25,'S3 - Screening Tool Metrics'!$C$3:$G$17,5,FALSE)/100))*AJ25)</f>
        <v>6.6555813951581424</v>
      </c>
      <c r="AM25" s="753">
        <f>IF($C25="other",$C23*AJ25,(VLOOKUP($C25,'S3 - Screening Tool Metrics'!$C$3:$G$17,5,FALSE)/100)*AJ25)</f>
        <v>26.622325580632577</v>
      </c>
      <c r="AN25" s="778">
        <f t="shared" si="26"/>
        <v>5.7749079350612966</v>
      </c>
    </row>
    <row r="26" spans="2:40" x14ac:dyDescent="0.2">
      <c r="B26" s="768" t="s">
        <v>10</v>
      </c>
      <c r="C26" s="779" t="str">
        <f>$C24</f>
        <v>Other</v>
      </c>
      <c r="D26" s="780" t="s">
        <v>194</v>
      </c>
      <c r="E26" s="781">
        <f>VLOOKUP($B26&amp;"_"&amp;$D26,'App5 - CRUK Inci Rates'!C:H,6,FALSE)</f>
        <v>75.7</v>
      </c>
      <c r="F26" s="782">
        <f>VLOOKUP($B26&amp;"_"&amp;$D26,'App5 - CRUK Inci Rates'!C:H,3,FALSE)</f>
        <v>0</v>
      </c>
      <c r="G26" s="783">
        <f>VLOOKUP($B26&amp;"_"&amp;$D26,'App5 - CRUK Inci Rates'!C:J,8,FALSE)</f>
        <v>2293472.6666666665</v>
      </c>
      <c r="H26" s="784">
        <f>VLOOKUP($B26&amp;"_"&amp;$D26,'App5 - CRUK Inci Rates'!C:J,7,FALSE)</f>
        <v>2293472.6666666665</v>
      </c>
      <c r="I26" s="784">
        <f>VLOOKUP($B26&amp;"_"&amp;$D26,'App5 - CRUK Inci Rates'!C:J,4,FALSE)</f>
        <v>0</v>
      </c>
      <c r="J26" s="778">
        <f>VLOOKUP($B26&amp;"_"&amp;$D26,'App5 - CRUK Inci Rates'!C:K,9,FALSE)</f>
        <v>1737</v>
      </c>
      <c r="K26" s="753">
        <f t="shared" si="8"/>
        <v>1146736.3333333333</v>
      </c>
      <c r="L26" s="753">
        <f>VLOOKUP("*"&amp;$B26&amp;"*",'S4 - Summ PRS Characteristics'!$C$21:$Q$28,11,FALSE)*$J26</f>
        <v>1401.642045870992</v>
      </c>
      <c r="M26" s="753">
        <f t="shared" si="9"/>
        <v>335.35795412900802</v>
      </c>
      <c r="N26" s="753">
        <f>IF($C26="other",(1-$C$7)*L26,(1-(VLOOKUP($C26,'S3 - Screening Tool Metrics'!$C$3:$G$17,5,FALSE)/100))*L26)</f>
        <v>280.32840917419833</v>
      </c>
      <c r="O26" s="753">
        <f>IF($C26="other",$C$7*L26,(VLOOKUP($C26,'S3 - Screening Tool Metrics'!$C$3:$G$17,5,FALSE)/100)*L26)</f>
        <v>1121.3136366967935</v>
      </c>
      <c r="P26" s="753">
        <f t="shared" si="10"/>
        <v>64.554613511617362</v>
      </c>
      <c r="Q26" s="776">
        <f t="shared" si="19"/>
        <v>458694.53333333333</v>
      </c>
      <c r="R26" s="753">
        <f>VLOOKUP("*"&amp;$B26&amp;"*",'S4 - Summ PRS Characteristics'!$C$21:$Q$28,12,FALSE)*$J26</f>
        <v>885.84111339179924</v>
      </c>
      <c r="S26" s="753">
        <f t="shared" si="27"/>
        <v>851.15888660820076</v>
      </c>
      <c r="T26" s="753">
        <f>IF($C26="other",(1-$C23)*R26,(1-(VLOOKUP($C26,'S3 - Screening Tool Metrics'!$C$3:$G$17,5,FALSE)/100))*R26)</f>
        <v>177.1682226783598</v>
      </c>
      <c r="U26" s="753">
        <f>IF($C26="other",$C23*R26,(VLOOKUP($C26,'S3 - Screening Tool Metrics'!$C$3:$G$17,5,FALSE)/100)*R26)</f>
        <v>708.67289071343941</v>
      </c>
      <c r="V26" s="777">
        <f t="shared" si="20"/>
        <v>40.798669586265937</v>
      </c>
      <c r="W26" s="753">
        <f t="shared" si="21"/>
        <v>229347.26666666666</v>
      </c>
      <c r="X26" s="753">
        <f>VLOOKUP("*"&amp;$B26&amp;"*",'S4 - Summ PRS Characteristics'!$C$21:$Q$28,13,FALSE)*$J26</f>
        <v>589.02783759566205</v>
      </c>
      <c r="Y26" s="753">
        <f t="shared" si="28"/>
        <v>1147.972162404338</v>
      </c>
      <c r="Z26" s="753">
        <f>IF($C26="other",(1-$C23)*X26,(1-(VLOOKUP($C26,'S3 - Screening Tool Metrics'!$C$3:$G$17,5,FALSE)/100))*X26)</f>
        <v>117.80556751913238</v>
      </c>
      <c r="AA26" s="753">
        <f>IF($C26="other",$C23*X26,(VLOOKUP($C26,'S3 - Screening Tool Metrics'!$C$3:$G$17,5,FALSE)/100)*X26)</f>
        <v>471.22227007652964</v>
      </c>
      <c r="AB26" s="777">
        <f t="shared" si="22"/>
        <v>27.128512957773726</v>
      </c>
      <c r="AC26" s="776">
        <f t="shared" si="23"/>
        <v>114673.63333333333</v>
      </c>
      <c r="AD26" s="753">
        <f>VLOOKUP("*"&amp;$B26&amp;"*",'S4 - Summ PRS Characteristics'!$C$21:$Q$28,14,FALSE)*$J26</f>
        <v>379.05514121767999</v>
      </c>
      <c r="AE26" s="753">
        <f t="shared" ref="AE26:AE38" si="30">$J26-AD26</f>
        <v>1357.9448587823199</v>
      </c>
      <c r="AF26" s="753">
        <f>IF($C26="other",(1-$C23)*AD26,(1-(VLOOKUP($C26,'S3 - Screening Tool Metrics'!$C$3:$G$17,5,FALSE)/100))*AD26)</f>
        <v>75.811028243535986</v>
      </c>
      <c r="AG26" s="753">
        <f>IF($C26="other",$C23*AD26,(VLOOKUP($C26,'S3 - Screening Tool Metrics'!$C$3:$G$17,5,FALSE)/100)*AD26)</f>
        <v>303.244112974144</v>
      </c>
      <c r="AH26" s="777">
        <f t="shared" si="24"/>
        <v>17.457922451015776</v>
      </c>
      <c r="AI26" s="776">
        <f t="shared" si="25"/>
        <v>22934.726666666666</v>
      </c>
      <c r="AJ26" s="753">
        <f>VLOOKUP("*"&amp;$B26&amp;"*",'S4 - Summ PRS Characteristics'!$C$21:$Q$28,15,FALSE)*$J26</f>
        <v>125.3876885400184</v>
      </c>
      <c r="AK26" s="753">
        <f t="shared" si="29"/>
        <v>1611.6123114599816</v>
      </c>
      <c r="AL26" s="753">
        <f>IF($C26="other",(1-$C23)*AJ26,(1-(VLOOKUP($C26,'S3 - Screening Tool Metrics'!$C$3:$G$17,5,FALSE)/100))*AJ26)</f>
        <v>25.077537708003675</v>
      </c>
      <c r="AM26" s="753">
        <f>IF($C26="other",$C23*AJ26,(VLOOKUP($C26,'S3 - Screening Tool Metrics'!$C$3:$G$17,5,FALSE)/100)*AJ26)</f>
        <v>100.31015083201473</v>
      </c>
      <c r="AN26" s="778">
        <f t="shared" si="26"/>
        <v>5.7749079350612975</v>
      </c>
    </row>
    <row r="27" spans="2:40" x14ac:dyDescent="0.2">
      <c r="B27" s="768" t="s">
        <v>10</v>
      </c>
      <c r="C27" s="779" t="str">
        <f>$C24</f>
        <v>Other</v>
      </c>
      <c r="D27" s="780" t="s">
        <v>195</v>
      </c>
      <c r="E27" s="781">
        <f>VLOOKUP($B27&amp;"_"&amp;$D27,'App5 - CRUK Inci Rates'!C:H,6,FALSE)</f>
        <v>201.8</v>
      </c>
      <c r="F27" s="782">
        <f>VLOOKUP($B27&amp;"_"&amp;$D27,'App5 - CRUK Inci Rates'!C:H,3,FALSE)</f>
        <v>0</v>
      </c>
      <c r="G27" s="783">
        <f>VLOOKUP($B27&amp;"_"&amp;$D27,'App5 - CRUK Inci Rates'!C:J,8,FALSE)</f>
        <v>2061918.6666666667</v>
      </c>
      <c r="H27" s="784">
        <f>VLOOKUP($B27&amp;"_"&amp;$D27,'App5 - CRUK Inci Rates'!C:J,7,FALSE)</f>
        <v>2061918.6666666667</v>
      </c>
      <c r="I27" s="784">
        <f>VLOOKUP($B27&amp;"_"&amp;$D27,'App5 - CRUK Inci Rates'!C:J,4,FALSE)</f>
        <v>0</v>
      </c>
      <c r="J27" s="778">
        <f>VLOOKUP($B27&amp;"_"&amp;$D27,'App5 - CRUK Inci Rates'!C:K,9,FALSE)</f>
        <v>4160</v>
      </c>
      <c r="K27" s="753">
        <f t="shared" si="8"/>
        <v>1030959.3333333334</v>
      </c>
      <c r="L27" s="753">
        <f>VLOOKUP("*"&amp;$B27&amp;"*",'S4 - Summ PRS Characteristics'!$C$21:$Q$28,11,FALSE)*$J27</f>
        <v>3356.8399026041029</v>
      </c>
      <c r="M27" s="753">
        <f t="shared" si="9"/>
        <v>803.16009739589708</v>
      </c>
      <c r="N27" s="753">
        <f>IF($C27="other",(1-$C$7)*L27,(1-(VLOOKUP($C27,'S3 - Screening Tool Metrics'!$C$3:$G$17,5,FALSE)/100))*L27)</f>
        <v>671.36798052082042</v>
      </c>
      <c r="O27" s="753">
        <f>IF($C27="other",$C$7*L27,(VLOOKUP($C27,'S3 - Screening Tool Metrics'!$C$3:$G$17,5,FALSE)/100)*L27)</f>
        <v>2685.4719220832826</v>
      </c>
      <c r="P27" s="753">
        <f t="shared" si="10"/>
        <v>64.554613511617376</v>
      </c>
      <c r="Q27" s="776">
        <f t="shared" si="19"/>
        <v>412383.7333333334</v>
      </c>
      <c r="R27" s="753">
        <f>VLOOKUP("*"&amp;$B27&amp;"*",'S4 - Summ PRS Characteristics'!$C$21:$Q$28,12,FALSE)*$J27</f>
        <v>2121.5308184858291</v>
      </c>
      <c r="S27" s="753">
        <f t="shared" si="27"/>
        <v>2038.4691815141709</v>
      </c>
      <c r="T27" s="753">
        <f>IF($C27="other",(1-$C23)*R27,(1-(VLOOKUP($C27,'S3 - Screening Tool Metrics'!$C$3:$G$17,5,FALSE)/100))*R27)</f>
        <v>424.30616369716574</v>
      </c>
      <c r="U27" s="753">
        <f>IF($C27="other",$C23*R27,(VLOOKUP($C27,'S3 - Screening Tool Metrics'!$C$3:$G$17,5,FALSE)/100)*R27)</f>
        <v>1697.2246547886634</v>
      </c>
      <c r="V27" s="777">
        <f t="shared" si="20"/>
        <v>40.798669586265945</v>
      </c>
      <c r="W27" s="753">
        <f t="shared" si="21"/>
        <v>206191.8666666667</v>
      </c>
      <c r="X27" s="753">
        <f>VLOOKUP("*"&amp;$B27&amp;"*",'S4 - Summ PRS Characteristics'!$C$21:$Q$28,13,FALSE)*$J27</f>
        <v>1410.6826738042339</v>
      </c>
      <c r="Y27" s="753">
        <f t="shared" si="28"/>
        <v>2749.3173261957663</v>
      </c>
      <c r="Z27" s="753">
        <f>IF($C27="other",(1-$C23)*X27,(1-(VLOOKUP($C27,'S3 - Screening Tool Metrics'!$C$3:$G$17,5,FALSE)/100))*X27)</f>
        <v>282.1365347608467</v>
      </c>
      <c r="AA27" s="753">
        <f>IF($C27="other",$C23*X27,(VLOOKUP($C27,'S3 - Screening Tool Metrics'!$C$3:$G$17,5,FALSE)/100)*X27)</f>
        <v>1128.5461390433873</v>
      </c>
      <c r="AB27" s="777">
        <f t="shared" si="22"/>
        <v>27.128512957773733</v>
      </c>
      <c r="AC27" s="776">
        <f t="shared" si="23"/>
        <v>103095.93333333335</v>
      </c>
      <c r="AD27" s="753">
        <f>VLOOKUP("*"&amp;$B27&amp;"*",'S4 - Summ PRS Characteristics'!$C$21:$Q$28,14,FALSE)*$J27</f>
        <v>907.81196745282034</v>
      </c>
      <c r="AE27" s="753">
        <f t="shared" si="30"/>
        <v>3252.1880325471798</v>
      </c>
      <c r="AF27" s="753">
        <f>IF($C27="other",(1-$C23)*AD27,(1-(VLOOKUP($C27,'S3 - Screening Tool Metrics'!$C$3:$G$17,5,FALSE)/100))*AD27)</f>
        <v>181.56239349056403</v>
      </c>
      <c r="AG27" s="753">
        <f>IF($C27="other",$C23*AD27,(VLOOKUP($C27,'S3 - Screening Tool Metrics'!$C$3:$G$17,5,FALSE)/100)*AD27)</f>
        <v>726.24957396225636</v>
      </c>
      <c r="AH27" s="777">
        <f t="shared" si="24"/>
        <v>17.457922451015779</v>
      </c>
      <c r="AI27" s="776">
        <f t="shared" si="25"/>
        <v>20619.186666666668</v>
      </c>
      <c r="AJ27" s="753">
        <f>VLOOKUP("*"&amp;$B27&amp;"*",'S4 - Summ PRS Characteristics'!$C$21:$Q$28,15,FALSE)*$J27</f>
        <v>300.29521262318741</v>
      </c>
      <c r="AK27" s="753">
        <f t="shared" si="29"/>
        <v>3859.7047873768124</v>
      </c>
      <c r="AL27" s="753">
        <f>IF($C27="other",(1-$C23)*AJ27,(1-(VLOOKUP($C27,'S3 - Screening Tool Metrics'!$C$3:$G$17,5,FALSE)/100))*AJ27)</f>
        <v>60.059042524637469</v>
      </c>
      <c r="AM27" s="753">
        <f>IF($C27="other",$C23*AJ27,(VLOOKUP($C27,'S3 - Screening Tool Metrics'!$C$3:$G$17,5,FALSE)/100)*AJ27)</f>
        <v>240.23617009854993</v>
      </c>
      <c r="AN27" s="778">
        <f t="shared" si="26"/>
        <v>5.7749079350612966</v>
      </c>
    </row>
    <row r="28" spans="2:40" x14ac:dyDescent="0.2">
      <c r="B28" s="768" t="s">
        <v>10</v>
      </c>
      <c r="C28" s="779" t="str">
        <f>$C24</f>
        <v>Other</v>
      </c>
      <c r="D28" s="780" t="s">
        <v>196</v>
      </c>
      <c r="E28" s="781">
        <f>VLOOKUP($B28&amp;"_"&amp;$D28,'App5 - CRUK Inci Rates'!C:H,6,FALSE)</f>
        <v>356.1</v>
      </c>
      <c r="F28" s="782">
        <f>VLOOKUP($B28&amp;"_"&amp;$D28,'App5 - CRUK Inci Rates'!C:H,3,FALSE)</f>
        <v>0</v>
      </c>
      <c r="G28" s="783">
        <f>VLOOKUP($B28&amp;"_"&amp;$D28,'App5 - CRUK Inci Rates'!C:J,8,FALSE)</f>
        <v>1764828</v>
      </c>
      <c r="H28" s="784">
        <f>VLOOKUP($B28&amp;"_"&amp;$D28,'App5 - CRUK Inci Rates'!C:J,7,FALSE)</f>
        <v>1764828</v>
      </c>
      <c r="I28" s="784">
        <f>VLOOKUP($B28&amp;"_"&amp;$D28,'App5 - CRUK Inci Rates'!C:J,4,FALSE)</f>
        <v>0</v>
      </c>
      <c r="J28" s="778">
        <f>VLOOKUP($B28&amp;"_"&amp;$D28,'App5 - CRUK Inci Rates'!C:K,9,FALSE)</f>
        <v>6285</v>
      </c>
      <c r="K28" s="753">
        <f t="shared" si="8"/>
        <v>882414</v>
      </c>
      <c r="L28" s="753">
        <f>VLOOKUP("*"&amp;$B28&amp;"*",'S4 - Summ PRS Characteristics'!$C$21:$Q$28,11,FALSE)*$J28</f>
        <v>5071.5718240064398</v>
      </c>
      <c r="M28" s="753">
        <f t="shared" si="9"/>
        <v>1213.4281759935602</v>
      </c>
      <c r="N28" s="753">
        <f>IF($C28="other",(1-$C$7)*L28,(1-(VLOOKUP($C28,'S3 - Screening Tool Metrics'!$C$3:$G$17,5,FALSE)/100))*L28)</f>
        <v>1014.3143648012878</v>
      </c>
      <c r="O28" s="753">
        <f>IF($C28="other",$C$7*L28,(VLOOKUP($C28,'S3 - Screening Tool Metrics'!$C$3:$G$17,5,FALSE)/100)*L28)</f>
        <v>4057.2574592051519</v>
      </c>
      <c r="P28" s="753">
        <f t="shared" si="10"/>
        <v>64.554613511617376</v>
      </c>
      <c r="Q28" s="776">
        <f t="shared" si="19"/>
        <v>352965.60000000003</v>
      </c>
      <c r="R28" s="753">
        <f>VLOOKUP("*"&amp;$B28&amp;"*",'S4 - Summ PRS Characteristics'!$C$21:$Q$28,12,FALSE)*$J28</f>
        <v>3205.2454793710181</v>
      </c>
      <c r="S28" s="753">
        <f t="shared" si="27"/>
        <v>3079.7545206289819</v>
      </c>
      <c r="T28" s="753">
        <f>IF($C28="other",(1-$C23)*R28,(1-(VLOOKUP($C28,'S3 - Screening Tool Metrics'!$C$3:$G$17,5,FALSE)/100))*R28)</f>
        <v>641.04909587420343</v>
      </c>
      <c r="U28" s="753">
        <f>IF($C28="other",$C23*R28,(VLOOKUP($C28,'S3 - Screening Tool Metrics'!$C$3:$G$17,5,FALSE)/100)*R28)</f>
        <v>2564.1963834968146</v>
      </c>
      <c r="V28" s="777">
        <f t="shared" si="20"/>
        <v>40.798669586265945</v>
      </c>
      <c r="W28" s="753">
        <f t="shared" si="21"/>
        <v>176482.80000000002</v>
      </c>
      <c r="X28" s="753">
        <f>VLOOKUP("*"&amp;$B28&amp;"*",'S4 - Summ PRS Characteristics'!$C$21:$Q$28,13,FALSE)*$J28</f>
        <v>2131.2837992450986</v>
      </c>
      <c r="Y28" s="753">
        <f t="shared" si="28"/>
        <v>4153.7162007549014</v>
      </c>
      <c r="Z28" s="753">
        <f>IF($C28="other",(1-$C23)*X28,(1-(VLOOKUP($C28,'S3 - Screening Tool Metrics'!$C$3:$G$17,5,FALSE)/100))*X28)</f>
        <v>426.25675984901966</v>
      </c>
      <c r="AA28" s="753">
        <f>IF($C28="other",$C23*X28,(VLOOKUP($C28,'S3 - Screening Tool Metrics'!$C$3:$G$17,5,FALSE)/100)*X28)</f>
        <v>1705.0270393960791</v>
      </c>
      <c r="AB28" s="777">
        <f t="shared" si="22"/>
        <v>27.128512957773733</v>
      </c>
      <c r="AC28" s="776">
        <f t="shared" si="23"/>
        <v>88241.400000000009</v>
      </c>
      <c r="AD28" s="753">
        <f>VLOOKUP("*"&amp;$B28&amp;"*",'S4 - Summ PRS Characteristics'!$C$21:$Q$28,14,FALSE)*$J28</f>
        <v>1371.5380325579267</v>
      </c>
      <c r="AE28" s="753">
        <f t="shared" si="30"/>
        <v>4913.4619674420737</v>
      </c>
      <c r="AF28" s="753">
        <f>IF($C28="other",(1-$C23)*AD28,(1-(VLOOKUP($C28,'S3 - Screening Tool Metrics'!$C$3:$G$17,5,FALSE)/100))*AD28)</f>
        <v>274.30760651158528</v>
      </c>
      <c r="AG28" s="753">
        <f>IF($C28="other",$C23*AD28,(VLOOKUP($C28,'S3 - Screening Tool Metrics'!$C$3:$G$17,5,FALSE)/100)*AD28)</f>
        <v>1097.2304260463413</v>
      </c>
      <c r="AH28" s="777">
        <f t="shared" si="24"/>
        <v>17.457922451015772</v>
      </c>
      <c r="AI28" s="776">
        <f t="shared" si="25"/>
        <v>17648.28</v>
      </c>
      <c r="AJ28" s="753">
        <f>VLOOKUP("*"&amp;$B28&amp;"*",'S4 - Summ PRS Characteristics'!$C$21:$Q$28,15,FALSE)*$J28</f>
        <v>453.69120464825312</v>
      </c>
      <c r="AK28" s="753">
        <f t="shared" si="29"/>
        <v>5831.308795351747</v>
      </c>
      <c r="AL28" s="753">
        <f>IF($C28="other",(1-$C23)*AJ28,(1-(VLOOKUP($C28,'S3 - Screening Tool Metrics'!$C$3:$G$17,5,FALSE)/100))*AJ28)</f>
        <v>90.738240929650601</v>
      </c>
      <c r="AM28" s="753">
        <f>IF($C28="other",$C23*AJ28,(VLOOKUP($C28,'S3 - Screening Tool Metrics'!$C$3:$G$17,5,FALSE)/100)*AJ28)</f>
        <v>362.95296371860252</v>
      </c>
      <c r="AN28" s="778">
        <f t="shared" si="26"/>
        <v>5.7749079350612975</v>
      </c>
    </row>
    <row r="29" spans="2:40" x14ac:dyDescent="0.2">
      <c r="B29" s="768" t="s">
        <v>10</v>
      </c>
      <c r="C29" s="779" t="str">
        <f>$C24</f>
        <v>Other</v>
      </c>
      <c r="D29" s="780" t="s">
        <v>197</v>
      </c>
      <c r="E29" s="781">
        <f>VLOOKUP($B29&amp;"_"&amp;$D29,'App5 - CRUK Inci Rates'!C:H,6,FALSE)</f>
        <v>622.70000000000005</v>
      </c>
      <c r="F29" s="782">
        <f>VLOOKUP($B29&amp;"_"&amp;$D29,'App5 - CRUK Inci Rates'!C:H,3,FALSE)</f>
        <v>0</v>
      </c>
      <c r="G29" s="783">
        <f>VLOOKUP($B29&amp;"_"&amp;$D29,'App5 - CRUK Inci Rates'!C:J,8,FALSE)</f>
        <v>1696993.3333333333</v>
      </c>
      <c r="H29" s="784">
        <f>VLOOKUP($B29&amp;"_"&amp;$D29,'App5 - CRUK Inci Rates'!C:J,7,FALSE)</f>
        <v>1696993.3333333333</v>
      </c>
      <c r="I29" s="784">
        <f>VLOOKUP($B29&amp;"_"&amp;$D29,'App5 - CRUK Inci Rates'!C:J,4,FALSE)</f>
        <v>0</v>
      </c>
      <c r="J29" s="778">
        <f>VLOOKUP($B29&amp;"_"&amp;$D29,'App5 - CRUK Inci Rates'!C:K,9,FALSE)</f>
        <v>10568</v>
      </c>
      <c r="K29" s="753">
        <f t="shared" si="8"/>
        <v>848496.66666666663</v>
      </c>
      <c r="L29" s="753">
        <f>VLOOKUP("*"&amp;$B29&amp;"*",'S4 - Summ PRS Characteristics'!$C$21:$Q$28,11,FALSE)*$J29</f>
        <v>8527.6644448846546</v>
      </c>
      <c r="M29" s="753">
        <f t="shared" si="9"/>
        <v>2040.3355551153454</v>
      </c>
      <c r="N29" s="753">
        <f>IF($C29="other",(1-$C$7)*L29,(1-(VLOOKUP($C29,'S3 - Screening Tool Metrics'!$C$3:$G$17,5,FALSE)/100))*L29)</f>
        <v>1705.5328889769305</v>
      </c>
      <c r="O29" s="753">
        <f>IF($C29="other",$C$7*L29,(VLOOKUP($C29,'S3 - Screening Tool Metrics'!$C$3:$G$17,5,FALSE)/100)*L29)</f>
        <v>6822.1315559077239</v>
      </c>
      <c r="P29" s="753">
        <f t="shared" si="10"/>
        <v>64.554613511617376</v>
      </c>
      <c r="Q29" s="776">
        <f t="shared" si="19"/>
        <v>339398.66666666669</v>
      </c>
      <c r="R29" s="753">
        <f>VLOOKUP("*"&amp;$B29&amp;"*",'S4 - Summ PRS Characteristics'!$C$21:$Q$28,12,FALSE)*$J29</f>
        <v>5389.5042523457305</v>
      </c>
      <c r="S29" s="753">
        <f t="shared" si="27"/>
        <v>5178.4957476542695</v>
      </c>
      <c r="T29" s="753">
        <f>IF($C29="other",(1-$C23)*R29,(1-(VLOOKUP($C29,'S3 - Screening Tool Metrics'!$C$3:$G$17,5,FALSE)/100))*R29)</f>
        <v>1077.9008504691458</v>
      </c>
      <c r="U29" s="753">
        <f>IF($C29="other",$C23*R29,(VLOOKUP($C29,'S3 - Screening Tool Metrics'!$C$3:$G$17,5,FALSE)/100)*R29)</f>
        <v>4311.6034018765849</v>
      </c>
      <c r="V29" s="777">
        <f t="shared" si="20"/>
        <v>40.798669586265945</v>
      </c>
      <c r="W29" s="753">
        <f t="shared" si="21"/>
        <v>169699.33333333334</v>
      </c>
      <c r="X29" s="753">
        <f>VLOOKUP("*"&amp;$B29&amp;"*",'S4 - Summ PRS Characteristics'!$C$21:$Q$28,13,FALSE)*$J29</f>
        <v>3583.6765617219098</v>
      </c>
      <c r="Y29" s="753">
        <f t="shared" si="28"/>
        <v>6984.3234382780902</v>
      </c>
      <c r="Z29" s="753">
        <f>IF($C29="other",(1-$C23)*X29,(1-(VLOOKUP($C29,'S3 - Screening Tool Metrics'!$C$3:$G$17,5,FALSE)/100))*X29)</f>
        <v>716.73531234438178</v>
      </c>
      <c r="AA29" s="753">
        <f>IF($C29="other",$C23*X29,(VLOOKUP($C29,'S3 - Screening Tool Metrics'!$C$3:$G$17,5,FALSE)/100)*X29)</f>
        <v>2866.941249377528</v>
      </c>
      <c r="AB29" s="777">
        <f t="shared" si="22"/>
        <v>27.128512957773733</v>
      </c>
      <c r="AC29" s="776">
        <f t="shared" si="23"/>
        <v>84849.666666666672</v>
      </c>
      <c r="AD29" s="753">
        <f>VLOOKUP("*"&amp;$B29&amp;"*",'S4 - Summ PRS Characteristics'!$C$21:$Q$28,14,FALSE)*$J29</f>
        <v>2306.191555779184</v>
      </c>
      <c r="AE29" s="753">
        <f t="shared" si="30"/>
        <v>8261.8084442208165</v>
      </c>
      <c r="AF29" s="753">
        <f>IF($C29="other",(1-$C23)*AD29,(1-(VLOOKUP($C29,'S3 - Screening Tool Metrics'!$C$3:$G$17,5,FALSE)/100))*AD29)</f>
        <v>461.2383111558367</v>
      </c>
      <c r="AG29" s="753">
        <f>IF($C29="other",$C23*AD29,(VLOOKUP($C29,'S3 - Screening Tool Metrics'!$C$3:$G$17,5,FALSE)/100)*AD29)</f>
        <v>1844.9532446233472</v>
      </c>
      <c r="AH29" s="777">
        <f t="shared" si="24"/>
        <v>17.457922451015776</v>
      </c>
      <c r="AI29" s="776">
        <f t="shared" si="25"/>
        <v>16969.933333333334</v>
      </c>
      <c r="AJ29" s="753">
        <f>VLOOKUP("*"&amp;$B29&amp;"*",'S4 - Summ PRS Characteristics'!$C$21:$Q$28,15,FALSE)*$J29</f>
        <v>762.8653382215972</v>
      </c>
      <c r="AK29" s="753">
        <f t="shared" si="29"/>
        <v>9805.134661778402</v>
      </c>
      <c r="AL29" s="753">
        <f>IF($C29="other",(1-$C23)*AJ29,(1-(VLOOKUP($C29,'S3 - Screening Tool Metrics'!$C$3:$G$17,5,FALSE)/100))*AJ29)</f>
        <v>152.57306764431939</v>
      </c>
      <c r="AM29" s="753">
        <f>IF($C29="other",$C23*AJ29,(VLOOKUP($C29,'S3 - Screening Tool Metrics'!$C$3:$G$17,5,FALSE)/100)*AJ29)</f>
        <v>610.2922705772778</v>
      </c>
      <c r="AN29" s="778">
        <f t="shared" si="26"/>
        <v>5.7749079350612966</v>
      </c>
    </row>
    <row r="30" spans="2:40" x14ac:dyDescent="0.2">
      <c r="B30" s="768" t="s">
        <v>10</v>
      </c>
      <c r="C30" s="779" t="str">
        <f>$C24</f>
        <v>Other</v>
      </c>
      <c r="D30" s="780" t="s">
        <v>198</v>
      </c>
      <c r="E30" s="781">
        <f>VLOOKUP($B30&amp;"_"&amp;$D30,'App5 - CRUK Inci Rates'!C:H,6,FALSE)</f>
        <v>759.8</v>
      </c>
      <c r="F30" s="782">
        <f>VLOOKUP($B30&amp;"_"&amp;$D30,'App5 - CRUK Inci Rates'!C:H,3,FALSE)</f>
        <v>0</v>
      </c>
      <c r="G30" s="783">
        <f>VLOOKUP($B30&amp;"_"&amp;$D30,'App5 - CRUK Inci Rates'!C:J,8,FALSE)</f>
        <v>1467965</v>
      </c>
      <c r="H30" s="784">
        <f>VLOOKUP($B30&amp;"_"&amp;$D30,'App5 - CRUK Inci Rates'!C:J,7,FALSE)</f>
        <v>1467965</v>
      </c>
      <c r="I30" s="784">
        <f>VLOOKUP($B30&amp;"_"&amp;$D30,'App5 - CRUK Inci Rates'!C:J,4,FALSE)</f>
        <v>0</v>
      </c>
      <c r="J30" s="778">
        <f>VLOOKUP($B30&amp;"_"&amp;$D30,'App5 - CRUK Inci Rates'!C:K,9,FALSE)</f>
        <v>11153</v>
      </c>
      <c r="K30" s="753">
        <f t="shared" si="8"/>
        <v>733982.5</v>
      </c>
      <c r="L30" s="753">
        <f>VLOOKUP("*"&amp;$B30&amp;"*",'S4 - Summ PRS Characteristics'!$C$21:$Q$28,11,FALSE)*$J30</f>
        <v>8999.7200561883565</v>
      </c>
      <c r="M30" s="753">
        <f t="shared" si="9"/>
        <v>2153.2799438116435</v>
      </c>
      <c r="N30" s="753">
        <f>IF($C30="other",(1-$C$7)*L30,(1-(VLOOKUP($C30,'S3 - Screening Tool Metrics'!$C$3:$G$17,5,FALSE)/100))*L30)</f>
        <v>1799.9440112376708</v>
      </c>
      <c r="O30" s="753">
        <f>IF($C30="other",$C$7*L30,(VLOOKUP($C30,'S3 - Screening Tool Metrics'!$C$3:$G$17,5,FALSE)/100)*L30)</f>
        <v>7199.7760449506859</v>
      </c>
      <c r="P30" s="753">
        <f t="shared" si="10"/>
        <v>64.554613511617376</v>
      </c>
      <c r="Q30" s="776">
        <f t="shared" si="19"/>
        <v>293593</v>
      </c>
      <c r="R30" s="753">
        <f>VLOOKUP("*"&amp;$B30&amp;"*",'S4 - Summ PRS Characteristics'!$C$21:$Q$28,12,FALSE)*$J30</f>
        <v>5687.8445236953003</v>
      </c>
      <c r="S30" s="753">
        <f t="shared" si="27"/>
        <v>5465.1554763046997</v>
      </c>
      <c r="T30" s="753">
        <f>IF($C30="other",(1-$C23)*R30,(1-(VLOOKUP($C30,'S3 - Screening Tool Metrics'!$C$3:$G$17,5,FALSE)/100))*R30)</f>
        <v>1137.5689047390597</v>
      </c>
      <c r="U30" s="753">
        <f>IF($C30="other",$C23*R30,(VLOOKUP($C30,'S3 - Screening Tool Metrics'!$C$3:$G$17,5,FALSE)/100)*R30)</f>
        <v>4550.2756189562406</v>
      </c>
      <c r="V30" s="777">
        <f t="shared" si="20"/>
        <v>40.798669586265937</v>
      </c>
      <c r="W30" s="753">
        <f t="shared" si="21"/>
        <v>146796.5</v>
      </c>
      <c r="X30" s="753">
        <f>VLOOKUP("*"&amp;$B30&amp;"*",'S4 - Summ PRS Characteristics'!$C$21:$Q$28,13,FALSE)*$J30</f>
        <v>3782.05381272563</v>
      </c>
      <c r="Y30" s="753">
        <f t="shared" si="28"/>
        <v>7370.9461872743705</v>
      </c>
      <c r="Z30" s="753">
        <f>IF($C30="other",(1-$C23)*X30,(1-(VLOOKUP($C30,'S3 - Screening Tool Metrics'!$C$3:$G$17,5,FALSE)/100))*X30)</f>
        <v>756.41076254512586</v>
      </c>
      <c r="AA30" s="753">
        <f>IF($C30="other",$C23*X30,(VLOOKUP($C30,'S3 - Screening Tool Metrics'!$C$3:$G$17,5,FALSE)/100)*X30)</f>
        <v>3025.6430501805044</v>
      </c>
      <c r="AB30" s="777">
        <f t="shared" si="22"/>
        <v>27.128512957773733</v>
      </c>
      <c r="AC30" s="776">
        <f t="shared" si="23"/>
        <v>73398.25</v>
      </c>
      <c r="AD30" s="753">
        <f>VLOOKUP("*"&amp;$B30&amp;"*",'S4 - Summ PRS Characteristics'!$C$21:$Q$28,14,FALSE)*$J30</f>
        <v>2433.8526137022368</v>
      </c>
      <c r="AE30" s="753">
        <f t="shared" si="30"/>
        <v>8719.1473862977637</v>
      </c>
      <c r="AF30" s="753">
        <f>IF($C30="other",(1-$C23)*AD30,(1-(VLOOKUP($C30,'S3 - Screening Tool Metrics'!$C$3:$G$17,5,FALSE)/100))*AD30)</f>
        <v>486.77052274044723</v>
      </c>
      <c r="AG30" s="753">
        <f>IF($C30="other",$C23*AD30,(VLOOKUP($C30,'S3 - Screening Tool Metrics'!$C$3:$G$17,5,FALSE)/100)*AD30)</f>
        <v>1947.0820909617896</v>
      </c>
      <c r="AH30" s="777">
        <f t="shared" si="24"/>
        <v>17.457922451015779</v>
      </c>
      <c r="AI30" s="776">
        <f t="shared" si="25"/>
        <v>14679.65</v>
      </c>
      <c r="AJ30" s="753">
        <f>VLOOKUP("*"&amp;$B30&amp;"*",'S4 - Summ PRS Characteristics'!$C$21:$Q$28,15,FALSE)*$J30</f>
        <v>805.09435249673299</v>
      </c>
      <c r="AK30" s="753">
        <f t="shared" si="29"/>
        <v>10347.905647503267</v>
      </c>
      <c r="AL30" s="753">
        <f>IF($C30="other",(1-$C23)*AJ30,(1-(VLOOKUP($C30,'S3 - Screening Tool Metrics'!$C$3:$G$17,5,FALSE)/100))*AJ30)</f>
        <v>161.01887049934658</v>
      </c>
      <c r="AM30" s="753">
        <f>IF($C30="other",$C23*AJ30,(VLOOKUP($C30,'S3 - Screening Tool Metrics'!$C$3:$G$17,5,FALSE)/100)*AJ30)</f>
        <v>644.07548199738642</v>
      </c>
      <c r="AN30" s="778">
        <f t="shared" si="26"/>
        <v>5.7749079350612966</v>
      </c>
    </row>
    <row r="31" spans="2:40" x14ac:dyDescent="0.2">
      <c r="B31" s="768" t="s">
        <v>10</v>
      </c>
      <c r="C31" s="779" t="str">
        <f>$C24</f>
        <v>Other</v>
      </c>
      <c r="D31" s="780" t="s">
        <v>199</v>
      </c>
      <c r="E31" s="781">
        <f>VLOOKUP($B31&amp;"_"&amp;$D31,'App5 - CRUK Inci Rates'!C:H,6,FALSE)</f>
        <v>867.2</v>
      </c>
      <c r="F31" s="782">
        <f>VLOOKUP($B31&amp;"_"&amp;$D31,'App5 - CRUK Inci Rates'!C:H,3,FALSE)</f>
        <v>0</v>
      </c>
      <c r="G31" s="783">
        <f>VLOOKUP($B31&amp;"_"&amp;$D31,'App5 - CRUK Inci Rates'!C:J,8,FALSE)</f>
        <v>1007365.3333333334</v>
      </c>
      <c r="H31" s="784">
        <f>VLOOKUP($B31&amp;"_"&amp;$D31,'App5 - CRUK Inci Rates'!C:J,7,FALSE)</f>
        <v>1007365.3333333334</v>
      </c>
      <c r="I31" s="784">
        <f>VLOOKUP($B31&amp;"_"&amp;$D31,'App5 - CRUK Inci Rates'!C:J,4,FALSE)</f>
        <v>0</v>
      </c>
      <c r="J31" s="778">
        <f>VLOOKUP($B31&amp;"_"&amp;$D31,'App5 - CRUK Inci Rates'!C:K,9,FALSE)</f>
        <v>8736</v>
      </c>
      <c r="K31" s="753">
        <f t="shared" si="8"/>
        <v>503682.66666666669</v>
      </c>
      <c r="L31" s="753">
        <f>VLOOKUP("*"&amp;$B31&amp;"*",'S4 - Summ PRS Characteristics'!$C$21:$Q$28,11,FALSE)*$J31</f>
        <v>7049.3637954686164</v>
      </c>
      <c r="M31" s="753">
        <f t="shared" si="9"/>
        <v>1686.6362045313836</v>
      </c>
      <c r="N31" s="753">
        <f>IF($C31="other",(1-$C$7)*L31,(1-(VLOOKUP($C31,'S3 - Screening Tool Metrics'!$C$3:$G$17,5,FALSE)/100))*L31)</f>
        <v>1409.8727590937231</v>
      </c>
      <c r="O31" s="753">
        <f>IF($C31="other",$C$7*L31,(VLOOKUP($C31,'S3 - Screening Tool Metrics'!$C$3:$G$17,5,FALSE)/100)*L31)</f>
        <v>5639.4910363748932</v>
      </c>
      <c r="P31" s="753">
        <f t="shared" si="10"/>
        <v>64.554613511617362</v>
      </c>
      <c r="Q31" s="776">
        <f t="shared" si="19"/>
        <v>201473.06666666668</v>
      </c>
      <c r="R31" s="753">
        <f>VLOOKUP("*"&amp;$B31&amp;"*",'S4 - Summ PRS Characteristics'!$C$21:$Q$28,12,FALSE)*$J31</f>
        <v>4455.2147188202407</v>
      </c>
      <c r="S31" s="753">
        <f t="shared" si="27"/>
        <v>4280.7852811797593</v>
      </c>
      <c r="T31" s="753">
        <f>IF($C31="other",(1-$C23)*R31,(1-(VLOOKUP($C31,'S3 - Screening Tool Metrics'!$C$3:$G$17,5,FALSE)/100))*R31)</f>
        <v>891.04294376404789</v>
      </c>
      <c r="U31" s="753">
        <f>IF($C31="other",$C23*R31,(VLOOKUP($C31,'S3 - Screening Tool Metrics'!$C$3:$G$17,5,FALSE)/100)*R31)</f>
        <v>3564.1717750561929</v>
      </c>
      <c r="V31" s="777">
        <f t="shared" si="20"/>
        <v>40.798669586265945</v>
      </c>
      <c r="W31" s="753">
        <f t="shared" si="21"/>
        <v>100736.53333333334</v>
      </c>
      <c r="X31" s="753">
        <f>VLOOKUP("*"&amp;$B31&amp;"*",'S4 - Summ PRS Characteristics'!$C$21:$Q$28,13,FALSE)*$J31</f>
        <v>2962.4336149888913</v>
      </c>
      <c r="Y31" s="753">
        <f t="shared" si="28"/>
        <v>5773.5663850111087</v>
      </c>
      <c r="Z31" s="753">
        <f>IF($C31="other",(1-$C23)*X31,(1-(VLOOKUP($C31,'S3 - Screening Tool Metrics'!$C$3:$G$17,5,FALSE)/100))*X31)</f>
        <v>592.48672299777809</v>
      </c>
      <c r="AA31" s="753">
        <f>IF($C31="other",$C23*X31,(VLOOKUP($C31,'S3 - Screening Tool Metrics'!$C$3:$G$17,5,FALSE)/100)*X31)</f>
        <v>2369.9468919911133</v>
      </c>
      <c r="AB31" s="777">
        <f t="shared" si="22"/>
        <v>27.128512957773733</v>
      </c>
      <c r="AC31" s="776">
        <f t="shared" si="23"/>
        <v>50368.26666666667</v>
      </c>
      <c r="AD31" s="753">
        <f>VLOOKUP("*"&amp;$B31&amp;"*",'S4 - Summ PRS Characteristics'!$C$21:$Q$28,14,FALSE)*$J31</f>
        <v>1906.4051316509226</v>
      </c>
      <c r="AE31" s="753">
        <f t="shared" si="30"/>
        <v>6829.5948683490769</v>
      </c>
      <c r="AF31" s="753">
        <f>IF($C31="other",(1-$C23)*AD31,(1-(VLOOKUP($C31,'S3 - Screening Tool Metrics'!$C$3:$G$17,5,FALSE)/100))*AD31)</f>
        <v>381.28102633018443</v>
      </c>
      <c r="AG31" s="753">
        <f>IF($C31="other",$C23*AD31,(VLOOKUP($C31,'S3 - Screening Tool Metrics'!$C$3:$G$17,5,FALSE)/100)*AD31)</f>
        <v>1525.1241053207382</v>
      </c>
      <c r="AH31" s="777">
        <f t="shared" si="24"/>
        <v>17.457922451015776</v>
      </c>
      <c r="AI31" s="776">
        <f t="shared" si="25"/>
        <v>10073.653333333334</v>
      </c>
      <c r="AJ31" s="753">
        <f>VLOOKUP("*"&amp;$B31&amp;"*",'S4 - Summ PRS Characteristics'!$C$21:$Q$28,15,FALSE)*$J31</f>
        <v>630.6199465086936</v>
      </c>
      <c r="AK31" s="753">
        <f t="shared" si="29"/>
        <v>8105.3800534913062</v>
      </c>
      <c r="AL31" s="753">
        <f>IF($C31="other",(1-$C23)*AJ31,(1-(VLOOKUP($C31,'S3 - Screening Tool Metrics'!$C$3:$G$17,5,FALSE)/100))*AJ31)</f>
        <v>126.12398930173869</v>
      </c>
      <c r="AM31" s="753">
        <f>IF($C31="other",$C23*AJ31,(VLOOKUP($C31,'S3 - Screening Tool Metrics'!$C$3:$G$17,5,FALSE)/100)*AJ31)</f>
        <v>504.49595720695493</v>
      </c>
      <c r="AN31" s="778">
        <f t="shared" si="26"/>
        <v>5.7749079350612975</v>
      </c>
    </row>
    <row r="32" spans="2:40" x14ac:dyDescent="0.2">
      <c r="B32" s="768" t="s">
        <v>10</v>
      </c>
      <c r="C32" s="779" t="str">
        <f>$C24</f>
        <v>Other</v>
      </c>
      <c r="D32" s="780" t="s">
        <v>200</v>
      </c>
      <c r="E32" s="781">
        <f>VLOOKUP($B32&amp;"_"&amp;$D32,'App5 - CRUK Inci Rates'!C:H,6,FALSE)</f>
        <v>192.70856538388753</v>
      </c>
      <c r="F32" s="782">
        <f>VLOOKUP($B32&amp;"_"&amp;$D32,'App5 - CRUK Inci Rates'!C:H,3,FALSE)</f>
        <v>0</v>
      </c>
      <c r="G32" s="783">
        <f>VLOOKUP($B32&amp;"_"&amp;$D32,'App5 - CRUK Inci Rates'!C:J,8,FALSE)</f>
        <v>12090277.333333334</v>
      </c>
      <c r="H32" s="784">
        <f>VLOOKUP($B32&amp;"_"&amp;$D32,'App5 - CRUK Inci Rates'!C:J,7,FALSE)</f>
        <v>12090277.333333334</v>
      </c>
      <c r="I32" s="784">
        <f>VLOOKUP($B32&amp;"_"&amp;$D32,'App5 - CRUK Inci Rates'!C:J,4,FALSE)</f>
        <v>0</v>
      </c>
      <c r="J32" s="778">
        <f>VLOOKUP($B32&amp;"_"&amp;$D32,'App5 - CRUK Inci Rates'!C:K,9,FALSE)</f>
        <v>23299</v>
      </c>
      <c r="K32" s="753">
        <f t="shared" si="8"/>
        <v>6045138.666666667</v>
      </c>
      <c r="L32" s="753">
        <f>VLOOKUP("*"&amp;$B32&amp;"*",'S4 - Summ PRS Characteristics'!$C$21:$Q$28,11,FALSE)*$J32</f>
        <v>18800.724252589662</v>
      </c>
      <c r="M32" s="753">
        <f t="shared" si="9"/>
        <v>4498.2757474103382</v>
      </c>
      <c r="N32" s="753">
        <f>IF($C32="other",(1-$C$7)*L32,(1-(VLOOKUP($C32,'S3 - Screening Tool Metrics'!$C$3:$G$17,5,FALSE)/100))*L32)</f>
        <v>3760.1448505179314</v>
      </c>
      <c r="O32" s="753">
        <f>IF($C32="other",$C$7*L32,(VLOOKUP($C32,'S3 - Screening Tool Metrics'!$C$3:$G$17,5,FALSE)/100)*L32)</f>
        <v>15040.579402071729</v>
      </c>
      <c r="P32" s="753">
        <f t="shared" si="10"/>
        <v>64.554613511617362</v>
      </c>
      <c r="Q32" s="776">
        <f t="shared" si="19"/>
        <v>2418055.4666666668</v>
      </c>
      <c r="R32" s="753">
        <f>VLOOKUP("*"&amp;$B32&amp;"*",'S4 - Summ PRS Characteristics'!$C$21:$Q$28,12,FALSE)*$J32</f>
        <v>11882.102533630126</v>
      </c>
      <c r="S32" s="753">
        <f t="shared" si="27"/>
        <v>11416.897466369874</v>
      </c>
      <c r="T32" s="753">
        <f>IF($C32="other",(1-$C23)*R32,(1-(VLOOKUP($C32,'S3 - Screening Tool Metrics'!$C$3:$G$17,5,FALSE)/100))*R32)</f>
        <v>2376.4205067260245</v>
      </c>
      <c r="U32" s="753">
        <f>IF($C32="other",$C23*R32,(VLOOKUP($C32,'S3 - Screening Tool Metrics'!$C$3:$G$17,5,FALSE)/100)*R32)</f>
        <v>9505.6820269041018</v>
      </c>
      <c r="V32" s="777">
        <f t="shared" si="20"/>
        <v>40.798669586265937</v>
      </c>
      <c r="W32" s="753">
        <f t="shared" si="21"/>
        <v>1209027.7333333334</v>
      </c>
      <c r="X32" s="753">
        <f>VLOOKUP("*"&amp;$B32&amp;"*",'S4 - Summ PRS Characteristics'!$C$21:$Q$28,13,FALSE)*$J32</f>
        <v>7900.8402925396267</v>
      </c>
      <c r="Y32" s="753">
        <f t="shared" si="28"/>
        <v>15398.159707460374</v>
      </c>
      <c r="Z32" s="753">
        <f>IF($C32="other",(1-$C23)*X32,(1-(VLOOKUP($C32,'S3 - Screening Tool Metrics'!$C$3:$G$17,5,FALSE)/100))*X32)</f>
        <v>1580.168058507925</v>
      </c>
      <c r="AA32" s="753">
        <f>IF($C32="other",$C23*X32,(VLOOKUP($C32,'S3 - Screening Tool Metrics'!$C$3:$G$17,5,FALSE)/100)*X32)</f>
        <v>6320.6722340317019</v>
      </c>
      <c r="AB32" s="777">
        <f t="shared" si="22"/>
        <v>27.128512957773733</v>
      </c>
      <c r="AC32" s="776">
        <f t="shared" si="23"/>
        <v>604513.8666666667</v>
      </c>
      <c r="AD32" s="753">
        <f>VLOOKUP("*"&amp;$B32&amp;"*",'S4 - Summ PRS Characteristics'!$C$21:$Q$28,14,FALSE)*$J32</f>
        <v>5084.4016898277068</v>
      </c>
      <c r="AE32" s="753">
        <f t="shared" si="30"/>
        <v>18214.598310172292</v>
      </c>
      <c r="AF32" s="753">
        <f>IF($C32="other",(1-$C23)*AD32,(1-(VLOOKUP($C32,'S3 - Screening Tool Metrics'!$C$3:$G$17,5,FALSE)/100))*AD32)</f>
        <v>1016.8803379655411</v>
      </c>
      <c r="AG32" s="753">
        <f>IF($C32="other",$C23*AD32,(VLOOKUP($C32,'S3 - Screening Tool Metrics'!$C$3:$G$17,5,FALSE)/100)*AD32)</f>
        <v>4067.5213518621658</v>
      </c>
      <c r="AH32" s="777">
        <f t="shared" si="24"/>
        <v>17.457922451015776</v>
      </c>
      <c r="AI32" s="776">
        <f t="shared" si="25"/>
        <v>120902.77333333335</v>
      </c>
      <c r="AJ32" s="753">
        <f>VLOOKUP("*"&amp;$B32&amp;"*",'S4 - Summ PRS Characteristics'!$C$21:$Q$28,15,FALSE)*$J32</f>
        <v>1681.8697497374144</v>
      </c>
      <c r="AK32" s="753">
        <f t="shared" si="29"/>
        <v>21617.130250262584</v>
      </c>
      <c r="AL32" s="753">
        <f>IF($C32="other",(1-$C23)*AJ32,(1-(VLOOKUP($C32,'S3 - Screening Tool Metrics'!$C$3:$G$17,5,FALSE)/100))*AJ32)</f>
        <v>336.3739499474828</v>
      </c>
      <c r="AM32" s="753">
        <f>IF($C32="other",$C23*AJ32,(VLOOKUP($C32,'S3 - Screening Tool Metrics'!$C$3:$G$17,5,FALSE)/100)*AJ32)</f>
        <v>1345.4957997899317</v>
      </c>
      <c r="AN32" s="778">
        <f t="shared" si="26"/>
        <v>5.7749079350612975</v>
      </c>
    </row>
    <row r="33" spans="2:40" x14ac:dyDescent="0.2">
      <c r="B33" s="768" t="s">
        <v>10</v>
      </c>
      <c r="C33" s="779" t="str">
        <f>$C24</f>
        <v>Other</v>
      </c>
      <c r="D33" s="780" t="s">
        <v>201</v>
      </c>
      <c r="E33" s="781">
        <f>VLOOKUP($B33&amp;"_"&amp;$D33,'App5 - CRUK Inci Rates'!C:H,6,FALSE)</f>
        <v>12.847921640003264</v>
      </c>
      <c r="F33" s="782">
        <f>VLOOKUP($B33&amp;"_"&amp;$D33,'App5 - CRUK Inci Rates'!C:H,3,FALSE)</f>
        <v>0</v>
      </c>
      <c r="G33" s="783">
        <f>VLOOKUP($B33&amp;"_"&amp;$D33,'App5 - CRUK Inci Rates'!C:J,8,FALSE)</f>
        <v>4273064.666666667</v>
      </c>
      <c r="H33" s="784">
        <f>VLOOKUP($B33&amp;"_"&amp;$D33,'App5 - CRUK Inci Rates'!C:J,7,FALSE)</f>
        <v>4273064.666666667</v>
      </c>
      <c r="I33" s="784">
        <f>VLOOKUP($B33&amp;"_"&amp;$D33,'App5 - CRUK Inci Rates'!C:J,4,FALSE)</f>
        <v>0</v>
      </c>
      <c r="J33" s="778">
        <f>VLOOKUP($B33&amp;"_"&amp;$D33,'App5 - CRUK Inci Rates'!C:K,9,FALSE)</f>
        <v>549</v>
      </c>
      <c r="K33" s="753">
        <f t="shared" si="8"/>
        <v>2136532.3333333335</v>
      </c>
      <c r="L33" s="753">
        <f>VLOOKUP("*"&amp;$B33&amp;"*",'S4 - Summ PRS Characteristics'!$C$21:$Q$28,11,FALSE)*$J33</f>
        <v>443.00603522347416</v>
      </c>
      <c r="M33" s="753">
        <f t="shared" si="9"/>
        <v>105.99396477652584</v>
      </c>
      <c r="N33" s="753">
        <f>IF($C33="other",(1-$C$7)*L33,(1-(VLOOKUP($C33,'S3 - Screening Tool Metrics'!$C$3:$G$17,5,FALSE)/100))*L33)</f>
        <v>88.601207044694817</v>
      </c>
      <c r="O33" s="753">
        <f>IF($C33="other",$C$7*L33,(VLOOKUP($C33,'S3 - Screening Tool Metrics'!$C$3:$G$17,5,FALSE)/100)*L33)</f>
        <v>354.40482817877933</v>
      </c>
      <c r="P33" s="753">
        <f t="shared" si="10"/>
        <v>64.554613511617362</v>
      </c>
      <c r="Q33" s="776">
        <f t="shared" si="19"/>
        <v>854612.93333333347</v>
      </c>
      <c r="R33" s="753">
        <f>VLOOKUP("*"&amp;$B33&amp;"*",'S4 - Summ PRS Characteristics'!$C$21:$Q$28,12,FALSE)*$J33</f>
        <v>279.98087003575</v>
      </c>
      <c r="S33" s="753">
        <f t="shared" si="27"/>
        <v>269.01912996425</v>
      </c>
      <c r="T33" s="753">
        <f>IF($C33="other",(1-$C23)*R33,(1-(VLOOKUP($C33,'S3 - Screening Tool Metrics'!$C$3:$G$17,5,FALSE)/100))*R33)</f>
        <v>55.996174007149989</v>
      </c>
      <c r="U33" s="753">
        <f>IF($C33="other",$C23*R33,(VLOOKUP($C33,'S3 - Screening Tool Metrics'!$C$3:$G$17,5,FALSE)/100)*R33)</f>
        <v>223.98469602860001</v>
      </c>
      <c r="V33" s="777">
        <f t="shared" si="20"/>
        <v>40.798669586265937</v>
      </c>
      <c r="W33" s="753">
        <f t="shared" si="21"/>
        <v>427306.46666666673</v>
      </c>
      <c r="X33" s="753">
        <f>VLOOKUP("*"&amp;$B33&amp;"*",'S4 - Summ PRS Characteristics'!$C$21:$Q$28,13,FALSE)*$J33</f>
        <v>186.16942017272223</v>
      </c>
      <c r="Y33" s="753">
        <f t="shared" si="28"/>
        <v>362.8305798272778</v>
      </c>
      <c r="Z33" s="753">
        <f>IF($C33="other",(1-$C23)*X33,(1-(VLOOKUP($C33,'S3 - Screening Tool Metrics'!$C$3:$G$17,5,FALSE)/100))*X33)</f>
        <v>37.233884034544438</v>
      </c>
      <c r="AA33" s="753">
        <f>IF($C33="other",$C23*X33,(VLOOKUP($C33,'S3 - Screening Tool Metrics'!$C$3:$G$17,5,FALSE)/100)*X33)</f>
        <v>148.93553613817778</v>
      </c>
      <c r="AB33" s="777">
        <f t="shared" si="22"/>
        <v>27.128512957773733</v>
      </c>
      <c r="AC33" s="776">
        <f t="shared" si="23"/>
        <v>213653.23333333337</v>
      </c>
      <c r="AD33" s="753">
        <f>VLOOKUP("*"&amp;$B33&amp;"*",'S4 - Summ PRS Characteristics'!$C$21:$Q$28,14,FALSE)*$J33</f>
        <v>119.80499282009575</v>
      </c>
      <c r="AE33" s="753">
        <f t="shared" si="30"/>
        <v>429.19500717990422</v>
      </c>
      <c r="AF33" s="753">
        <f>IF($C33="other",(1-$C23)*AD33,(1-(VLOOKUP($C33,'S3 - Screening Tool Metrics'!$C$3:$G$17,5,FALSE)/100))*AD33)</f>
        <v>23.960998564019146</v>
      </c>
      <c r="AG33" s="753">
        <f>IF($C33="other",$C23*AD33,(VLOOKUP($C33,'S3 - Screening Tool Metrics'!$C$3:$G$17,5,FALSE)/100)*AD33)</f>
        <v>95.843994256076599</v>
      </c>
      <c r="AH33" s="777">
        <f t="shared" si="24"/>
        <v>17.457922451015772</v>
      </c>
      <c r="AI33" s="776">
        <f t="shared" si="25"/>
        <v>42730.646666666667</v>
      </c>
      <c r="AJ33" s="753">
        <f>VLOOKUP("*"&amp;$B33&amp;"*",'S4 - Summ PRS Characteristics'!$C$21:$Q$28,15,FALSE)*$J33</f>
        <v>39.630305704358143</v>
      </c>
      <c r="AK33" s="753">
        <f t="shared" si="29"/>
        <v>509.36969429564186</v>
      </c>
      <c r="AL33" s="753">
        <f>IF($C33="other",(1-$C23)*AJ33,(1-(VLOOKUP($C33,'S3 - Screening Tool Metrics'!$C$3:$G$17,5,FALSE)/100))*AJ33)</f>
        <v>7.9260611408716271</v>
      </c>
      <c r="AM33" s="753">
        <f>IF($C33="other",$C23*AJ33,(VLOOKUP($C33,'S3 - Screening Tool Metrics'!$C$3:$G$17,5,FALSE)/100)*AJ33)</f>
        <v>31.704244563486515</v>
      </c>
      <c r="AN33" s="778">
        <f t="shared" si="26"/>
        <v>5.7749079350612957</v>
      </c>
    </row>
    <row r="34" spans="2:40" x14ac:dyDescent="0.2">
      <c r="B34" s="768" t="s">
        <v>10</v>
      </c>
      <c r="C34" s="779" t="str">
        <f>$C24</f>
        <v>Other</v>
      </c>
      <c r="D34" s="780" t="s">
        <v>202</v>
      </c>
      <c r="E34" s="781">
        <f>VLOOKUP($B34&amp;"_"&amp;$D34,'App5 - CRUK Inci Rates'!C:H,6,FALSE)</f>
        <v>135.39541108208113</v>
      </c>
      <c r="F34" s="782">
        <f>VLOOKUP($B34&amp;"_"&amp;$D34,'App5 - CRUK Inci Rates'!C:H,3,FALSE)</f>
        <v>0</v>
      </c>
      <c r="G34" s="783">
        <f>VLOOKUP($B34&amp;"_"&amp;$D34,'App5 - CRUK Inci Rates'!C:J,8,FALSE)</f>
        <v>4355391.333333333</v>
      </c>
      <c r="H34" s="784">
        <f>VLOOKUP($B34&amp;"_"&amp;$D34,'App5 - CRUK Inci Rates'!C:J,7,FALSE)</f>
        <v>4355391.333333333</v>
      </c>
      <c r="I34" s="784">
        <f>VLOOKUP($B34&amp;"_"&amp;$D34,'App5 - CRUK Inci Rates'!C:J,4,FALSE)</f>
        <v>0</v>
      </c>
      <c r="J34" s="778">
        <f>VLOOKUP($B34&amp;"_"&amp;$D34,'App5 - CRUK Inci Rates'!C:K,9,FALSE)</f>
        <v>5897</v>
      </c>
      <c r="K34" s="753">
        <f t="shared" si="8"/>
        <v>2177695.6666666665</v>
      </c>
      <c r="L34" s="753">
        <f>VLOOKUP("*"&amp;$B34&amp;"*",'S4 - Summ PRS Characteristics'!$C$21:$Q$28,11,FALSE)*$J34</f>
        <v>4758.4819484750951</v>
      </c>
      <c r="M34" s="753">
        <f t="shared" si="9"/>
        <v>1138.5180515249049</v>
      </c>
      <c r="N34" s="753">
        <f>IF($C34="other",(1-$C$7)*L34,(1-(VLOOKUP($C34,'S3 - Screening Tool Metrics'!$C$3:$G$17,5,FALSE)/100))*L34)</f>
        <v>951.69638969501887</v>
      </c>
      <c r="O34" s="753">
        <f>IF($C34="other",$C$7*L34,(VLOOKUP($C34,'S3 - Screening Tool Metrics'!$C$3:$G$17,5,FALSE)/100)*L34)</f>
        <v>3806.7855587800764</v>
      </c>
      <c r="P34" s="753">
        <f t="shared" si="10"/>
        <v>64.554613511617376</v>
      </c>
      <c r="Q34" s="776">
        <f t="shared" si="19"/>
        <v>871078.2666666666</v>
      </c>
      <c r="R34" s="753">
        <f>VLOOKUP("*"&amp;$B34&amp;"*",'S4 - Summ PRS Characteristics'!$C$21:$Q$28,12,FALSE)*$J34</f>
        <v>3007.371931877628</v>
      </c>
      <c r="S34" s="753">
        <f t="shared" si="27"/>
        <v>2889.628068122372</v>
      </c>
      <c r="T34" s="753">
        <f>IF($C34="other",(1-$C$23)*R34,(1-(VLOOKUP($C34,'S3 - Screening Tool Metrics'!$C$3:$G$17,5,FALSE)/100))*R34)</f>
        <v>601.47438637552546</v>
      </c>
      <c r="U34" s="753">
        <f>IF($C34="other",$C$23*R34,(VLOOKUP($C34,'S3 - Screening Tool Metrics'!$C$3:$G$17,5,FALSE)/100)*R34)</f>
        <v>2405.8975455021023</v>
      </c>
      <c r="V34" s="777">
        <f t="shared" si="20"/>
        <v>40.798669586265937</v>
      </c>
      <c r="W34" s="753">
        <f t="shared" si="21"/>
        <v>435539.1333333333</v>
      </c>
      <c r="X34" s="753">
        <f>VLOOKUP("*"&amp;$B34&amp;"*",'S4 - Summ PRS Characteristics'!$C$21:$Q$28,13,FALSE)*$J34</f>
        <v>1999.7105113998959</v>
      </c>
      <c r="Y34" s="753">
        <f t="shared" si="28"/>
        <v>3897.2894886001041</v>
      </c>
      <c r="Z34" s="753">
        <f>IF($C34="other",(1-$C$23)*X34,(1-(VLOOKUP($C34,'S3 - Screening Tool Metrics'!$C$3:$G$17,5,FALSE)/100))*X34)</f>
        <v>399.94210227997911</v>
      </c>
      <c r="AA34" s="753">
        <f>IF($C34="other",$C$23*X34,(VLOOKUP($C34,'S3 - Screening Tool Metrics'!$C$3:$G$17,5,FALSE)/100)*X34)</f>
        <v>1599.7684091199169</v>
      </c>
      <c r="AB34" s="777">
        <f t="shared" si="22"/>
        <v>27.128512957773733</v>
      </c>
      <c r="AC34" s="776">
        <f t="shared" si="23"/>
        <v>217769.56666666665</v>
      </c>
      <c r="AD34" s="753">
        <f>VLOOKUP("*"&amp;$B34&amp;"*",'S4 - Summ PRS Characteristics'!$C$21:$Q$28,14,FALSE)*$J34</f>
        <v>1286.8671086705003</v>
      </c>
      <c r="AE34" s="753">
        <f t="shared" si="30"/>
        <v>4610.1328913295001</v>
      </c>
      <c r="AF34" s="753">
        <f>IF($C34="other",(1-$C$23)*AD34,(1-(VLOOKUP($C34,'S3 - Screening Tool Metrics'!$C$3:$G$17,5,FALSE)/100))*AD34)</f>
        <v>257.37342173410002</v>
      </c>
      <c r="AG34" s="753">
        <f>IF($C34="other",$C$23*AD34,(VLOOKUP($C34,'S3 - Screening Tool Metrics'!$C$3:$G$17,5,FALSE)/100)*AD34)</f>
        <v>1029.4936869364003</v>
      </c>
      <c r="AH34" s="777">
        <f t="shared" si="24"/>
        <v>17.457922451015776</v>
      </c>
      <c r="AI34" s="776">
        <f t="shared" si="25"/>
        <v>43553.91333333333</v>
      </c>
      <c r="AJ34" s="753">
        <f>VLOOKUP("*"&amp;$B34&amp;"*",'S4 - Summ PRS Characteristics'!$C$21:$Q$28,15,FALSE)*$J34</f>
        <v>425.68290116320583</v>
      </c>
      <c r="AK34" s="753">
        <f t="shared" si="29"/>
        <v>5471.3170988367938</v>
      </c>
      <c r="AL34" s="753">
        <f>IF($C34="other",(1-$C$23)*AJ34,(1-(VLOOKUP($C34,'S3 - Screening Tool Metrics'!$C$3:$G$17,5,FALSE)/100))*AJ34)</f>
        <v>85.136580232641151</v>
      </c>
      <c r="AM34" s="753">
        <f>IF($C34="other",$C$23*AJ34,(VLOOKUP($C34,'S3 - Screening Tool Metrics'!$C$3:$G$17,5,FALSE)/100)*AJ34)</f>
        <v>340.54632093056466</v>
      </c>
      <c r="AN34" s="778">
        <f t="shared" si="26"/>
        <v>5.7749079350612966</v>
      </c>
    </row>
    <row r="35" spans="2:40" x14ac:dyDescent="0.2">
      <c r="B35" s="768" t="s">
        <v>10</v>
      </c>
      <c r="C35" s="779" t="str">
        <f>$C25</f>
        <v>Other</v>
      </c>
      <c r="D35" s="780" t="s">
        <v>272</v>
      </c>
      <c r="E35" s="781">
        <f>VLOOKUP($B35&amp;"_"&amp;$D35,'App5 - CRUK Inci Rates'!C:H,6,FALSE)</f>
        <v>486.82466185429951</v>
      </c>
      <c r="F35" s="782">
        <f>VLOOKUP($B35&amp;"_"&amp;$D35,'App5 - CRUK Inci Rates'!C:H,3,FALSE)</f>
        <v>0</v>
      </c>
      <c r="G35" s="783">
        <f>VLOOKUP($B35&amp;"_"&amp;$D35,'App5 - CRUK Inci Rates'!C:J,8,FALSE)</f>
        <v>3461821.333333333</v>
      </c>
      <c r="H35" s="784">
        <f>VLOOKUP($B35&amp;"_"&amp;$D35,'App5 - CRUK Inci Rates'!C:J,7,FALSE)</f>
        <v>3461821.333333333</v>
      </c>
      <c r="I35" s="784">
        <f>VLOOKUP($B35&amp;"_"&amp;$D35,'App5 - CRUK Inci Rates'!C:J,4,FALSE)</f>
        <v>0</v>
      </c>
      <c r="J35" s="778">
        <f>VLOOKUP($B35&amp;"_"&amp;$D35,'App5 - CRUK Inci Rates'!C:K,9,FALSE)</f>
        <v>16853</v>
      </c>
      <c r="K35" s="753">
        <f t="shared" si="8"/>
        <v>1730910.6666666665</v>
      </c>
      <c r="L35" s="753">
        <f>VLOOKUP("*"&amp;$B35&amp;"*",'S4 - Summ PRS Characteristics'!$C$21:$Q$28,11,FALSE)*$J35</f>
        <v>13599.236268891094</v>
      </c>
      <c r="M35" s="753">
        <f t="shared" si="9"/>
        <v>3253.7637311089056</v>
      </c>
      <c r="N35" s="753">
        <f>IF($C35="other",(1-$C$7)*L35,(1-(VLOOKUP($C35,'S3 - Screening Tool Metrics'!$C$3:$G$17,5,FALSE)/100))*L35)</f>
        <v>2719.8472537782181</v>
      </c>
      <c r="O35" s="753">
        <f>IF($C35="other",$C$7*L35,(VLOOKUP($C35,'S3 - Screening Tool Metrics'!$C$3:$G$17,5,FALSE)/100)*L35)</f>
        <v>10879.389015112876</v>
      </c>
      <c r="P35" s="753">
        <f t="shared" si="10"/>
        <v>64.554613511617376</v>
      </c>
      <c r="Q35" s="776">
        <f t="shared" si="19"/>
        <v>692364.2666666666</v>
      </c>
      <c r="R35" s="753">
        <f>VLOOKUP("*"&amp;$B35&amp;"*",'S4 - Summ PRS Characteristics'!$C$21:$Q$28,12,FALSE)*$J35</f>
        <v>8594.749731716749</v>
      </c>
      <c r="S35" s="753">
        <f t="shared" ref="S35:S36" si="31">$J35-R35</f>
        <v>8258.250268283251</v>
      </c>
      <c r="T35" s="753">
        <f>IF($C35="other",(1-$C$23)*R35,(1-(VLOOKUP($C35,'S3 - Screening Tool Metrics'!$C$3:$G$17,5,FALSE)/100))*R35)</f>
        <v>1718.9499463433494</v>
      </c>
      <c r="U35" s="753">
        <f>IF($C35="other",$C$23*R35,(VLOOKUP($C35,'S3 - Screening Tool Metrics'!$C$3:$G$17,5,FALSE)/100)*R35)</f>
        <v>6875.7997853733996</v>
      </c>
      <c r="V35" s="777">
        <f t="shared" ref="V35:V37" si="32">U35/J35*100</f>
        <v>40.798669586265945</v>
      </c>
      <c r="W35" s="753">
        <f t="shared" si="21"/>
        <v>346182.1333333333</v>
      </c>
      <c r="X35" s="753">
        <f>VLOOKUP("*"&amp;$B35&amp;"*",'S4 - Summ PRS Characteristics'!$C$21:$Q$28,13,FALSE)*$J35</f>
        <v>5714.9603609670085</v>
      </c>
      <c r="Y35" s="753">
        <f t="shared" ref="Y35:Y37" si="33">$J35-X35</f>
        <v>11138.039639032992</v>
      </c>
      <c r="Z35" s="753">
        <f>IF($C35="other",(1-$C$23)*X35,(1-(VLOOKUP($C35,'S3 - Screening Tool Metrics'!$C$3:$G$17,5,FALSE)/100))*X35)</f>
        <v>1142.9920721934013</v>
      </c>
      <c r="AA35" s="753">
        <f>IF($C35="other",$C$23*X35,(VLOOKUP($C35,'S3 - Screening Tool Metrics'!$C$3:$G$17,5,FALSE)/100)*X35)</f>
        <v>4571.9682887736071</v>
      </c>
      <c r="AB35" s="777">
        <f t="shared" si="22"/>
        <v>27.128512957773733</v>
      </c>
      <c r="AC35" s="776">
        <f t="shared" si="23"/>
        <v>173091.06666666665</v>
      </c>
      <c r="AD35" s="753">
        <f>VLOOKUP("*"&amp;$B35&amp;"*",'S4 - Summ PRS Characteristics'!$C$21:$Q$28,14,FALSE)*$J35</f>
        <v>3677.7295883371107</v>
      </c>
      <c r="AE35" s="753">
        <f t="shared" ref="AE35:AE37" si="34">$J35-AD35</f>
        <v>13175.270411662888</v>
      </c>
      <c r="AF35" s="753">
        <f>IF($C35="other",(1-$C$23)*AD35,(1-(VLOOKUP($C35,'S3 - Screening Tool Metrics'!$C$3:$G$17,5,FALSE)/100))*AD35)</f>
        <v>735.54591766742203</v>
      </c>
      <c r="AG35" s="753">
        <f>IF($C35="other",$C$23*AD35,(VLOOKUP($C35,'S3 - Screening Tool Metrics'!$C$3:$G$17,5,FALSE)/100)*AD35)</f>
        <v>2942.1836706696886</v>
      </c>
      <c r="AH35" s="777">
        <f t="shared" si="24"/>
        <v>17.457922451015776</v>
      </c>
      <c r="AI35" s="776">
        <f t="shared" si="25"/>
        <v>34618.213333333333</v>
      </c>
      <c r="AJ35" s="753">
        <f>VLOOKUP("*"&amp;$B35&amp;"*",'S4 - Summ PRS Characteristics'!$C$21:$Q$28,15,FALSE)*$J35</f>
        <v>1216.5565428698503</v>
      </c>
      <c r="AK35" s="753">
        <f t="shared" ref="AK35:AK37" si="35">$J35-AJ35</f>
        <v>15636.44345713015</v>
      </c>
      <c r="AL35" s="753">
        <f>IF($C35="other",(1-$C$23)*AJ35,(1-(VLOOKUP($C35,'S3 - Screening Tool Metrics'!$C$3:$G$17,5,FALSE)/100))*AJ35)</f>
        <v>243.31130857397</v>
      </c>
      <c r="AM35" s="753">
        <f>IF($C35="other",$C$23*AJ35,(VLOOKUP($C35,'S3 - Screening Tool Metrics'!$C$3:$G$17,5,FALSE)/100)*AJ35)</f>
        <v>973.24523429588032</v>
      </c>
      <c r="AN35" s="778">
        <f t="shared" si="26"/>
        <v>5.7749079350612966</v>
      </c>
    </row>
    <row r="36" spans="2:40" x14ac:dyDescent="0.2">
      <c r="B36" s="768" t="s">
        <v>10</v>
      </c>
      <c r="C36" s="779" t="str">
        <f>$C24</f>
        <v>Other</v>
      </c>
      <c r="D36" s="780" t="s">
        <v>203</v>
      </c>
      <c r="E36" s="781">
        <f>VLOOKUP($B36&amp;"_"&amp;$D36,'App5 - CRUK Inci Rates'!C:H,6,FALSE)</f>
        <v>291.02444784453866</v>
      </c>
      <c r="F36" s="782">
        <f>VLOOKUP($B36&amp;"_"&amp;$D36,'App5 - CRUK Inci Rates'!C:H,3,FALSE)</f>
        <v>0</v>
      </c>
      <c r="G36" s="783">
        <f>VLOOKUP($B36&amp;"_"&amp;$D36,'App5 - CRUK Inci Rates'!C:J,8,FALSE)</f>
        <v>7817212.666666666</v>
      </c>
      <c r="H36" s="784">
        <f>VLOOKUP($B36&amp;"_"&amp;$D36,'App5 - CRUK Inci Rates'!C:J,7,FALSE)</f>
        <v>7817212.666666666</v>
      </c>
      <c r="I36" s="784">
        <f>VLOOKUP($B36&amp;"_"&amp;$D36,'App5 - CRUK Inci Rates'!C:J,4,FALSE)</f>
        <v>0</v>
      </c>
      <c r="J36" s="778">
        <f>VLOOKUP($B36&amp;"_"&amp;$D36,'App5 - CRUK Inci Rates'!C:K,9,FALSE)</f>
        <v>22750</v>
      </c>
      <c r="K36" s="753">
        <f t="shared" si="8"/>
        <v>3908606.333333333</v>
      </c>
      <c r="L36" s="753">
        <f>VLOOKUP("*"&amp;$B36&amp;"*",'S4 - Summ PRS Characteristics'!$C$21:$Q$28,11,FALSE)*$J36</f>
        <v>18357.718217366189</v>
      </c>
      <c r="M36" s="753">
        <f t="shared" si="9"/>
        <v>4392.2817826338105</v>
      </c>
      <c r="N36" s="753">
        <f>IF($C36="other",(1-$C$7)*L36,(1-(VLOOKUP($C36,'S3 - Screening Tool Metrics'!$C$3:$G$17,5,FALSE)/100))*L36)</f>
        <v>3671.5436434732369</v>
      </c>
      <c r="O36" s="753">
        <f>IF($C36="other",$C$7*L36,(VLOOKUP($C36,'S3 - Screening Tool Metrics'!$C$3:$G$17,5,FALSE)/100)*L36)</f>
        <v>14686.174573892953</v>
      </c>
      <c r="P36" s="753">
        <f t="shared" si="10"/>
        <v>64.554613511617376</v>
      </c>
      <c r="Q36" s="776">
        <f t="shared" si="19"/>
        <v>1563442.5333333332</v>
      </c>
      <c r="R36" s="753">
        <f>VLOOKUP("*"&amp;$B36&amp;"*",'S4 - Summ PRS Characteristics'!$C$21:$Q$28,12,FALSE)*$J36</f>
        <v>11602.121663594377</v>
      </c>
      <c r="S36" s="753">
        <f t="shared" si="31"/>
        <v>11147.878336405623</v>
      </c>
      <c r="T36" s="753">
        <f>IF($C36="other",(1-$C$23)*R36,(1-(VLOOKUP($C36,'S3 - Screening Tool Metrics'!$C$3:$G$17,5,FALSE)/100))*R36)</f>
        <v>2320.4243327188747</v>
      </c>
      <c r="U36" s="753">
        <f>IF($C36="other",$C$23*R36,(VLOOKUP($C36,'S3 - Screening Tool Metrics'!$C$3:$G$17,5,FALSE)/100)*R36)</f>
        <v>9281.6973308755023</v>
      </c>
      <c r="V36" s="777">
        <f t="shared" si="32"/>
        <v>40.798669586265945</v>
      </c>
      <c r="W36" s="753">
        <f t="shared" si="21"/>
        <v>781721.2666666666</v>
      </c>
      <c r="X36" s="753">
        <f>VLOOKUP("*"&amp;$B36&amp;"*",'S4 - Summ PRS Characteristics'!$C$21:$Q$28,13,FALSE)*$J36</f>
        <v>7714.6708723669044</v>
      </c>
      <c r="Y36" s="753">
        <f t="shared" si="33"/>
        <v>15035.329127633097</v>
      </c>
      <c r="Z36" s="753">
        <f>IF($C36="other",(1-$C$23)*X36,(1-(VLOOKUP($C36,'S3 - Screening Tool Metrics'!$C$3:$G$17,5,FALSE)/100))*X36)</f>
        <v>1542.9341744733806</v>
      </c>
      <c r="AA36" s="753">
        <f>IF($C36="other",$C$23*X36,(VLOOKUP($C36,'S3 - Screening Tool Metrics'!$C$3:$G$17,5,FALSE)/100)*X36)</f>
        <v>6171.7366978935243</v>
      </c>
      <c r="AB36" s="777">
        <f t="shared" si="22"/>
        <v>27.128512957773733</v>
      </c>
      <c r="AC36" s="776">
        <f t="shared" si="23"/>
        <v>390860.6333333333</v>
      </c>
      <c r="AD36" s="753">
        <f>VLOOKUP("*"&amp;$B36&amp;"*",'S4 - Summ PRS Characteristics'!$C$21:$Q$28,14,FALSE)*$J36</f>
        <v>4964.5966970076106</v>
      </c>
      <c r="AE36" s="753">
        <f t="shared" si="34"/>
        <v>17785.403302992388</v>
      </c>
      <c r="AF36" s="753">
        <f>IF($C36="other",(1-$C$23)*AD36,(1-(VLOOKUP($C36,'S3 - Screening Tool Metrics'!$C$3:$G$17,5,FALSE)/100))*AD36)</f>
        <v>992.91933940152194</v>
      </c>
      <c r="AG36" s="753">
        <f>IF($C36="other",$C$23*AD36,(VLOOKUP($C36,'S3 - Screening Tool Metrics'!$C$3:$G$17,5,FALSE)/100)*AD36)</f>
        <v>3971.6773576060887</v>
      </c>
      <c r="AH36" s="777">
        <f t="shared" si="24"/>
        <v>17.457922451015776</v>
      </c>
      <c r="AI36" s="776">
        <f t="shared" si="25"/>
        <v>78172.126666666663</v>
      </c>
      <c r="AJ36" s="753">
        <f>VLOOKUP("*"&amp;$B36&amp;"*",'S4 - Summ PRS Characteristics'!$C$21:$Q$28,15,FALSE)*$J36</f>
        <v>1642.2394440330561</v>
      </c>
      <c r="AK36" s="753">
        <f t="shared" si="35"/>
        <v>21107.760555966943</v>
      </c>
      <c r="AL36" s="753">
        <f>IF($C36="other",(1-$C$23)*AJ36,(1-(VLOOKUP($C36,'S3 - Screening Tool Metrics'!$C$3:$G$17,5,FALSE)/100))*AJ36)</f>
        <v>328.44788880661116</v>
      </c>
      <c r="AM36" s="753">
        <f>IF($C36="other",$C$23*AJ36,(VLOOKUP($C36,'S3 - Screening Tool Metrics'!$C$3:$G$17,5,FALSE)/100)*AJ36)</f>
        <v>1313.7915552264449</v>
      </c>
      <c r="AN36" s="778">
        <f t="shared" si="26"/>
        <v>5.7749079350612966</v>
      </c>
    </row>
    <row r="37" spans="2:40" x14ac:dyDescent="0.2">
      <c r="B37" s="768" t="s">
        <v>10</v>
      </c>
      <c r="C37" s="779" t="str">
        <f>$C25</f>
        <v>Other</v>
      </c>
      <c r="D37" s="780" t="s">
        <v>292</v>
      </c>
      <c r="E37" s="781">
        <f>VLOOKUP($B37&amp;"_"&amp;$D37,'App5 - CRUK Inci Rates'!C:H,6,FALSE)</f>
        <v>568.09764371802726</v>
      </c>
      <c r="F37" s="782">
        <f>VLOOKUP($B37&amp;"_"&amp;$D37,'App5 - CRUK Inci Rates'!C:H,3,FALSE)</f>
        <v>0</v>
      </c>
      <c r="G37" s="783">
        <f>VLOOKUP($B37&amp;"_"&amp;$D37,'App5 - CRUK Inci Rates'!C:J,8,FALSE)</f>
        <v>4929786.333333333</v>
      </c>
      <c r="H37" s="784">
        <f>VLOOKUP($B37&amp;"_"&amp;$D37,'App5 - CRUK Inci Rates'!C:J,7,FALSE)</f>
        <v>4929786.333333333</v>
      </c>
      <c r="I37" s="784">
        <f>VLOOKUP($B37&amp;"_"&amp;$D37,'App5 - CRUK Inci Rates'!C:J,4,FALSE)</f>
        <v>0</v>
      </c>
      <c r="J37" s="778">
        <f>VLOOKUP($B37&amp;"_"&amp;$D37,'App5 - CRUK Inci Rates'!C:K,9,FALSE)</f>
        <v>28006</v>
      </c>
      <c r="K37" s="753">
        <f t="shared" si="8"/>
        <v>2464893.1666666665</v>
      </c>
      <c r="L37" s="753">
        <f>VLOOKUP("*"&amp;$B37&amp;"*",'S4 - Summ PRS Characteristics'!$C$21:$Q$28,11,FALSE)*$J37</f>
        <v>22598.956325079449</v>
      </c>
      <c r="M37" s="753">
        <f t="shared" si="9"/>
        <v>5407.043674920551</v>
      </c>
      <c r="N37" s="753">
        <f>IF($C37="other",(1-$C$7)*L37,(1-(VLOOKUP($C37,'S3 - Screening Tool Metrics'!$C$3:$G$17,5,FALSE)/100))*L37)</f>
        <v>4519.7912650158887</v>
      </c>
      <c r="O37" s="753">
        <f>IF($C37="other",$C$7*L37,(VLOOKUP($C37,'S3 - Screening Tool Metrics'!$C$3:$G$17,5,FALSE)/100)*L37)</f>
        <v>18079.165060063558</v>
      </c>
      <c r="P37" s="753">
        <f t="shared" si="10"/>
        <v>64.554613511617362</v>
      </c>
      <c r="Q37" s="776">
        <f t="shared" si="19"/>
        <v>985957.2666666666</v>
      </c>
      <c r="R37" s="753">
        <f>VLOOKUP("*"&amp;$B37&amp;"*",'S4 - Summ PRS Characteristics'!$C$21:$Q$28,12,FALSE)*$J37</f>
        <v>14282.59425541205</v>
      </c>
      <c r="S37" s="753">
        <f t="shared" si="27"/>
        <v>13723.40574458795</v>
      </c>
      <c r="T37" s="753">
        <f>IF($C37="other",(1-$C$23)*R37,(1-(VLOOKUP($C37,'S3 - Screening Tool Metrics'!$C$3:$G$17,5,FALSE)/100))*R37)</f>
        <v>2856.5188510824096</v>
      </c>
      <c r="U37" s="753">
        <f>IF($C37="other",$C$23*R37,(VLOOKUP($C37,'S3 - Screening Tool Metrics'!$C$3:$G$17,5,FALSE)/100)*R37)</f>
        <v>11426.07540432964</v>
      </c>
      <c r="V37" s="777">
        <f t="shared" si="32"/>
        <v>40.798669586265945</v>
      </c>
      <c r="W37" s="753">
        <f t="shared" si="21"/>
        <v>492978.6333333333</v>
      </c>
      <c r="X37" s="753">
        <f>VLOOKUP("*"&amp;$B37&amp;"*",'S4 - Summ PRS Characteristics'!$C$21:$Q$28,13,FALSE)*$J37</f>
        <v>9497.014173692638</v>
      </c>
      <c r="Y37" s="753">
        <f t="shared" si="33"/>
        <v>18508.985826307362</v>
      </c>
      <c r="Z37" s="753">
        <f>IF($C37="other",(1-$C$23)*X37,(1-(VLOOKUP($C37,'S3 - Screening Tool Metrics'!$C$3:$G$17,5,FALSE)/100))*X37)</f>
        <v>1899.4028347385272</v>
      </c>
      <c r="AA37" s="753">
        <f>IF($C37="other",$C$23*X37,(VLOOKUP($C37,'S3 - Screening Tool Metrics'!$C$3:$G$17,5,FALSE)/100)*X37)</f>
        <v>7597.6113389541106</v>
      </c>
      <c r="AB37" s="777">
        <f t="shared" si="22"/>
        <v>27.128512957773733</v>
      </c>
      <c r="AC37" s="776">
        <f t="shared" si="23"/>
        <v>246489.31666666665</v>
      </c>
      <c r="AD37" s="753">
        <f>VLOOKUP("*"&amp;$B37&amp;"*",'S4 - Summ PRS Characteristics'!$C$21:$Q$28,14,FALSE)*$J37</f>
        <v>6111.5822020393471</v>
      </c>
      <c r="AE37" s="753">
        <f t="shared" si="34"/>
        <v>21894.417797960654</v>
      </c>
      <c r="AF37" s="753">
        <f>IF($C37="other",(1-$C$23)*AD37,(1-(VLOOKUP($C37,'S3 - Screening Tool Metrics'!$C$3:$G$17,5,FALSE)/100))*AD37)</f>
        <v>1222.3164404078691</v>
      </c>
      <c r="AG37" s="753">
        <f>IF($C37="other",$C$23*AD37,(VLOOKUP($C37,'S3 - Screening Tool Metrics'!$C$3:$G$17,5,FALSE)/100)*AD37)</f>
        <v>4889.2657616314782</v>
      </c>
      <c r="AH37" s="777">
        <f t="shared" si="24"/>
        <v>17.457922451015776</v>
      </c>
      <c r="AI37" s="776">
        <f t="shared" si="25"/>
        <v>49297.863333333335</v>
      </c>
      <c r="AJ37" s="753">
        <f>VLOOKUP("*"&amp;$B37&amp;"*",'S4 - Summ PRS Characteristics'!$C$21:$Q$28,15,FALSE)*$J37</f>
        <v>2021.6508953665834</v>
      </c>
      <c r="AK37" s="753">
        <f t="shared" si="35"/>
        <v>25984.349104633417</v>
      </c>
      <c r="AL37" s="753">
        <f>IF($C37="other",(1-$C$23)*AJ37,(1-(VLOOKUP($C37,'S3 - Screening Tool Metrics'!$C$3:$G$17,5,FALSE)/100))*AJ37)</f>
        <v>404.33017907331657</v>
      </c>
      <c r="AM37" s="753">
        <f>IF($C37="other",$C$23*AJ37,(VLOOKUP($C37,'S3 - Screening Tool Metrics'!$C$3:$G$17,5,FALSE)/100)*AJ37)</f>
        <v>1617.3207162932667</v>
      </c>
      <c r="AN37" s="778">
        <f t="shared" si="26"/>
        <v>5.7749079350612966</v>
      </c>
    </row>
    <row r="38" spans="2:40" x14ac:dyDescent="0.2">
      <c r="B38" s="768" t="s">
        <v>10</v>
      </c>
      <c r="C38" s="779" t="str">
        <f>$C24</f>
        <v>Other</v>
      </c>
      <c r="D38" s="780" t="s">
        <v>204</v>
      </c>
      <c r="E38" s="781">
        <f>VLOOKUP($B38&amp;"_"&amp;$D38,'App5 - CRUK Inci Rates'!C:H,6,FALSE)</f>
        <v>296.50668196175269</v>
      </c>
      <c r="F38" s="782">
        <f>VLOOKUP($B38&amp;"_"&amp;$D38,'App5 - CRUK Inci Rates'!C:H,3,FALSE)</f>
        <v>0</v>
      </c>
      <c r="G38" s="783">
        <f>VLOOKUP($B38&amp;"_"&amp;$D38,'App5 - CRUK Inci Rates'!C:J,8,FALSE)</f>
        <v>14565607.666666668</v>
      </c>
      <c r="H38" s="784">
        <f>VLOOKUP($B38&amp;"_"&amp;$D38,'App5 - CRUK Inci Rates'!C:J,7,FALSE)</f>
        <v>14565607.666666668</v>
      </c>
      <c r="I38" s="784">
        <f>VLOOKUP($B38&amp;"_"&amp;$D38,'App5 - CRUK Inci Rates'!C:J,4,FALSE)</f>
        <v>0</v>
      </c>
      <c r="J38" s="778">
        <f>VLOOKUP($B38&amp;"_"&amp;$D38,'App5 - CRUK Inci Rates'!C:K,9,FALSE)</f>
        <v>43188</v>
      </c>
      <c r="K38" s="753">
        <f t="shared" si="8"/>
        <v>7282803.833333334</v>
      </c>
      <c r="L38" s="753">
        <f>VLOOKUP("*"&amp;$B38&amp;"*",'S4 - Summ PRS Characteristics'!$C$21:$Q$28,11,FALSE)*$J38</f>
        <v>34849.808104246637</v>
      </c>
      <c r="M38" s="753">
        <f t="shared" si="9"/>
        <v>8338.1918957533635</v>
      </c>
      <c r="N38" s="753">
        <f>IF($C38="other",(1-$C$7)*L38,(1-(VLOOKUP($C38,'S3 - Screening Tool Metrics'!$C$3:$G$17,5,FALSE)/100))*L38)</f>
        <v>6969.9616208493253</v>
      </c>
      <c r="O38" s="753">
        <f>IF($C38="other",$C$7*L38,(VLOOKUP($C38,'S3 - Screening Tool Metrics'!$C$3:$G$17,5,FALSE)/100)*L38)</f>
        <v>27879.846483397312</v>
      </c>
      <c r="P38" s="753">
        <f t="shared" si="10"/>
        <v>64.554613511617376</v>
      </c>
      <c r="Q38" s="776">
        <f t="shared" si="19"/>
        <v>2913121.5333333337</v>
      </c>
      <c r="R38" s="753">
        <f>VLOOKUP("*"&amp;$B38&amp;"*",'S4 - Summ PRS Characteristics'!$C$21:$Q$28,12,FALSE)*$J38</f>
        <v>22025.161776145669</v>
      </c>
      <c r="S38" s="753">
        <f t="shared" si="27"/>
        <v>21162.838223854331</v>
      </c>
      <c r="T38" s="753">
        <f>IF($C38="other",(1-$C23)*R38,(1-(VLOOKUP($C38,'S3 - Screening Tool Metrics'!$C$3:$G$17,5,FALSE)/100))*R38)</f>
        <v>4405.0323552291329</v>
      </c>
      <c r="U38" s="753">
        <f>IF($C38="other",$C23*R38,(VLOOKUP($C38,'S3 - Screening Tool Metrics'!$C$3:$G$17,5,FALSE)/100)*R38)</f>
        <v>17620.129420916535</v>
      </c>
      <c r="V38" s="777">
        <f t="shared" si="20"/>
        <v>40.798669586265945</v>
      </c>
      <c r="W38" s="753">
        <f t="shared" si="21"/>
        <v>1456560.7666666668</v>
      </c>
      <c r="X38" s="753">
        <f>VLOOKUP("*"&amp;$B38&amp;"*",'S4 - Summ PRS Characteristics'!$C$21:$Q$28,13,FALSE)*$J38</f>
        <v>14645.327720254149</v>
      </c>
      <c r="Y38" s="753">
        <f t="shared" si="28"/>
        <v>28542.67227974585</v>
      </c>
      <c r="Z38" s="753">
        <f>IF($C38="other",(1-$C23)*X38,(1-(VLOOKUP($C38,'S3 - Screening Tool Metrics'!$C$3:$G$17,5,FALSE)/100))*X38)</f>
        <v>2929.065544050829</v>
      </c>
      <c r="AA38" s="753">
        <f>IF($C38="other",$C23*X38,(VLOOKUP($C38,'S3 - Screening Tool Metrics'!$C$3:$G$17,5,FALSE)/100)*X38)</f>
        <v>11716.26217620332</v>
      </c>
      <c r="AB38" s="777">
        <f t="shared" si="22"/>
        <v>27.128512957773733</v>
      </c>
      <c r="AC38" s="776">
        <f t="shared" si="23"/>
        <v>728280.38333333342</v>
      </c>
      <c r="AD38" s="753">
        <f>VLOOKUP("*"&amp;$B38&amp;"*",'S4 - Summ PRS Characteristics'!$C$21:$Q$28,14,FALSE)*$J38</f>
        <v>9424.6594351808653</v>
      </c>
      <c r="AE38" s="753">
        <f t="shared" si="30"/>
        <v>33763.340564819133</v>
      </c>
      <c r="AF38" s="753">
        <f>IF($C38="other",(1-$C23)*AD38,(1-(VLOOKUP($C38,'S3 - Screening Tool Metrics'!$C$3:$G$17,5,FALSE)/100))*AD38)</f>
        <v>1884.9318870361726</v>
      </c>
      <c r="AG38" s="753">
        <f>IF($C38="other",$C23*AD38,(VLOOKUP($C38,'S3 - Screening Tool Metrics'!$C$3:$G$17,5,FALSE)/100)*AD38)</f>
        <v>7539.7275481446923</v>
      </c>
      <c r="AH38" s="777">
        <f t="shared" si="24"/>
        <v>17.457922451015772</v>
      </c>
      <c r="AI38" s="776">
        <f t="shared" si="25"/>
        <v>145656.07666666669</v>
      </c>
      <c r="AJ38" s="753">
        <f>VLOOKUP("*"&amp;$B38&amp;"*",'S4 - Summ PRS Characteristics'!$C$21:$Q$28,15,FALSE)*$J38</f>
        <v>3117.5840487428409</v>
      </c>
      <c r="AK38" s="753">
        <f t="shared" si="29"/>
        <v>40070.415951257157</v>
      </c>
      <c r="AL38" s="753">
        <f>IF($C38="other",(1-$C23)*AJ38,(1-(VLOOKUP($C38,'S3 - Screening Tool Metrics'!$C$3:$G$17,5,FALSE)/100))*AJ38)</f>
        <v>623.51680974856799</v>
      </c>
      <c r="AM38" s="753">
        <f>IF($C38="other",$C23*AJ38,(VLOOKUP($C38,'S3 - Screening Tool Metrics'!$C$3:$G$17,5,FALSE)/100)*AJ38)</f>
        <v>2494.0672389942729</v>
      </c>
      <c r="AN38" s="778">
        <f t="shared" si="26"/>
        <v>5.7749079350612975</v>
      </c>
    </row>
    <row r="39" spans="2:40" ht="17" thickBot="1" x14ac:dyDescent="0.25">
      <c r="B39" s="785" t="s">
        <v>10</v>
      </c>
      <c r="C39" s="786" t="str">
        <f>$C24</f>
        <v>Other</v>
      </c>
      <c r="D39" s="787" t="s">
        <v>205</v>
      </c>
      <c r="E39" s="788">
        <f>VLOOKUP($B39&amp;"_"&amp;$D39,'App5 - CRUK Inci Rates'!C:H,6,FALSE)</f>
        <v>183.8</v>
      </c>
      <c r="F39" s="789">
        <f>VLOOKUP($B39&amp;"_"&amp;$D39,'App5 - CRUK Inci Rates'!C:H,3,FALSE)</f>
        <v>0</v>
      </c>
      <c r="G39" s="790">
        <f>VLOOKUP($B39&amp;"_"&amp;$D39,'App5 - CRUK Inci Rates'!C:J,8,FALSE)</f>
        <v>32583225.666666668</v>
      </c>
      <c r="H39" s="791">
        <f>VLOOKUP($B39&amp;"_"&amp;$D39,'App5 - CRUK Inci Rates'!C:J,7,FALSE)</f>
        <v>32583225.666666668</v>
      </c>
      <c r="I39" s="791">
        <f>VLOOKUP($B39&amp;"_"&amp;$D39,'App5 - CRUK Inci Rates'!C:J,4,FALSE)</f>
        <v>0</v>
      </c>
      <c r="J39" s="778">
        <f>VLOOKUP($B39&amp;"_"&amp;$D39,'App5 - CRUK Inci Rates'!C:K,9,FALSE)</f>
        <v>52254</v>
      </c>
      <c r="K39" s="792"/>
      <c r="L39" s="792"/>
      <c r="M39" s="792"/>
      <c r="N39" s="792"/>
      <c r="O39" s="792"/>
      <c r="P39" s="792"/>
      <c r="Q39" s="793"/>
      <c r="R39" s="794"/>
      <c r="S39" s="794"/>
      <c r="T39" s="794"/>
      <c r="U39" s="794"/>
      <c r="V39" s="795"/>
      <c r="W39" s="794"/>
      <c r="X39" s="794"/>
      <c r="Y39" s="794"/>
      <c r="Z39" s="794"/>
      <c r="AA39" s="794"/>
      <c r="AB39" s="795"/>
      <c r="AC39" s="793"/>
      <c r="AD39" s="794"/>
      <c r="AE39" s="794"/>
      <c r="AF39" s="794"/>
      <c r="AG39" s="794"/>
      <c r="AH39" s="795"/>
      <c r="AI39" s="793"/>
      <c r="AJ39" s="794"/>
      <c r="AK39" s="794"/>
      <c r="AL39" s="794"/>
      <c r="AM39" s="794"/>
      <c r="AN39" s="796"/>
    </row>
    <row r="40" spans="2:40" ht="21" customHeight="1" thickBot="1" x14ac:dyDescent="0.25">
      <c r="B40" s="754" t="s">
        <v>11</v>
      </c>
      <c r="C40" s="755">
        <v>0.8</v>
      </c>
      <c r="D40" s="756"/>
      <c r="E40" s="757"/>
      <c r="F40" s="758"/>
      <c r="G40" s="759"/>
      <c r="H40" s="760"/>
      <c r="I40" s="760"/>
      <c r="J40" s="761"/>
      <c r="K40" s="762"/>
      <c r="L40" s="762"/>
      <c r="M40" s="762"/>
      <c r="N40" s="762"/>
      <c r="O40" s="762"/>
      <c r="P40" s="762"/>
      <c r="Q40" s="763"/>
      <c r="R40" s="764"/>
      <c r="S40" s="764"/>
      <c r="T40" s="764"/>
      <c r="U40" s="764"/>
      <c r="V40" s="765"/>
      <c r="W40" s="764"/>
      <c r="X40" s="764"/>
      <c r="Y40" s="764"/>
      <c r="Z40" s="764"/>
      <c r="AA40" s="764"/>
      <c r="AB40" s="765"/>
      <c r="AC40" s="763"/>
      <c r="AD40" s="764"/>
      <c r="AE40" s="764"/>
      <c r="AF40" s="764"/>
      <c r="AG40" s="764"/>
      <c r="AH40" s="765"/>
      <c r="AI40" s="763"/>
      <c r="AJ40" s="764"/>
      <c r="AK40" s="764"/>
      <c r="AL40" s="764"/>
      <c r="AM40" s="764"/>
      <c r="AN40" s="767"/>
    </row>
    <row r="41" spans="2:40" x14ac:dyDescent="0.2">
      <c r="B41" s="768" t="s">
        <v>11</v>
      </c>
      <c r="C41" s="769" t="s">
        <v>180</v>
      </c>
      <c r="D41" s="770" t="s">
        <v>192</v>
      </c>
      <c r="E41" s="771">
        <f>VLOOKUP($B41&amp;"_"&amp;$D41,'App5 - CRUK Inci Rates'!C:H,6,FALSE)</f>
        <v>14.5</v>
      </c>
      <c r="F41" s="772">
        <f>VLOOKUP($B41&amp;"_"&amp;$D41,'App5 - CRUK Inci Rates'!C:H,3,FALSE)</f>
        <v>13.5</v>
      </c>
      <c r="G41" s="773">
        <f>VLOOKUP($B41&amp;"_"&amp;$D41,'App5 - CRUK Inci Rates'!C:J,8,FALSE)</f>
        <v>4075608</v>
      </c>
      <c r="H41" s="774">
        <f>VLOOKUP($B41&amp;"_"&amp;$D41,'App5 - CRUK Inci Rates'!C:J,7,FALSE)</f>
        <v>2021384.6666666667</v>
      </c>
      <c r="I41" s="774">
        <f>VLOOKUP($B41&amp;"_"&amp;$D41,'App5 - CRUK Inci Rates'!C:J,4,FALSE)</f>
        <v>2054223.3333333333</v>
      </c>
      <c r="J41" s="775">
        <f>VLOOKUP($B41&amp;"_"&amp;$D41,'App5 - CRUK Inci Rates'!C:K,9,FALSE)</f>
        <v>570</v>
      </c>
      <c r="K41" s="753">
        <f t="shared" si="8"/>
        <v>2037804</v>
      </c>
      <c r="L41" s="753">
        <f>VLOOKUP("*"&amp;$B41&amp;"*",'S4 - Summ PRS Characteristics'!$C$21:$Q$28,11,FALSE)*$J41</f>
        <v>425.12333760018896</v>
      </c>
      <c r="M41" s="753">
        <f t="shared" si="9"/>
        <v>144.87666239981104</v>
      </c>
      <c r="N41" s="753">
        <f>IF($C41="other",(1-$C$7)*L41,(1-(VLOOKUP($C41,'S3 - Screening Tool Metrics'!$C$3:$G$17,5,FALSE)/100))*L41)</f>
        <v>85.024667520037767</v>
      </c>
      <c r="O41" s="753">
        <f>IF($C41="other",$C$7*L41,(VLOOKUP($C41,'S3 - Screening Tool Metrics'!$C$3:$G$17,5,FALSE)/100)*L41)</f>
        <v>340.09867008015118</v>
      </c>
      <c r="P41" s="753">
        <f t="shared" si="10"/>
        <v>59.666433347394943</v>
      </c>
      <c r="Q41" s="776">
        <f t="shared" ref="Q41:Q54" si="36">$G41*Q$3</f>
        <v>815121.60000000009</v>
      </c>
      <c r="R41" s="753">
        <f>VLOOKUP("*"&amp;$B41&amp;"*",'S4 - Summ PRS Characteristics'!$C$21:$Q$28,12,FALSE)*$J41</f>
        <v>244.24479717186725</v>
      </c>
      <c r="S41" s="753">
        <f>$J41-R41</f>
        <v>325.75520282813272</v>
      </c>
      <c r="T41" s="753">
        <f>IF($C41="other",(1-$C40)*R41,(1-(VLOOKUP($C41,'S3 - Screening Tool Metrics'!$C$3:$G$17,5,FALSE)/100))*R41)</f>
        <v>48.848959434373441</v>
      </c>
      <c r="U41" s="753">
        <f>IF($C41="other",$C40*R41,(VLOOKUP($C41,'S3 - Screening Tool Metrics'!$C$3:$G$17,5,FALSE)/100)*R41)</f>
        <v>195.39583773749382</v>
      </c>
      <c r="V41" s="777">
        <f t="shared" ref="V41:V54" si="37">U41/J41*100</f>
        <v>34.279971532893654</v>
      </c>
      <c r="W41" s="753">
        <f t="shared" ref="W41:W54" si="38">$G41*W$3</f>
        <v>407560.80000000005</v>
      </c>
      <c r="X41" s="753">
        <f>VLOOKUP("*"&amp;$B41&amp;"*",'S4 - Summ PRS Characteristics'!$C$21:$Q$28,13,FALSE)*$J41</f>
        <v>152.52490687204829</v>
      </c>
      <c r="Y41" s="753">
        <f>$J41-X41</f>
        <v>417.47509312795171</v>
      </c>
      <c r="Z41" s="753">
        <f>IF($C41="other",(1-$C40)*X41,(1-(VLOOKUP($C41,'S3 - Screening Tool Metrics'!$C$3:$G$17,5,FALSE)/100))*X41)</f>
        <v>30.504981374409653</v>
      </c>
      <c r="AA41" s="753">
        <f>IF($C41="other",$C40*X41,(VLOOKUP($C41,'S3 - Screening Tool Metrics'!$C$3:$G$17,5,FALSE)/100)*X41)</f>
        <v>122.01992549763864</v>
      </c>
      <c r="AB41" s="777">
        <f t="shared" ref="AB41:AB54" si="39">$AA41/$J41*100</f>
        <v>21.407004473269936</v>
      </c>
      <c r="AC41" s="776">
        <f t="shared" ref="AC41:AC54" si="40">$G41*AC$3</f>
        <v>203780.40000000002</v>
      </c>
      <c r="AD41" s="753">
        <f>VLOOKUP("*"&amp;$B41&amp;"*",'S4 - Summ PRS Characteristics'!$C$21:$Q$28,14,FALSE)*$J41</f>
        <v>92.738148210597103</v>
      </c>
      <c r="AE41" s="753">
        <f>$J41-AD41</f>
        <v>477.2618517894029</v>
      </c>
      <c r="AF41" s="753">
        <f>IF($C41="other",(1-$C40)*AD41,(1-(VLOOKUP($C41,'S3 - Screening Tool Metrics'!$C$3:$G$17,5,FALSE)/100))*AD41)</f>
        <v>18.547629642119418</v>
      </c>
      <c r="AG41" s="753">
        <f>IF($C41="other",$C40*AD41,(VLOOKUP($C41,'S3 - Screening Tool Metrics'!$C$3:$G$17,5,FALSE)/100)*AD41)</f>
        <v>74.190518568477685</v>
      </c>
      <c r="AH41" s="777">
        <f t="shared" ref="AH41:AH54" si="41">$AG41/$J41*100</f>
        <v>13.015880450610121</v>
      </c>
      <c r="AI41" s="776">
        <f t="shared" ref="AI41:AI54" si="42">$G41*AI$3</f>
        <v>40756.080000000002</v>
      </c>
      <c r="AJ41" s="753">
        <f>VLOOKUP("*"&amp;$B41&amp;"*",'S4 - Summ PRS Characteristics'!$C$21:$Q$28,15,FALSE)*$J41</f>
        <v>27.339577046924351</v>
      </c>
      <c r="AK41" s="753">
        <f>$J41-AJ41</f>
        <v>542.66042295307568</v>
      </c>
      <c r="AL41" s="753">
        <f>IF($C41="other",(1-$C40)*AJ41,(1-(VLOOKUP($C41,'S3 - Screening Tool Metrics'!$C$3:$G$17,5,FALSE)/100))*AJ41)</f>
        <v>5.4679154093848688</v>
      </c>
      <c r="AM41" s="753">
        <f>IF($C41="other",$C40*AJ41,(VLOOKUP($C41,'S3 - Screening Tool Metrics'!$C$3:$G$17,5,FALSE)/100)*AJ41)</f>
        <v>21.871661637539482</v>
      </c>
      <c r="AN41" s="778">
        <f t="shared" ref="AN41:AN54" si="43">$AM41/$J41*100</f>
        <v>3.8371336206209619</v>
      </c>
    </row>
    <row r="42" spans="2:40" x14ac:dyDescent="0.2">
      <c r="B42" s="768" t="s">
        <v>11</v>
      </c>
      <c r="C42" s="779" t="str">
        <f>$C41</f>
        <v>Other</v>
      </c>
      <c r="D42" s="780" t="s">
        <v>193</v>
      </c>
      <c r="E42" s="781">
        <f>VLOOKUP($B42&amp;"_"&amp;$D42,'App5 - CRUK Inci Rates'!C:H,6,FALSE)</f>
        <v>24.4</v>
      </c>
      <c r="F42" s="782">
        <f>VLOOKUP($B42&amp;"_"&amp;$D42,'App5 - CRUK Inci Rates'!C:H,3,FALSE)</f>
        <v>21.6</v>
      </c>
      <c r="G42" s="783">
        <f>VLOOKUP($B42&amp;"_"&amp;$D42,'App5 - CRUK Inci Rates'!C:J,8,FALSE)</f>
        <v>4567159.333333334</v>
      </c>
      <c r="H42" s="784">
        <f>VLOOKUP($B42&amp;"_"&amp;$D42,'App5 - CRUK Inci Rates'!C:J,7,FALSE)</f>
        <v>2251680</v>
      </c>
      <c r="I42" s="784">
        <f>VLOOKUP($B42&amp;"_"&amp;$D42,'App5 - CRUK Inci Rates'!C:J,4,FALSE)</f>
        <v>2315479.3333333335</v>
      </c>
      <c r="J42" s="778">
        <f>VLOOKUP($B42&amp;"_"&amp;$D42,'App5 - CRUK Inci Rates'!C:K,9,FALSE)</f>
        <v>1047</v>
      </c>
      <c r="K42" s="753">
        <f t="shared" si="8"/>
        <v>2283579.666666667</v>
      </c>
      <c r="L42" s="753">
        <f>VLOOKUP("*"&amp;$B42&amp;"*",'S4 - Summ PRS Characteristics'!$C$21:$Q$28,11,FALSE)*$J42</f>
        <v>780.88444643403136</v>
      </c>
      <c r="M42" s="753">
        <f t="shared" si="9"/>
        <v>266.11555356596864</v>
      </c>
      <c r="N42" s="753">
        <f>IF($C42="other",(1-$C$7)*L42,(1-(VLOOKUP($C42,'S3 - Screening Tool Metrics'!$C$3:$G$17,5,FALSE)/100))*L42)</f>
        <v>156.17688928680624</v>
      </c>
      <c r="O42" s="753">
        <f>IF($C42="other",$C$7*L42,(VLOOKUP($C42,'S3 - Screening Tool Metrics'!$C$3:$G$17,5,FALSE)/100)*L42)</f>
        <v>624.70755714722509</v>
      </c>
      <c r="P42" s="753">
        <f t="shared" si="10"/>
        <v>59.666433347394943</v>
      </c>
      <c r="Q42" s="776">
        <f t="shared" si="36"/>
        <v>913431.86666666681</v>
      </c>
      <c r="R42" s="753">
        <f>VLOOKUP("*"&amp;$B42&amp;"*",'S4 - Summ PRS Characteristics'!$C$21:$Q$28,12,FALSE)*$J42</f>
        <v>448.63912743674558</v>
      </c>
      <c r="S42" s="753">
        <f t="shared" ref="S42:S54" si="44">$J42-R42</f>
        <v>598.36087256325436</v>
      </c>
      <c r="T42" s="753">
        <f>IF($C42="other",(1-$C40)*R42,(1-(VLOOKUP($C42,'S3 - Screening Tool Metrics'!$C$3:$G$17,5,FALSE)/100))*R42)</f>
        <v>89.727825487349094</v>
      </c>
      <c r="U42" s="753">
        <f>IF($C42="other",$C40*R42,(VLOOKUP($C42,'S3 - Screening Tool Metrics'!$C$3:$G$17,5,FALSE)/100)*R42)</f>
        <v>358.91130194939649</v>
      </c>
      <c r="V42" s="777">
        <f t="shared" si="37"/>
        <v>34.279971532893647</v>
      </c>
      <c r="W42" s="753">
        <f t="shared" si="38"/>
        <v>456715.93333333341</v>
      </c>
      <c r="X42" s="753">
        <f>VLOOKUP("*"&amp;$B42&amp;"*",'S4 - Summ PRS Characteristics'!$C$21:$Q$28,13,FALSE)*$J42</f>
        <v>280.16417104392025</v>
      </c>
      <c r="Y42" s="753">
        <f t="shared" ref="Y42:Y54" si="45">$J42-X42</f>
        <v>766.83582895607969</v>
      </c>
      <c r="Z42" s="753">
        <f>IF($C42="other",(1-$C40)*X42,(1-(VLOOKUP($C42,'S3 - Screening Tool Metrics'!$C$3:$G$17,5,FALSE)/100))*X42)</f>
        <v>56.032834208784038</v>
      </c>
      <c r="AA42" s="753">
        <f>IF($C42="other",$C40*X42,(VLOOKUP($C42,'S3 - Screening Tool Metrics'!$C$3:$G$17,5,FALSE)/100)*X42)</f>
        <v>224.13133683513621</v>
      </c>
      <c r="AB42" s="777">
        <f t="shared" si="39"/>
        <v>21.407004473269932</v>
      </c>
      <c r="AC42" s="776">
        <f t="shared" si="40"/>
        <v>228357.9666666667</v>
      </c>
      <c r="AD42" s="753">
        <f>VLOOKUP("*"&amp;$B42&amp;"*",'S4 - Summ PRS Characteristics'!$C$21:$Q$28,14,FALSE)*$J42</f>
        <v>170.34533539735995</v>
      </c>
      <c r="AE42" s="753">
        <f>$J42-AD42</f>
        <v>876.65466460264008</v>
      </c>
      <c r="AF42" s="753">
        <f>IF($C42="other",(1-$C40)*AD42,(1-(VLOOKUP($C42,'S3 - Screening Tool Metrics'!$C$3:$G$17,5,FALSE)/100))*AD42)</f>
        <v>34.069067079471985</v>
      </c>
      <c r="AG42" s="753">
        <f>IF($C42="other",$C40*AD42,(VLOOKUP($C42,'S3 - Screening Tool Metrics'!$C$3:$G$17,5,FALSE)/100)*AD42)</f>
        <v>136.27626831788797</v>
      </c>
      <c r="AH42" s="777">
        <f t="shared" si="41"/>
        <v>13.015880450610121</v>
      </c>
      <c r="AI42" s="776">
        <f t="shared" si="42"/>
        <v>45671.593333333338</v>
      </c>
      <c r="AJ42" s="753">
        <f>VLOOKUP("*"&amp;$B42&amp;"*",'S4 - Summ PRS Characteristics'!$C$21:$Q$28,15,FALSE)*$J42</f>
        <v>50.218486259876833</v>
      </c>
      <c r="AK42" s="753">
        <f t="shared" ref="AK42:AK54" si="46">$J42-AJ42</f>
        <v>996.78151374012316</v>
      </c>
      <c r="AL42" s="753">
        <f>IF($C42="other",(1-$C40)*AJ42,(1-(VLOOKUP($C42,'S3 - Screening Tool Metrics'!$C$3:$G$17,5,FALSE)/100))*AJ42)</f>
        <v>10.043697251975365</v>
      </c>
      <c r="AM42" s="753">
        <f>IF($C42="other",$C40*AJ42,(VLOOKUP($C42,'S3 - Screening Tool Metrics'!$C$3:$G$17,5,FALSE)/100)*AJ42)</f>
        <v>40.174789007901467</v>
      </c>
      <c r="AN42" s="778">
        <f t="shared" si="43"/>
        <v>3.8371336206209619</v>
      </c>
    </row>
    <row r="43" spans="2:40" x14ac:dyDescent="0.2">
      <c r="B43" s="768" t="s">
        <v>11</v>
      </c>
      <c r="C43" s="779" t="str">
        <f>$C41</f>
        <v>Other</v>
      </c>
      <c r="D43" s="780" t="s">
        <v>194</v>
      </c>
      <c r="E43" s="781">
        <f>VLOOKUP($B43&amp;"_"&amp;$D43,'App5 - CRUK Inci Rates'!C:H,6,FALSE)</f>
        <v>47.1</v>
      </c>
      <c r="F43" s="782">
        <f>VLOOKUP($B43&amp;"_"&amp;$D43,'App5 - CRUK Inci Rates'!C:H,3,FALSE)</f>
        <v>37.1</v>
      </c>
      <c r="G43" s="783">
        <f>VLOOKUP($B43&amp;"_"&amp;$D43,'App5 - CRUK Inci Rates'!C:J,8,FALSE)</f>
        <v>4658110.666666666</v>
      </c>
      <c r="H43" s="784">
        <f>VLOOKUP($B43&amp;"_"&amp;$D43,'App5 - CRUK Inci Rates'!C:J,7,FALSE)</f>
        <v>2293472.6666666665</v>
      </c>
      <c r="I43" s="784">
        <f>VLOOKUP($B43&amp;"_"&amp;$D43,'App5 - CRUK Inci Rates'!C:J,4,FALSE)</f>
        <v>2364638</v>
      </c>
      <c r="J43" s="778">
        <f>VLOOKUP($B43&amp;"_"&amp;$D43,'App5 - CRUK Inci Rates'!C:K,9,FALSE)</f>
        <v>1958</v>
      </c>
      <c r="K43" s="753">
        <f t="shared" si="8"/>
        <v>2329055.333333333</v>
      </c>
      <c r="L43" s="753">
        <f>VLOOKUP("*"&amp;$B43&amp;"*",'S4 - Summ PRS Characteristics'!$C$21:$Q$28,11,FALSE)*$J43</f>
        <v>1460.3359561774912</v>
      </c>
      <c r="M43" s="753">
        <f t="shared" si="9"/>
        <v>497.6640438225088</v>
      </c>
      <c r="N43" s="753">
        <f>IF($C43="other",(1-$C$7)*L43,(1-(VLOOKUP($C43,'S3 - Screening Tool Metrics'!$C$3:$G$17,5,FALSE)/100))*L43)</f>
        <v>292.06719123549817</v>
      </c>
      <c r="O43" s="753">
        <f>IF($C43="other",$C$7*L43,(VLOOKUP($C43,'S3 - Screening Tool Metrics'!$C$3:$G$17,5,FALSE)/100)*L43)</f>
        <v>1168.2687649419929</v>
      </c>
      <c r="P43" s="753">
        <f t="shared" si="10"/>
        <v>59.666433347394943</v>
      </c>
      <c r="Q43" s="776">
        <f t="shared" si="36"/>
        <v>931622.1333333333</v>
      </c>
      <c r="R43" s="753">
        <f>VLOOKUP("*"&amp;$B43&amp;"*",'S4 - Summ PRS Characteristics'!$C$21:$Q$28,12,FALSE)*$J43</f>
        <v>839.00230326757196</v>
      </c>
      <c r="S43" s="753">
        <f t="shared" si="44"/>
        <v>1118.997696732428</v>
      </c>
      <c r="T43" s="753">
        <f>IF($C43="other",(1-$C40)*R43,(1-(VLOOKUP($C43,'S3 - Screening Tool Metrics'!$C$3:$G$17,5,FALSE)/100))*R43)</f>
        <v>167.80046065351436</v>
      </c>
      <c r="U43" s="753">
        <f>IF($C43="other",$C40*R43,(VLOOKUP($C43,'S3 - Screening Tool Metrics'!$C$3:$G$17,5,FALSE)/100)*R43)</f>
        <v>671.20184261405757</v>
      </c>
      <c r="V43" s="777">
        <f t="shared" si="37"/>
        <v>34.279971532893647</v>
      </c>
      <c r="W43" s="753">
        <f t="shared" si="38"/>
        <v>465811.06666666665</v>
      </c>
      <c r="X43" s="753">
        <f>VLOOKUP("*"&amp;$B43&amp;"*",'S4 - Summ PRS Characteristics'!$C$21:$Q$28,13,FALSE)*$J43</f>
        <v>523.93643448328169</v>
      </c>
      <c r="Y43" s="753">
        <f t="shared" si="45"/>
        <v>1434.0635655167184</v>
      </c>
      <c r="Z43" s="753">
        <f>IF($C43="other",(1-$C40)*X43,(1-(VLOOKUP($C43,'S3 - Screening Tool Metrics'!$C$3:$G$17,5,FALSE)/100))*X43)</f>
        <v>104.78728689665631</v>
      </c>
      <c r="AA43" s="753">
        <f>IF($C43="other",$C40*X43,(VLOOKUP($C43,'S3 - Screening Tool Metrics'!$C$3:$G$17,5,FALSE)/100)*X43)</f>
        <v>419.14914758662536</v>
      </c>
      <c r="AB43" s="777">
        <f t="shared" si="39"/>
        <v>21.407004473269936</v>
      </c>
      <c r="AC43" s="776">
        <f t="shared" si="40"/>
        <v>232905.53333333333</v>
      </c>
      <c r="AD43" s="753">
        <f>VLOOKUP("*"&amp;$B43&amp;"*",'S4 - Summ PRS Characteristics'!$C$21:$Q$28,14,FALSE)*$J43</f>
        <v>318.56367402868267</v>
      </c>
      <c r="AE43" s="753">
        <f t="shared" ref="AE43:AE54" si="47">$J43-AD43</f>
        <v>1639.4363259713173</v>
      </c>
      <c r="AF43" s="753">
        <f>IF($C43="other",(1-$C40)*AD43,(1-(VLOOKUP($C43,'S3 - Screening Tool Metrics'!$C$3:$G$17,5,FALSE)/100))*AD43)</f>
        <v>63.712734805736517</v>
      </c>
      <c r="AG43" s="753">
        <f>IF($C43="other",$C40*AD43,(VLOOKUP($C43,'S3 - Screening Tool Metrics'!$C$3:$G$17,5,FALSE)/100)*AD43)</f>
        <v>254.85093922294615</v>
      </c>
      <c r="AH43" s="777">
        <f t="shared" si="41"/>
        <v>13.015880450610121</v>
      </c>
      <c r="AI43" s="776">
        <f t="shared" si="42"/>
        <v>46581.106666666659</v>
      </c>
      <c r="AJ43" s="753">
        <f>VLOOKUP("*"&amp;$B43&amp;"*",'S4 - Summ PRS Characteristics'!$C$21:$Q$28,15,FALSE)*$J43</f>
        <v>93.913845364698034</v>
      </c>
      <c r="AK43" s="753">
        <f t="shared" si="46"/>
        <v>1864.0861546353019</v>
      </c>
      <c r="AL43" s="753">
        <f>IF($C43="other",(1-$C40)*AJ43,(1-(VLOOKUP($C43,'S3 - Screening Tool Metrics'!$C$3:$G$17,5,FALSE)/100))*AJ43)</f>
        <v>18.782769072939601</v>
      </c>
      <c r="AM43" s="753">
        <f>IF($C43="other",$C40*AJ43,(VLOOKUP($C43,'S3 - Screening Tool Metrics'!$C$3:$G$17,5,FALSE)/100)*AJ43)</f>
        <v>75.131076291758433</v>
      </c>
      <c r="AN43" s="778">
        <f t="shared" si="43"/>
        <v>3.8371336206209619</v>
      </c>
    </row>
    <row r="44" spans="2:40" x14ac:dyDescent="0.2">
      <c r="B44" s="768" t="s">
        <v>11</v>
      </c>
      <c r="C44" s="779" t="str">
        <f>$C41</f>
        <v>Other</v>
      </c>
      <c r="D44" s="780" t="s">
        <v>195</v>
      </c>
      <c r="E44" s="781">
        <f>VLOOKUP($B44&amp;"_"&amp;$D44,'App5 - CRUK Inci Rates'!C:H,6,FALSE)</f>
        <v>87.7</v>
      </c>
      <c r="F44" s="782">
        <f>VLOOKUP($B44&amp;"_"&amp;$D44,'App5 - CRUK Inci Rates'!C:H,3,FALSE)</f>
        <v>60.6</v>
      </c>
      <c r="G44" s="783">
        <f>VLOOKUP($B44&amp;"_"&amp;$D44,'App5 - CRUK Inci Rates'!C:J,8,FALSE)</f>
        <v>4181606</v>
      </c>
      <c r="H44" s="784">
        <f>VLOOKUP($B44&amp;"_"&amp;$D44,'App5 - CRUK Inci Rates'!C:J,7,FALSE)</f>
        <v>2061918.6666666667</v>
      </c>
      <c r="I44" s="784">
        <f>VLOOKUP($B44&amp;"_"&amp;$D44,'App5 - CRUK Inci Rates'!C:J,4,FALSE)</f>
        <v>2119687.3333333335</v>
      </c>
      <c r="J44" s="778">
        <f>VLOOKUP($B44&amp;"_"&amp;$D44,'App5 - CRUK Inci Rates'!C:K,9,FALSE)</f>
        <v>3094</v>
      </c>
      <c r="K44" s="753">
        <f t="shared" si="8"/>
        <v>2090803</v>
      </c>
      <c r="L44" s="753">
        <f>VLOOKUP("*"&amp;$B44&amp;"*",'S4 - Summ PRS Characteristics'!$C$21:$Q$28,11,FALSE)*$J44</f>
        <v>2307.5993097104993</v>
      </c>
      <c r="M44" s="753">
        <f t="shared" si="9"/>
        <v>786.40069028950074</v>
      </c>
      <c r="N44" s="753">
        <f>IF($C44="other",(1-$C$7)*L44,(1-(VLOOKUP($C44,'S3 - Screening Tool Metrics'!$C$3:$G$17,5,FALSE)/100))*L44)</f>
        <v>461.51986194209974</v>
      </c>
      <c r="O44" s="753">
        <f>IF($C44="other",$C$7*L44,(VLOOKUP($C44,'S3 - Screening Tool Metrics'!$C$3:$G$17,5,FALSE)/100)*L44)</f>
        <v>1846.0794477683994</v>
      </c>
      <c r="P44" s="753">
        <f t="shared" si="10"/>
        <v>59.666433347394943</v>
      </c>
      <c r="Q44" s="776">
        <f t="shared" si="36"/>
        <v>836321.20000000007</v>
      </c>
      <c r="R44" s="753">
        <f>VLOOKUP("*"&amp;$B44&amp;"*",'S4 - Summ PRS Characteristics'!$C$21:$Q$28,12,FALSE)*$J44</f>
        <v>1325.7778990346619</v>
      </c>
      <c r="S44" s="753">
        <f t="shared" si="44"/>
        <v>1768.2221009653381</v>
      </c>
      <c r="T44" s="753">
        <f>IF($C44="other",(1-$C40)*R44,(1-(VLOOKUP($C44,'S3 - Screening Tool Metrics'!$C$3:$G$17,5,FALSE)/100))*R44)</f>
        <v>265.15557980693234</v>
      </c>
      <c r="U44" s="753">
        <f>IF($C44="other",$C40*R44,(VLOOKUP($C44,'S3 - Screening Tool Metrics'!$C$3:$G$17,5,FALSE)/100)*R44)</f>
        <v>1060.6223192277296</v>
      </c>
      <c r="V44" s="777">
        <f t="shared" si="37"/>
        <v>34.279971532893647</v>
      </c>
      <c r="W44" s="753">
        <f t="shared" si="38"/>
        <v>418160.60000000003</v>
      </c>
      <c r="X44" s="753">
        <f>VLOOKUP("*"&amp;$B44&amp;"*",'S4 - Summ PRS Characteristics'!$C$21:$Q$28,13,FALSE)*$J44</f>
        <v>827.91589800371469</v>
      </c>
      <c r="Y44" s="753">
        <f t="shared" si="45"/>
        <v>2266.0841019962854</v>
      </c>
      <c r="Z44" s="753">
        <f>IF($C44="other",(1-$C40)*X44,(1-(VLOOKUP($C44,'S3 - Screening Tool Metrics'!$C$3:$G$17,5,FALSE)/100))*X44)</f>
        <v>165.58317960074291</v>
      </c>
      <c r="AA44" s="753">
        <f>IF($C44="other",$C40*X44,(VLOOKUP($C44,'S3 - Screening Tool Metrics'!$C$3:$G$17,5,FALSE)/100)*X44)</f>
        <v>662.33271840297175</v>
      </c>
      <c r="AB44" s="777">
        <f t="shared" si="39"/>
        <v>21.407004473269932</v>
      </c>
      <c r="AC44" s="776">
        <f t="shared" si="40"/>
        <v>209080.30000000002</v>
      </c>
      <c r="AD44" s="753">
        <f>VLOOKUP("*"&amp;$B44&amp;"*",'S4 - Summ PRS Characteristics'!$C$21:$Q$28,14,FALSE)*$J44</f>
        <v>503.3891764273464</v>
      </c>
      <c r="AE44" s="753">
        <f t="shared" si="47"/>
        <v>2590.6108235726538</v>
      </c>
      <c r="AF44" s="753">
        <f>IF($C44="other",(1-$C40)*AD44,(1-(VLOOKUP($C44,'S3 - Screening Tool Metrics'!$C$3:$G$17,5,FALSE)/100))*AD44)</f>
        <v>100.67783528546926</v>
      </c>
      <c r="AG44" s="753">
        <f>IF($C44="other",$C40*AD44,(VLOOKUP($C44,'S3 - Screening Tool Metrics'!$C$3:$G$17,5,FALSE)/100)*AD44)</f>
        <v>402.71134114187714</v>
      </c>
      <c r="AH44" s="777">
        <f t="shared" si="41"/>
        <v>13.015880450610121</v>
      </c>
      <c r="AI44" s="776">
        <f t="shared" si="42"/>
        <v>41816.06</v>
      </c>
      <c r="AJ44" s="753">
        <f>VLOOKUP("*"&amp;$B44&amp;"*",'S4 - Summ PRS Characteristics'!$C$21:$Q$28,15,FALSE)*$J44</f>
        <v>148.4011427775157</v>
      </c>
      <c r="AK44" s="753">
        <f t="shared" si="46"/>
        <v>2945.5988572224842</v>
      </c>
      <c r="AL44" s="753">
        <f>IF($C44="other",(1-$C40)*AJ44,(1-(VLOOKUP($C44,'S3 - Screening Tool Metrics'!$C$3:$G$17,5,FALSE)/100))*AJ44)</f>
        <v>29.680228555503135</v>
      </c>
      <c r="AM44" s="753">
        <f>IF($C44="other",$C40*AJ44,(VLOOKUP($C44,'S3 - Screening Tool Metrics'!$C$3:$G$17,5,FALSE)/100)*AJ44)</f>
        <v>118.72091422201257</v>
      </c>
      <c r="AN44" s="778">
        <f t="shared" si="43"/>
        <v>3.8371336206209619</v>
      </c>
    </row>
    <row r="45" spans="2:40" x14ac:dyDescent="0.2">
      <c r="B45" s="768" t="s">
        <v>11</v>
      </c>
      <c r="C45" s="779" t="str">
        <f>$C41</f>
        <v>Other</v>
      </c>
      <c r="D45" s="780" t="s">
        <v>196</v>
      </c>
      <c r="E45" s="781">
        <f>VLOOKUP($B45&amp;"_"&amp;$D45,'App5 - CRUK Inci Rates'!C:H,6,FALSE)</f>
        <v>151.4</v>
      </c>
      <c r="F45" s="782">
        <f>VLOOKUP($B45&amp;"_"&amp;$D45,'App5 - CRUK Inci Rates'!C:H,3,FALSE)</f>
        <v>91</v>
      </c>
      <c r="G45" s="783">
        <f>VLOOKUP($B45&amp;"_"&amp;$D45,'App5 - CRUK Inci Rates'!C:J,8,FALSE)</f>
        <v>3602002</v>
      </c>
      <c r="H45" s="784">
        <f>VLOOKUP($B45&amp;"_"&amp;$D45,'App5 - CRUK Inci Rates'!C:J,7,FALSE)</f>
        <v>1764828</v>
      </c>
      <c r="I45" s="784">
        <f>VLOOKUP($B45&amp;"_"&amp;$D45,'App5 - CRUK Inci Rates'!C:J,4,FALSE)</f>
        <v>1837174</v>
      </c>
      <c r="J45" s="778">
        <f>VLOOKUP($B45&amp;"_"&amp;$D45,'App5 - CRUK Inci Rates'!C:K,9,FALSE)</f>
        <v>4345</v>
      </c>
      <c r="K45" s="753">
        <f t="shared" si="8"/>
        <v>1801001</v>
      </c>
      <c r="L45" s="753">
        <f>VLOOKUP("*"&amp;$B45&amp;"*",'S4 - Summ PRS Characteristics'!$C$21:$Q$28,11,FALSE)*$J45</f>
        <v>3240.633161180388</v>
      </c>
      <c r="M45" s="753">
        <f t="shared" si="9"/>
        <v>1104.366838819612</v>
      </c>
      <c r="N45" s="753">
        <f>IF($C45="other",(1-$C$7)*L45,(1-(VLOOKUP($C45,'S3 - Screening Tool Metrics'!$C$3:$G$17,5,FALSE)/100))*L45)</f>
        <v>648.12663223607751</v>
      </c>
      <c r="O45" s="753">
        <f>IF($C45="other",$C$7*L45,(VLOOKUP($C45,'S3 - Screening Tool Metrics'!$C$3:$G$17,5,FALSE)/100)*L45)</f>
        <v>2592.5065289443105</v>
      </c>
      <c r="P45" s="753">
        <f t="shared" si="10"/>
        <v>59.666433347394957</v>
      </c>
      <c r="Q45" s="776">
        <f t="shared" si="36"/>
        <v>720400.4</v>
      </c>
      <c r="R45" s="753">
        <f>VLOOKUP("*"&amp;$B45&amp;"*",'S4 - Summ PRS Characteristics'!$C$21:$Q$28,12,FALSE)*$J45</f>
        <v>1861.8309538802862</v>
      </c>
      <c r="S45" s="753">
        <f t="shared" si="44"/>
        <v>2483.169046119714</v>
      </c>
      <c r="T45" s="753">
        <f>IF($C45="other",(1-$C40)*R45,(1-(VLOOKUP($C45,'S3 - Screening Tool Metrics'!$C$3:$G$17,5,FALSE)/100))*R45)</f>
        <v>372.36619077605718</v>
      </c>
      <c r="U45" s="753">
        <f>IF($C45="other",$C40*R45,(VLOOKUP($C45,'S3 - Screening Tool Metrics'!$C$3:$G$17,5,FALSE)/100)*R45)</f>
        <v>1489.464763104229</v>
      </c>
      <c r="V45" s="777">
        <f t="shared" si="37"/>
        <v>34.279971532893647</v>
      </c>
      <c r="W45" s="753">
        <f t="shared" si="38"/>
        <v>360200.2</v>
      </c>
      <c r="X45" s="753">
        <f>VLOOKUP("*"&amp;$B45&amp;"*",'S4 - Summ PRS Characteristics'!$C$21:$Q$28,13,FALSE)*$J45</f>
        <v>1162.6679304544734</v>
      </c>
      <c r="Y45" s="753">
        <f t="shared" si="45"/>
        <v>3182.3320695455268</v>
      </c>
      <c r="Z45" s="753">
        <f>IF($C45="other",(1-$C40)*X45,(1-(VLOOKUP($C45,'S3 - Screening Tool Metrics'!$C$3:$G$17,5,FALSE)/100))*X45)</f>
        <v>232.53358609089463</v>
      </c>
      <c r="AA45" s="753">
        <f>IF($C45="other",$C40*X45,(VLOOKUP($C45,'S3 - Screening Tool Metrics'!$C$3:$G$17,5,FALSE)/100)*X45)</f>
        <v>930.13434436357875</v>
      </c>
      <c r="AB45" s="777">
        <f t="shared" si="39"/>
        <v>21.407004473269936</v>
      </c>
      <c r="AC45" s="776">
        <f t="shared" si="40"/>
        <v>180100.1</v>
      </c>
      <c r="AD45" s="753">
        <f>VLOOKUP("*"&amp;$B45&amp;"*",'S4 - Summ PRS Characteristics'!$C$21:$Q$28,14,FALSE)*$J45</f>
        <v>706.92500697376215</v>
      </c>
      <c r="AE45" s="753">
        <f t="shared" si="47"/>
        <v>3638.0749930262377</v>
      </c>
      <c r="AF45" s="753">
        <f>IF($C45="other",(1-$C40)*AD45,(1-(VLOOKUP($C45,'S3 - Screening Tool Metrics'!$C$3:$G$17,5,FALSE)/100))*AD45)</f>
        <v>141.38500139475241</v>
      </c>
      <c r="AG45" s="753">
        <f>IF($C45="other",$C40*AD45,(VLOOKUP($C45,'S3 - Screening Tool Metrics'!$C$3:$G$17,5,FALSE)/100)*AD45)</f>
        <v>565.54000557900974</v>
      </c>
      <c r="AH45" s="777">
        <f t="shared" si="41"/>
        <v>13.015880450610121</v>
      </c>
      <c r="AI45" s="776">
        <f t="shared" si="42"/>
        <v>36020.020000000004</v>
      </c>
      <c r="AJ45" s="753">
        <f>VLOOKUP("*"&amp;$B45&amp;"*",'S4 - Summ PRS Characteristics'!$C$21:$Q$28,15,FALSE)*$J45</f>
        <v>208.40431976997598</v>
      </c>
      <c r="AK45" s="753">
        <f t="shared" si="46"/>
        <v>4136.5956802300243</v>
      </c>
      <c r="AL45" s="753">
        <f>IF($C45="other",(1-$C40)*AJ45,(1-(VLOOKUP($C45,'S3 - Screening Tool Metrics'!$C$3:$G$17,5,FALSE)/100))*AJ45)</f>
        <v>41.680863953995186</v>
      </c>
      <c r="AM45" s="753">
        <f>IF($C45="other",$C40*AJ45,(VLOOKUP($C45,'S3 - Screening Tool Metrics'!$C$3:$G$17,5,FALSE)/100)*AJ45)</f>
        <v>166.7234558159808</v>
      </c>
      <c r="AN45" s="778">
        <f t="shared" si="43"/>
        <v>3.8371336206209619</v>
      </c>
    </row>
    <row r="46" spans="2:40" x14ac:dyDescent="0.2">
      <c r="B46" s="768" t="s">
        <v>11</v>
      </c>
      <c r="C46" s="779" t="str">
        <f>$C41</f>
        <v>Other</v>
      </c>
      <c r="D46" s="780" t="s">
        <v>197</v>
      </c>
      <c r="E46" s="781">
        <f>VLOOKUP($B46&amp;"_"&amp;$D46,'App5 - CRUK Inci Rates'!C:H,6,FALSE)</f>
        <v>198.3</v>
      </c>
      <c r="F46" s="782">
        <f>VLOOKUP($B46&amp;"_"&amp;$D46,'App5 - CRUK Inci Rates'!C:H,3,FALSE)</f>
        <v>119.1</v>
      </c>
      <c r="G46" s="783">
        <f>VLOOKUP($B46&amp;"_"&amp;$D46,'App5 - CRUK Inci Rates'!C:J,8,FALSE)</f>
        <v>3502183.333333333</v>
      </c>
      <c r="H46" s="784">
        <f>VLOOKUP($B46&amp;"_"&amp;$D46,'App5 - CRUK Inci Rates'!C:J,7,FALSE)</f>
        <v>1696993.3333333333</v>
      </c>
      <c r="I46" s="784">
        <f>VLOOKUP($B46&amp;"_"&amp;$D46,'App5 - CRUK Inci Rates'!C:J,4,FALSE)</f>
        <v>1805190</v>
      </c>
      <c r="J46" s="778">
        <f>VLOOKUP($B46&amp;"_"&amp;$D46,'App5 - CRUK Inci Rates'!C:K,9,FALSE)</f>
        <v>5516</v>
      </c>
      <c r="K46" s="753">
        <f t="shared" si="8"/>
        <v>1751091.6666666665</v>
      </c>
      <c r="L46" s="753">
        <f>VLOOKUP("*"&amp;$B46&amp;"*",'S4 - Summ PRS Characteristics'!$C$21:$Q$28,11,FALSE)*$J46</f>
        <v>4114.0005793028813</v>
      </c>
      <c r="M46" s="753">
        <f t="shared" si="9"/>
        <v>1401.9994206971187</v>
      </c>
      <c r="N46" s="753">
        <f>IF($C46="other",(1-$C$7)*L46,(1-(VLOOKUP($C46,'S3 - Screening Tool Metrics'!$C$3:$G$17,5,FALSE)/100))*L46)</f>
        <v>822.80011586057606</v>
      </c>
      <c r="O46" s="753">
        <f>IF($C46="other",$C$7*L46,(VLOOKUP($C46,'S3 - Screening Tool Metrics'!$C$3:$G$17,5,FALSE)/100)*L46)</f>
        <v>3291.2004634423051</v>
      </c>
      <c r="P46" s="753">
        <f t="shared" si="10"/>
        <v>59.666433347394943</v>
      </c>
      <c r="Q46" s="776">
        <f t="shared" si="36"/>
        <v>700436.66666666663</v>
      </c>
      <c r="R46" s="753">
        <f>VLOOKUP("*"&amp;$B46&amp;"*",'S4 - Summ PRS Characteristics'!$C$21:$Q$28,12,FALSE)*$J46</f>
        <v>2363.6040371930171</v>
      </c>
      <c r="S46" s="753">
        <f t="shared" si="44"/>
        <v>3152.3959628069829</v>
      </c>
      <c r="T46" s="753">
        <f>IF($C46="other",(1-$C40)*R46,(1-(VLOOKUP($C46,'S3 - Screening Tool Metrics'!$C$3:$G$17,5,FALSE)/100))*R46)</f>
        <v>472.72080743860334</v>
      </c>
      <c r="U46" s="753">
        <f>IF($C46="other",$C40*R46,(VLOOKUP($C46,'S3 - Screening Tool Metrics'!$C$3:$G$17,5,FALSE)/100)*R46)</f>
        <v>1890.8832297544138</v>
      </c>
      <c r="V46" s="777">
        <f t="shared" si="37"/>
        <v>34.279971532893647</v>
      </c>
      <c r="W46" s="753">
        <f t="shared" si="38"/>
        <v>350218.33333333331</v>
      </c>
      <c r="X46" s="753">
        <f>VLOOKUP("*"&amp;$B46&amp;"*",'S4 - Summ PRS Characteristics'!$C$21:$Q$28,13,FALSE)*$J46</f>
        <v>1476.012958431962</v>
      </c>
      <c r="Y46" s="753">
        <f t="shared" si="45"/>
        <v>4039.987041568038</v>
      </c>
      <c r="Z46" s="753">
        <f>IF($C46="other",(1-$C40)*X46,(1-(VLOOKUP($C46,'S3 - Screening Tool Metrics'!$C$3:$G$17,5,FALSE)/100))*X46)</f>
        <v>295.20259168639234</v>
      </c>
      <c r="AA46" s="753">
        <f>IF($C46="other",$C40*X46,(VLOOKUP($C46,'S3 - Screening Tool Metrics'!$C$3:$G$17,5,FALSE)/100)*X46)</f>
        <v>1180.8103667455696</v>
      </c>
      <c r="AB46" s="777">
        <f t="shared" si="39"/>
        <v>21.407004473269932</v>
      </c>
      <c r="AC46" s="776">
        <f t="shared" si="40"/>
        <v>175109.16666666666</v>
      </c>
      <c r="AD46" s="753">
        <f>VLOOKUP("*"&amp;$B46&amp;"*",'S4 - Summ PRS Characteristics'!$C$21:$Q$28,14,FALSE)*$J46</f>
        <v>897.44495706956775</v>
      </c>
      <c r="AE46" s="753">
        <f t="shared" si="47"/>
        <v>4618.5550429304321</v>
      </c>
      <c r="AF46" s="753">
        <f>IF($C46="other",(1-$C40)*AD46,(1-(VLOOKUP($C46,'S3 - Screening Tool Metrics'!$C$3:$G$17,5,FALSE)/100))*AD46)</f>
        <v>179.48899141391351</v>
      </c>
      <c r="AG46" s="753">
        <f>IF($C46="other",$C40*AD46,(VLOOKUP($C46,'S3 - Screening Tool Metrics'!$C$3:$G$17,5,FALSE)/100)*AD46)</f>
        <v>717.95596565565427</v>
      </c>
      <c r="AH46" s="777">
        <f t="shared" si="41"/>
        <v>13.015880450610121</v>
      </c>
      <c r="AI46" s="776">
        <f t="shared" si="42"/>
        <v>35021.833333333328</v>
      </c>
      <c r="AJ46" s="753">
        <f>VLOOKUP("*"&amp;$B46&amp;"*",'S4 - Summ PRS Characteristics'!$C$21:$Q$28,15,FALSE)*$J46</f>
        <v>264.57036314181528</v>
      </c>
      <c r="AK46" s="753">
        <f t="shared" si="46"/>
        <v>5251.4296368581845</v>
      </c>
      <c r="AL46" s="753">
        <f>IF($C46="other",(1-$C40)*AJ46,(1-(VLOOKUP($C46,'S3 - Screening Tool Metrics'!$C$3:$G$17,5,FALSE)/100))*AJ46)</f>
        <v>52.914072628363044</v>
      </c>
      <c r="AM46" s="753">
        <f>IF($C46="other",$C40*AJ46,(VLOOKUP($C46,'S3 - Screening Tool Metrics'!$C$3:$G$17,5,FALSE)/100)*AJ46)</f>
        <v>211.65629051345223</v>
      </c>
      <c r="AN46" s="778">
        <f t="shared" si="43"/>
        <v>3.8371336206209619</v>
      </c>
    </row>
    <row r="47" spans="2:40" x14ac:dyDescent="0.2">
      <c r="B47" s="768" t="s">
        <v>11</v>
      </c>
      <c r="C47" s="779" t="str">
        <f>$C41</f>
        <v>Other</v>
      </c>
      <c r="D47" s="780" t="s">
        <v>198</v>
      </c>
      <c r="E47" s="781">
        <f>VLOOKUP($B47&amp;"_"&amp;$D47,'App5 - CRUK Inci Rates'!C:H,6,FALSE)</f>
        <v>273.5</v>
      </c>
      <c r="F47" s="782">
        <f>VLOOKUP($B47&amp;"_"&amp;$D47,'App5 - CRUK Inci Rates'!C:H,3,FALSE)</f>
        <v>171.2</v>
      </c>
      <c r="G47" s="783">
        <f>VLOOKUP($B47&amp;"_"&amp;$D47,'App5 - CRUK Inci Rates'!C:J,8,FALSE)</f>
        <v>3071574.666666667</v>
      </c>
      <c r="H47" s="784">
        <f>VLOOKUP($B47&amp;"_"&amp;$D47,'App5 - CRUK Inci Rates'!C:J,7,FALSE)</f>
        <v>1467965</v>
      </c>
      <c r="I47" s="784">
        <f>VLOOKUP($B47&amp;"_"&amp;$D47,'App5 - CRUK Inci Rates'!C:J,4,FALSE)</f>
        <v>1603609.6666666667</v>
      </c>
      <c r="J47" s="778">
        <f>VLOOKUP($B47&amp;"_"&amp;$D47,'App5 - CRUK Inci Rates'!C:K,9,FALSE)</f>
        <v>6760</v>
      </c>
      <c r="K47" s="753">
        <f t="shared" si="8"/>
        <v>1535787.3333333335</v>
      </c>
      <c r="L47" s="753">
        <f>VLOOKUP("*"&amp;$B47&amp;"*",'S4 - Summ PRS Characteristics'!$C$21:$Q$28,11,FALSE)*$J47</f>
        <v>5041.813617854873</v>
      </c>
      <c r="M47" s="753">
        <f t="shared" si="9"/>
        <v>1718.186382145127</v>
      </c>
      <c r="N47" s="753">
        <f>IF($C47="other",(1-$C$7)*L47,(1-(VLOOKUP($C47,'S3 - Screening Tool Metrics'!$C$3:$G$17,5,FALSE)/100))*L47)</f>
        <v>1008.3627235709744</v>
      </c>
      <c r="O47" s="753">
        <f>IF($C47="other",$C$7*L47,(VLOOKUP($C47,'S3 - Screening Tool Metrics'!$C$3:$G$17,5,FALSE)/100)*L47)</f>
        <v>4033.4508942838984</v>
      </c>
      <c r="P47" s="753">
        <f t="shared" si="10"/>
        <v>59.666433347394943</v>
      </c>
      <c r="Q47" s="776">
        <f t="shared" si="36"/>
        <v>614314.93333333347</v>
      </c>
      <c r="R47" s="753">
        <f>VLOOKUP("*"&amp;$B47&amp;"*",'S4 - Summ PRS Characteristics'!$C$21:$Q$28,12,FALSE)*$J47</f>
        <v>2896.6575945295131</v>
      </c>
      <c r="S47" s="753">
        <f t="shared" si="44"/>
        <v>3863.3424054704869</v>
      </c>
      <c r="T47" s="753">
        <f>IF($C47="other",(1-$C40)*R47,(1-(VLOOKUP($C47,'S3 - Screening Tool Metrics'!$C$3:$G$17,5,FALSE)/100))*R47)</f>
        <v>579.3315189059025</v>
      </c>
      <c r="U47" s="753">
        <f>IF($C47="other",$C40*R47,(VLOOKUP($C47,'S3 - Screening Tool Metrics'!$C$3:$G$17,5,FALSE)/100)*R47)</f>
        <v>2317.3260756236104</v>
      </c>
      <c r="V47" s="777">
        <f t="shared" si="37"/>
        <v>34.279971532893647</v>
      </c>
      <c r="W47" s="753">
        <f t="shared" si="38"/>
        <v>307157.46666666673</v>
      </c>
      <c r="X47" s="753">
        <f>VLOOKUP("*"&amp;$B47&amp;"*",'S4 - Summ PRS Characteristics'!$C$21:$Q$28,13,FALSE)*$J47</f>
        <v>1808.8918779913095</v>
      </c>
      <c r="Y47" s="753">
        <f t="shared" si="45"/>
        <v>4951.1081220086908</v>
      </c>
      <c r="Z47" s="753">
        <f>IF($C47="other",(1-$C40)*X47,(1-(VLOOKUP($C47,'S3 - Screening Tool Metrics'!$C$3:$G$17,5,FALSE)/100))*X47)</f>
        <v>361.77837559826179</v>
      </c>
      <c r="AA47" s="753">
        <f>IF($C47="other",$C40*X47,(VLOOKUP($C47,'S3 - Screening Tool Metrics'!$C$3:$G$17,5,FALSE)/100)*X47)</f>
        <v>1447.1135023930476</v>
      </c>
      <c r="AB47" s="777">
        <f t="shared" si="39"/>
        <v>21.407004473269936</v>
      </c>
      <c r="AC47" s="776">
        <f t="shared" si="40"/>
        <v>153578.73333333337</v>
      </c>
      <c r="AD47" s="753">
        <f>VLOOKUP("*"&amp;$B47&amp;"*",'S4 - Summ PRS Characteristics'!$C$21:$Q$28,14,FALSE)*$J47</f>
        <v>1099.8418980765553</v>
      </c>
      <c r="AE47" s="753">
        <f t="shared" si="47"/>
        <v>5660.1581019234445</v>
      </c>
      <c r="AF47" s="753">
        <f>IF($C47="other",(1-$C40)*AD47,(1-(VLOOKUP($C47,'S3 - Screening Tool Metrics'!$C$3:$G$17,5,FALSE)/100))*AD47)</f>
        <v>219.96837961531099</v>
      </c>
      <c r="AG47" s="753">
        <f>IF($C47="other",$C40*AD47,(VLOOKUP($C47,'S3 - Screening Tool Metrics'!$C$3:$G$17,5,FALSE)/100)*AD47)</f>
        <v>879.8735184612442</v>
      </c>
      <c r="AH47" s="777">
        <f t="shared" si="41"/>
        <v>13.015880450610121</v>
      </c>
      <c r="AI47" s="776">
        <f t="shared" si="42"/>
        <v>30715.74666666667</v>
      </c>
      <c r="AJ47" s="753">
        <f>VLOOKUP("*"&amp;$B47&amp;"*",'S4 - Summ PRS Characteristics'!$C$21:$Q$28,15,FALSE)*$J47</f>
        <v>324.23779094247124</v>
      </c>
      <c r="AK47" s="753">
        <f t="shared" si="46"/>
        <v>6435.7622090575287</v>
      </c>
      <c r="AL47" s="753">
        <f>IF($C47="other",(1-$C40)*AJ47,(1-(VLOOKUP($C47,'S3 - Screening Tool Metrics'!$C$3:$G$17,5,FALSE)/100))*AJ47)</f>
        <v>64.847558188494233</v>
      </c>
      <c r="AM47" s="753">
        <f>IF($C47="other",$C40*AJ47,(VLOOKUP($C47,'S3 - Screening Tool Metrics'!$C$3:$G$17,5,FALSE)/100)*AJ47)</f>
        <v>259.39023275397699</v>
      </c>
      <c r="AN47" s="778">
        <f t="shared" si="43"/>
        <v>3.837133620620961</v>
      </c>
    </row>
    <row r="48" spans="2:40" x14ac:dyDescent="0.2">
      <c r="B48" s="768" t="s">
        <v>11</v>
      </c>
      <c r="C48" s="779" t="str">
        <f>$C41</f>
        <v>Other</v>
      </c>
      <c r="D48" s="780" t="s">
        <v>199</v>
      </c>
      <c r="E48" s="781">
        <f>VLOOKUP($B48&amp;"_"&amp;$D48,'App5 - CRUK Inci Rates'!C:H,6,FALSE)</f>
        <v>351.7</v>
      </c>
      <c r="F48" s="782">
        <f>VLOOKUP($B48&amp;"_"&amp;$D48,'App5 - CRUK Inci Rates'!C:H,3,FALSE)</f>
        <v>234.8</v>
      </c>
      <c r="G48" s="783">
        <f>VLOOKUP($B48&amp;"_"&amp;$D48,'App5 - CRUK Inci Rates'!C:J,8,FALSE)</f>
        <v>2189010.6666666665</v>
      </c>
      <c r="H48" s="784">
        <f>VLOOKUP($B48&amp;"_"&amp;$D48,'App5 - CRUK Inci Rates'!C:J,7,FALSE)</f>
        <v>1007365.3333333334</v>
      </c>
      <c r="I48" s="784">
        <f>VLOOKUP($B48&amp;"_"&amp;$D48,'App5 - CRUK Inci Rates'!C:J,4,FALSE)</f>
        <v>1181645.3333333333</v>
      </c>
      <c r="J48" s="778">
        <f>VLOOKUP($B48&amp;"_"&amp;$D48,'App5 - CRUK Inci Rates'!C:K,9,FALSE)</f>
        <v>6318</v>
      </c>
      <c r="K48" s="753">
        <f t="shared" si="8"/>
        <v>1094505.3333333333</v>
      </c>
      <c r="L48" s="753">
        <f>VLOOKUP("*"&amp;$B48&amp;"*",'S4 - Summ PRS Characteristics'!$C$21:$Q$28,11,FALSE)*$J48</f>
        <v>4712.1565736105158</v>
      </c>
      <c r="M48" s="753">
        <f t="shared" si="9"/>
        <v>1605.8434263894842</v>
      </c>
      <c r="N48" s="753">
        <f>IF($C48="other",(1-$C$7)*L48,(1-(VLOOKUP($C48,'S3 - Screening Tool Metrics'!$C$3:$G$17,5,FALSE)/100))*L48)</f>
        <v>942.43131472210291</v>
      </c>
      <c r="O48" s="753">
        <f>IF($C48="other",$C$7*L48,(VLOOKUP($C48,'S3 - Screening Tool Metrics'!$C$3:$G$17,5,FALSE)/100)*L48)</f>
        <v>3769.725258888413</v>
      </c>
      <c r="P48" s="753">
        <f t="shared" si="10"/>
        <v>59.666433347394957</v>
      </c>
      <c r="Q48" s="776">
        <f t="shared" si="36"/>
        <v>437802.1333333333</v>
      </c>
      <c r="R48" s="753">
        <f>VLOOKUP("*"&amp;$B48&amp;"*",'S4 - Summ PRS Characteristics'!$C$21:$Q$28,12,FALSE)*$J48</f>
        <v>2707.2607518102759</v>
      </c>
      <c r="S48" s="753">
        <f t="shared" si="44"/>
        <v>3610.7392481897241</v>
      </c>
      <c r="T48" s="753">
        <f>IF($C48="other",(1-$C40)*R48,(1-(VLOOKUP($C48,'S3 - Screening Tool Metrics'!$C$3:$G$17,5,FALSE)/100))*R48)</f>
        <v>541.45215036205502</v>
      </c>
      <c r="U48" s="753">
        <f>IF($C48="other",$C40*R48,(VLOOKUP($C48,'S3 - Screening Tool Metrics'!$C$3:$G$17,5,FALSE)/100)*R48)</f>
        <v>2165.808601448221</v>
      </c>
      <c r="V48" s="777">
        <f t="shared" si="37"/>
        <v>34.279971532893654</v>
      </c>
      <c r="W48" s="753">
        <f t="shared" si="38"/>
        <v>218901.06666666665</v>
      </c>
      <c r="X48" s="753">
        <f>VLOOKUP("*"&amp;$B48&amp;"*",'S4 - Summ PRS Characteristics'!$C$21:$Q$28,13,FALSE)*$J48</f>
        <v>1690.6181782764932</v>
      </c>
      <c r="Y48" s="753">
        <f t="shared" si="45"/>
        <v>4627.3818217235066</v>
      </c>
      <c r="Z48" s="753">
        <f>IF($C48="other",(1-$C40)*X48,(1-(VLOOKUP($C48,'S3 - Screening Tool Metrics'!$C$3:$G$17,5,FALSE)/100))*X48)</f>
        <v>338.12363565529853</v>
      </c>
      <c r="AA48" s="753">
        <f>IF($C48="other",$C40*X48,(VLOOKUP($C48,'S3 - Screening Tool Metrics'!$C$3:$G$17,5,FALSE)/100)*X48)</f>
        <v>1352.4945426211946</v>
      </c>
      <c r="AB48" s="777">
        <f t="shared" si="39"/>
        <v>21.407004473269936</v>
      </c>
      <c r="AC48" s="776">
        <f t="shared" si="40"/>
        <v>109450.53333333333</v>
      </c>
      <c r="AD48" s="753">
        <f>VLOOKUP("*"&amp;$B48&amp;"*",'S4 - Summ PRS Characteristics'!$C$21:$Q$28,14,FALSE)*$J48</f>
        <v>1027.9291585869341</v>
      </c>
      <c r="AE48" s="753">
        <f t="shared" si="47"/>
        <v>5290.0708414130659</v>
      </c>
      <c r="AF48" s="753">
        <f>IF($C48="other",(1-$C40)*AD48,(1-(VLOOKUP($C48,'S3 - Screening Tool Metrics'!$C$3:$G$17,5,FALSE)/100))*AD48)</f>
        <v>205.58583171738678</v>
      </c>
      <c r="AG48" s="753">
        <f>IF($C48="other",$C40*AD48,(VLOOKUP($C48,'S3 - Screening Tool Metrics'!$C$3:$G$17,5,FALSE)/100)*AD48)</f>
        <v>822.34332686954735</v>
      </c>
      <c r="AH48" s="777">
        <f t="shared" si="41"/>
        <v>13.015880450610121</v>
      </c>
      <c r="AI48" s="776">
        <f t="shared" si="42"/>
        <v>21890.106666666667</v>
      </c>
      <c r="AJ48" s="753">
        <f>VLOOKUP("*"&amp;$B48&amp;"*",'S4 - Summ PRS Characteristics'!$C$21:$Q$28,15,FALSE)*$J48</f>
        <v>303.03762768854045</v>
      </c>
      <c r="AK48" s="753">
        <f t="shared" si="46"/>
        <v>6014.9623723114591</v>
      </c>
      <c r="AL48" s="753">
        <f>IF($C48="other",(1-$C40)*AJ48,(1-(VLOOKUP($C48,'S3 - Screening Tool Metrics'!$C$3:$G$17,5,FALSE)/100))*AJ48)</f>
        <v>60.607525537708078</v>
      </c>
      <c r="AM48" s="753">
        <f>IF($C48="other",$C40*AJ48,(VLOOKUP($C48,'S3 - Screening Tool Metrics'!$C$3:$G$17,5,FALSE)/100)*AJ48)</f>
        <v>242.43010215083237</v>
      </c>
      <c r="AN48" s="778">
        <f t="shared" si="43"/>
        <v>3.8371336206209619</v>
      </c>
    </row>
    <row r="49" spans="2:44" x14ac:dyDescent="0.2">
      <c r="B49" s="768" t="s">
        <v>11</v>
      </c>
      <c r="C49" s="779" t="str">
        <f>$C41</f>
        <v>Other</v>
      </c>
      <c r="D49" s="780" t="s">
        <v>200</v>
      </c>
      <c r="E49" s="781">
        <f>VLOOKUP($B49&amp;"_"&amp;$D49,'App5 - CRUK Inci Rates'!C:H,6,FALSE)</f>
        <v>80.808733585157356</v>
      </c>
      <c r="F49" s="782">
        <f>VLOOKUP($B49&amp;"_"&amp;$D49,'App5 - CRUK Inci Rates'!C:H,3,FALSE)</f>
        <v>54.095614158070582</v>
      </c>
      <c r="G49" s="783">
        <f>VLOOKUP($B49&amp;"_"&amp;$D49,'App5 - CRUK Inci Rates'!C:J,8,FALSE)</f>
        <v>24586669.333333336</v>
      </c>
      <c r="H49" s="784">
        <f>VLOOKUP($B49&amp;"_"&amp;$D49,'App5 - CRUK Inci Rates'!C:J,7,FALSE)</f>
        <v>12090277.333333334</v>
      </c>
      <c r="I49" s="784">
        <f>VLOOKUP($B49&amp;"_"&amp;$D49,'App5 - CRUK Inci Rates'!C:J,4,FALSE)</f>
        <v>12496392</v>
      </c>
      <c r="J49" s="778">
        <f>VLOOKUP($B49&amp;"_"&amp;$D49,'App5 - CRUK Inci Rates'!C:K,9,FALSE)</f>
        <v>16530</v>
      </c>
      <c r="K49" s="753">
        <f t="shared" si="8"/>
        <v>12293334.666666668</v>
      </c>
      <c r="L49" s="753">
        <f>VLOOKUP("*"&amp;$B49&amp;"*",'S4 - Summ PRS Characteristics'!$C$21:$Q$28,11,FALSE)*$J49</f>
        <v>12328.576790405479</v>
      </c>
      <c r="M49" s="753">
        <f t="shared" si="9"/>
        <v>4201.4232095945208</v>
      </c>
      <c r="N49" s="753">
        <f>IF($C49="other",(1-$C$7)*L49,(1-(VLOOKUP($C49,'S3 - Screening Tool Metrics'!$C$3:$G$17,5,FALSE)/100))*L49)</f>
        <v>2465.7153580810955</v>
      </c>
      <c r="O49" s="753">
        <f>IF($C49="other",$C$7*L49,(VLOOKUP($C49,'S3 - Screening Tool Metrics'!$C$3:$G$17,5,FALSE)/100)*L49)</f>
        <v>9862.8614323243837</v>
      </c>
      <c r="P49" s="753">
        <f t="shared" si="10"/>
        <v>59.666433347394943</v>
      </c>
      <c r="Q49" s="776">
        <f t="shared" si="36"/>
        <v>4917333.8666666672</v>
      </c>
      <c r="R49" s="753">
        <f>VLOOKUP("*"&amp;$B49&amp;"*",'S4 - Summ PRS Characteristics'!$C$21:$Q$28,12,FALSE)*$J49</f>
        <v>7083.0991179841494</v>
      </c>
      <c r="S49" s="753">
        <f t="shared" si="44"/>
        <v>9446.9008820158506</v>
      </c>
      <c r="T49" s="753">
        <f>IF($C49="other",(1-$C40)*R49,(1-(VLOOKUP($C49,'S3 - Screening Tool Metrics'!$C$3:$G$17,5,FALSE)/100))*R49)</f>
        <v>1416.6198235968295</v>
      </c>
      <c r="U49" s="753">
        <f>IF($C49="other",$C40*R49,(VLOOKUP($C49,'S3 - Screening Tool Metrics'!$C$3:$G$17,5,FALSE)/100)*R49)</f>
        <v>5666.4792943873199</v>
      </c>
      <c r="V49" s="777">
        <f t="shared" si="37"/>
        <v>34.279971532893647</v>
      </c>
      <c r="W49" s="753">
        <f t="shared" si="38"/>
        <v>2458666.9333333336</v>
      </c>
      <c r="X49" s="753">
        <f>VLOOKUP("*"&amp;$B49&amp;"*",'S4 - Summ PRS Characteristics'!$C$21:$Q$28,13,FALSE)*$J49</f>
        <v>4423.2222992894003</v>
      </c>
      <c r="Y49" s="753">
        <f t="shared" si="45"/>
        <v>12106.7777007106</v>
      </c>
      <c r="Z49" s="753">
        <f>IF($C49="other",(1-$C40)*X49,(1-(VLOOKUP($C49,'S3 - Screening Tool Metrics'!$C$3:$G$17,5,FALSE)/100))*X49)</f>
        <v>884.64445985787984</v>
      </c>
      <c r="AA49" s="753">
        <f>IF($C49="other",$C40*X49,(VLOOKUP($C49,'S3 - Screening Tool Metrics'!$C$3:$G$17,5,FALSE)/100)*X49)</f>
        <v>3538.5778394315203</v>
      </c>
      <c r="AB49" s="777">
        <f t="shared" si="39"/>
        <v>21.407004473269936</v>
      </c>
      <c r="AC49" s="776">
        <f t="shared" si="40"/>
        <v>1229333.4666666668</v>
      </c>
      <c r="AD49" s="753">
        <f>VLOOKUP("*"&amp;$B49&amp;"*",'S4 - Summ PRS Characteristics'!$C$21:$Q$28,14,FALSE)*$J49</f>
        <v>2689.4062981073162</v>
      </c>
      <c r="AE49" s="753">
        <f t="shared" si="47"/>
        <v>13840.593701892683</v>
      </c>
      <c r="AF49" s="753">
        <f>IF($C49="other",(1-$C40)*AD49,(1-(VLOOKUP($C49,'S3 - Screening Tool Metrics'!$C$3:$G$17,5,FALSE)/100))*AD49)</f>
        <v>537.88125962146307</v>
      </c>
      <c r="AG49" s="753">
        <f>IF($C49="other",$C40*AD49,(VLOOKUP($C49,'S3 - Screening Tool Metrics'!$C$3:$G$17,5,FALSE)/100)*AD49)</f>
        <v>2151.5250384858532</v>
      </c>
      <c r="AH49" s="777">
        <f t="shared" si="41"/>
        <v>13.015880450610123</v>
      </c>
      <c r="AI49" s="776">
        <f t="shared" si="42"/>
        <v>245866.69333333336</v>
      </c>
      <c r="AJ49" s="753">
        <f>VLOOKUP("*"&amp;$B49&amp;"*",'S4 - Summ PRS Characteristics'!$C$21:$Q$28,15,FALSE)*$J49</f>
        <v>792.84773436080616</v>
      </c>
      <c r="AK49" s="753">
        <f t="shared" si="46"/>
        <v>15737.152265639194</v>
      </c>
      <c r="AL49" s="753">
        <f>IF($C49="other",(1-$C40)*AJ49,(1-(VLOOKUP($C49,'S3 - Screening Tool Metrics'!$C$3:$G$17,5,FALSE)/100))*AJ49)</f>
        <v>158.5695468721612</v>
      </c>
      <c r="AM49" s="753">
        <f>IF($C49="other",$C40*AJ49,(VLOOKUP($C49,'S3 - Screening Tool Metrics'!$C$3:$G$17,5,FALSE)/100)*AJ49)</f>
        <v>634.27818748864502</v>
      </c>
      <c r="AN49" s="778">
        <f t="shared" si="43"/>
        <v>3.8371336206209619</v>
      </c>
    </row>
    <row r="50" spans="2:44" x14ac:dyDescent="0.2">
      <c r="B50" s="768" t="s">
        <v>11</v>
      </c>
      <c r="C50" s="779" t="str">
        <f>$C41</f>
        <v>Other</v>
      </c>
      <c r="D50" s="780" t="s">
        <v>201</v>
      </c>
      <c r="E50" s="781">
        <f>VLOOKUP($B50&amp;"_"&amp;$D50,'App5 - CRUK Inci Rates'!C:H,6,FALSE)</f>
        <v>19.704826996143439</v>
      </c>
      <c r="F50" s="782">
        <f>VLOOKUP($B50&amp;"_"&amp;$D50,'App5 - CRUK Inci Rates'!C:H,3,FALSE)</f>
        <v>17.735760510936363</v>
      </c>
      <c r="G50" s="783">
        <f>VLOOKUP($B50&amp;"_"&amp;$D50,'App5 - CRUK Inci Rates'!C:J,8,FALSE)</f>
        <v>8642767.333333334</v>
      </c>
      <c r="H50" s="784">
        <f>VLOOKUP($B50&amp;"_"&amp;$D50,'App5 - CRUK Inci Rates'!C:J,7,FALSE)</f>
        <v>4273064.666666667</v>
      </c>
      <c r="I50" s="784">
        <f>VLOOKUP($B50&amp;"_"&amp;$D50,'App5 - CRUK Inci Rates'!C:J,4,FALSE)</f>
        <v>4369702.666666667</v>
      </c>
      <c r="J50" s="778">
        <f>VLOOKUP($B50&amp;"_"&amp;$D50,'App5 - CRUK Inci Rates'!C:K,9,FALSE)</f>
        <v>1617</v>
      </c>
      <c r="K50" s="753">
        <f t="shared" si="8"/>
        <v>4321383.666666667</v>
      </c>
      <c r="L50" s="753">
        <f>VLOOKUP("*"&amp;$B50&amp;"*",'S4 - Summ PRS Characteristics'!$C$21:$Q$28,11,FALSE)*$J50</f>
        <v>1206.0077840342203</v>
      </c>
      <c r="M50" s="753">
        <f t="shared" si="9"/>
        <v>410.99221596577968</v>
      </c>
      <c r="N50" s="753">
        <f>IF($C50="other",(1-$C$7)*L50,(1-(VLOOKUP($C50,'S3 - Screening Tool Metrics'!$C$3:$G$17,5,FALSE)/100))*L50)</f>
        <v>241.20155680684402</v>
      </c>
      <c r="O50" s="753">
        <f>IF($C50="other",$C$7*L50,(VLOOKUP($C50,'S3 - Screening Tool Metrics'!$C$3:$G$17,5,FALSE)/100)*L50)</f>
        <v>964.80622722737633</v>
      </c>
      <c r="P50" s="753">
        <f t="shared" si="10"/>
        <v>59.666433347394957</v>
      </c>
      <c r="Q50" s="776">
        <f t="shared" si="36"/>
        <v>1728553.4666666668</v>
      </c>
      <c r="R50" s="753">
        <f>VLOOKUP("*"&amp;$B50&amp;"*",'S4 - Summ PRS Characteristics'!$C$21:$Q$28,12,FALSE)*$J50</f>
        <v>692.8839246086128</v>
      </c>
      <c r="S50" s="753">
        <f t="shared" si="44"/>
        <v>924.1160753913872</v>
      </c>
      <c r="T50" s="753">
        <f>IF($C50="other",(1-$C40)*R50,(1-(VLOOKUP($C50,'S3 - Screening Tool Metrics'!$C$3:$G$17,5,FALSE)/100))*R50)</f>
        <v>138.57678492172252</v>
      </c>
      <c r="U50" s="753">
        <f>IF($C50="other",$C40*R50,(VLOOKUP($C50,'S3 - Screening Tool Metrics'!$C$3:$G$17,5,FALSE)/100)*R50)</f>
        <v>554.30713968689031</v>
      </c>
      <c r="V50" s="777">
        <f t="shared" si="37"/>
        <v>34.279971532893647</v>
      </c>
      <c r="W50" s="753">
        <f t="shared" si="38"/>
        <v>864276.7333333334</v>
      </c>
      <c r="X50" s="753">
        <f>VLOOKUP("*"&amp;$B50&amp;"*",'S4 - Summ PRS Characteristics'!$C$21:$Q$28,13,FALSE)*$J50</f>
        <v>432.68907791596854</v>
      </c>
      <c r="Y50" s="753">
        <f t="shared" si="45"/>
        <v>1184.3109220840315</v>
      </c>
      <c r="Z50" s="753">
        <f>IF($C50="other",(1-$C40)*X50,(1-(VLOOKUP($C50,'S3 - Screening Tool Metrics'!$C$3:$G$17,5,FALSE)/100))*X50)</f>
        <v>86.537815583193691</v>
      </c>
      <c r="AA50" s="753">
        <f>IF($C50="other",$C40*X50,(VLOOKUP($C50,'S3 - Screening Tool Metrics'!$C$3:$G$17,5,FALSE)/100)*X50)</f>
        <v>346.15126233277488</v>
      </c>
      <c r="AB50" s="777">
        <f t="shared" si="39"/>
        <v>21.407004473269936</v>
      </c>
      <c r="AC50" s="776">
        <f t="shared" si="40"/>
        <v>432138.3666666667</v>
      </c>
      <c r="AD50" s="753">
        <f>VLOOKUP("*"&amp;$B50&amp;"*",'S4 - Summ PRS Characteristics'!$C$21:$Q$28,14,FALSE)*$J50</f>
        <v>263.08348360795708</v>
      </c>
      <c r="AE50" s="753">
        <f t="shared" si="47"/>
        <v>1353.9165163920429</v>
      </c>
      <c r="AF50" s="753">
        <f>IF($C50="other",(1-$C40)*AD50,(1-(VLOOKUP($C50,'S3 - Screening Tool Metrics'!$C$3:$G$17,5,FALSE)/100))*AD50)</f>
        <v>52.616696721591403</v>
      </c>
      <c r="AG50" s="753">
        <f>IF($C50="other",$C40*AD50,(VLOOKUP($C50,'S3 - Screening Tool Metrics'!$C$3:$G$17,5,FALSE)/100)*AD50)</f>
        <v>210.46678688636567</v>
      </c>
      <c r="AH50" s="777">
        <f t="shared" si="41"/>
        <v>13.015880450610121</v>
      </c>
      <c r="AI50" s="776">
        <f t="shared" si="42"/>
        <v>86427.67333333334</v>
      </c>
      <c r="AJ50" s="753">
        <f>VLOOKUP("*"&amp;$B50&amp;"*",'S4 - Summ PRS Characteristics'!$C$21:$Q$28,15,FALSE)*$J50</f>
        <v>77.558063306801188</v>
      </c>
      <c r="AK50" s="753">
        <f t="shared" si="46"/>
        <v>1539.4419366931988</v>
      </c>
      <c r="AL50" s="753">
        <f>IF($C50="other",(1-$C40)*AJ50,(1-(VLOOKUP($C50,'S3 - Screening Tool Metrics'!$C$3:$G$17,5,FALSE)/100))*AJ50)</f>
        <v>15.511612661360234</v>
      </c>
      <c r="AM50" s="753">
        <f>IF($C50="other",$C40*AJ50,(VLOOKUP($C50,'S3 - Screening Tool Metrics'!$C$3:$G$17,5,FALSE)/100)*AJ50)</f>
        <v>62.046450645440956</v>
      </c>
      <c r="AN50" s="778">
        <f t="shared" si="43"/>
        <v>3.8371336206209619</v>
      </c>
    </row>
    <row r="51" spans="2:44" x14ac:dyDescent="0.2">
      <c r="B51" s="768" t="s">
        <v>11</v>
      </c>
      <c r="C51" s="779" t="str">
        <f>$C41</f>
        <v>Other</v>
      </c>
      <c r="D51" s="780" t="s">
        <v>202</v>
      </c>
      <c r="E51" s="781">
        <f>VLOOKUP($B51&amp;"_"&amp;$D51,'App5 - CRUK Inci Rates'!C:H,6,FALSE)</f>
        <v>66.354542653419429</v>
      </c>
      <c r="F51" s="782">
        <f>VLOOKUP($B51&amp;"_"&amp;$D51,'App5 - CRUK Inci Rates'!C:H,3,FALSE)</f>
        <v>48.212380665809548</v>
      </c>
      <c r="G51" s="783">
        <f>VLOOKUP($B51&amp;"_"&amp;$D51,'App5 - CRUK Inci Rates'!C:J,8,FALSE)</f>
        <v>8839716.6666666679</v>
      </c>
      <c r="H51" s="784">
        <f>VLOOKUP($B51&amp;"_"&amp;$D51,'App5 - CRUK Inci Rates'!C:J,7,FALSE)</f>
        <v>4355391.333333333</v>
      </c>
      <c r="I51" s="784">
        <f>VLOOKUP($B51&amp;"_"&amp;$D51,'App5 - CRUK Inci Rates'!C:J,4,FALSE)</f>
        <v>4484325.333333334</v>
      </c>
      <c r="J51" s="778">
        <f>VLOOKUP($B51&amp;"_"&amp;$D51,'App5 - CRUK Inci Rates'!C:K,9,FALSE)</f>
        <v>5052</v>
      </c>
      <c r="K51" s="753">
        <f t="shared" si="8"/>
        <v>4419858.333333334</v>
      </c>
      <c r="L51" s="753">
        <f>VLOOKUP("*"&amp;$B51&amp;"*",'S4 - Summ PRS Characteristics'!$C$21:$Q$28,11,FALSE)*$J51</f>
        <v>3767.9352658879907</v>
      </c>
      <c r="M51" s="753">
        <f t="shared" si="9"/>
        <v>1284.0647341120093</v>
      </c>
      <c r="N51" s="753">
        <f>IF($C51="other",(1-$C$7)*L51,(1-(VLOOKUP($C51,'S3 - Screening Tool Metrics'!$C$3:$G$17,5,FALSE)/100))*L51)</f>
        <v>753.58705317759802</v>
      </c>
      <c r="O51" s="753">
        <f>IF($C51="other",$C$7*L51,(VLOOKUP($C51,'S3 - Screening Tool Metrics'!$C$3:$G$17,5,FALSE)/100)*L51)</f>
        <v>3014.3482127103925</v>
      </c>
      <c r="P51" s="753">
        <f t="shared" si="10"/>
        <v>59.666433347394943</v>
      </c>
      <c r="Q51" s="776">
        <f t="shared" si="36"/>
        <v>1767943.3333333337</v>
      </c>
      <c r="R51" s="753">
        <f>VLOOKUP("*"&amp;$B51&amp;"*",'S4 - Summ PRS Characteristics'!$C$21:$Q$28,12,FALSE)*$J51</f>
        <v>2164.7802023022336</v>
      </c>
      <c r="S51" s="753">
        <f t="shared" si="44"/>
        <v>2887.2197976977664</v>
      </c>
      <c r="T51" s="753">
        <f>IF($C51="other",(1-$C40)*R51,(1-(VLOOKUP($C51,'S3 - Screening Tool Metrics'!$C$3:$G$17,5,FALSE)/100))*R51)</f>
        <v>432.95604046044662</v>
      </c>
      <c r="U51" s="753">
        <f>IF($C51="other",$C40*R51,(VLOOKUP($C51,'S3 - Screening Tool Metrics'!$C$3:$G$17,5,FALSE)/100)*R51)</f>
        <v>1731.8241618417869</v>
      </c>
      <c r="V51" s="777">
        <f t="shared" si="37"/>
        <v>34.279971532893647</v>
      </c>
      <c r="W51" s="753">
        <f t="shared" si="38"/>
        <v>883971.66666666686</v>
      </c>
      <c r="X51" s="753">
        <f>VLOOKUP("*"&amp;$B51&amp;"*",'S4 - Summ PRS Characteristics'!$C$21:$Q$28,13,FALSE)*$J51</f>
        <v>1351.8523324869964</v>
      </c>
      <c r="Y51" s="753">
        <f t="shared" si="45"/>
        <v>3700.1476675130034</v>
      </c>
      <c r="Z51" s="753">
        <f>IF($C51="other",(1-$C40)*X51,(1-(VLOOKUP($C51,'S3 - Screening Tool Metrics'!$C$3:$G$17,5,FALSE)/100))*X51)</f>
        <v>270.37046649739921</v>
      </c>
      <c r="AA51" s="753">
        <f>IF($C51="other",$C40*X51,(VLOOKUP($C51,'S3 - Screening Tool Metrics'!$C$3:$G$17,5,FALSE)/100)*X51)</f>
        <v>1081.4818659895971</v>
      </c>
      <c r="AB51" s="777">
        <f t="shared" si="39"/>
        <v>21.407004473269932</v>
      </c>
      <c r="AC51" s="776">
        <f t="shared" si="40"/>
        <v>441985.83333333343</v>
      </c>
      <c r="AD51" s="753">
        <f>VLOOKUP("*"&amp;$B51&amp;"*",'S4 - Summ PRS Characteristics'!$C$21:$Q$28,14,FALSE)*$J51</f>
        <v>821.95285045602907</v>
      </c>
      <c r="AE51" s="753">
        <f t="shared" si="47"/>
        <v>4230.0471495439706</v>
      </c>
      <c r="AF51" s="753">
        <f>IF($C51="other",(1-$C40)*AD51,(1-(VLOOKUP($C51,'S3 - Screening Tool Metrics'!$C$3:$G$17,5,FALSE)/100))*AD51)</f>
        <v>164.39057009120577</v>
      </c>
      <c r="AG51" s="753">
        <f>IF($C51="other",$C40*AD51,(VLOOKUP($C51,'S3 - Screening Tool Metrics'!$C$3:$G$17,5,FALSE)/100)*AD51)</f>
        <v>657.56228036482332</v>
      </c>
      <c r="AH51" s="777">
        <f t="shared" si="41"/>
        <v>13.015880450610121</v>
      </c>
      <c r="AI51" s="776">
        <f t="shared" si="42"/>
        <v>88397.166666666686</v>
      </c>
      <c r="AJ51" s="753">
        <f>VLOOKUP("*"&amp;$B51&amp;"*",'S4 - Summ PRS Characteristics'!$C$21:$Q$28,15,FALSE)*$J51</f>
        <v>242.31498814221374</v>
      </c>
      <c r="AK51" s="753">
        <f t="shared" si="46"/>
        <v>4809.6850118577859</v>
      </c>
      <c r="AL51" s="753">
        <f>IF($C51="other",(1-$C40)*AJ51,(1-(VLOOKUP($C51,'S3 - Screening Tool Metrics'!$C$3:$G$17,5,FALSE)/100))*AJ51)</f>
        <v>48.462997628442736</v>
      </c>
      <c r="AM51" s="753">
        <f>IF($C51="other",$C40*AJ51,(VLOOKUP($C51,'S3 - Screening Tool Metrics'!$C$3:$G$17,5,FALSE)/100)*AJ51)</f>
        <v>193.851990513771</v>
      </c>
      <c r="AN51" s="778">
        <f t="shared" si="43"/>
        <v>3.8371336206209619</v>
      </c>
    </row>
    <row r="52" spans="2:44" x14ac:dyDescent="0.2">
      <c r="B52" s="768" t="s">
        <v>11</v>
      </c>
      <c r="C52" s="779" t="str">
        <f>$C41</f>
        <v>Other</v>
      </c>
      <c r="D52" s="780" t="s">
        <v>203</v>
      </c>
      <c r="E52" s="781">
        <f>VLOOKUP($B52&amp;"_"&amp;$D52,'App5 - CRUK Inci Rates'!C:H,6,FALSE)</f>
        <v>114.20950638927653</v>
      </c>
      <c r="F52" s="782">
        <f>VLOOKUP($B52&amp;"_"&amp;$D52,'App5 - CRUK Inci Rates'!C:H,3,FALSE)</f>
        <v>73.646226089279153</v>
      </c>
      <c r="G52" s="783">
        <f>VLOOKUP($B52&amp;"_"&amp;$D52,'App5 - CRUK Inci Rates'!C:J,8,FALSE)</f>
        <v>15943902</v>
      </c>
      <c r="H52" s="784">
        <f>VLOOKUP($B52&amp;"_"&amp;$D52,'App5 - CRUK Inci Rates'!C:J,7,FALSE)</f>
        <v>7817212.666666666</v>
      </c>
      <c r="I52" s="784">
        <f>VLOOKUP($B52&amp;"_"&amp;$D52,'App5 - CRUK Inci Rates'!C:J,4,FALSE)</f>
        <v>8126689.333333334</v>
      </c>
      <c r="J52" s="778">
        <f>VLOOKUP($B52&amp;"_"&amp;$D52,'App5 - CRUK Inci Rates'!C:K,9,FALSE)</f>
        <v>14913</v>
      </c>
      <c r="K52" s="753">
        <f t="shared" si="8"/>
        <v>7971951</v>
      </c>
      <c r="L52" s="753">
        <f>VLOOKUP("*"&amp;$B52&amp;"*",'S4 - Summ PRS Characteristics'!$C$21:$Q$28,11,FALSE)*$J52</f>
        <v>11122.569006371259</v>
      </c>
      <c r="M52" s="753">
        <f t="shared" si="9"/>
        <v>3790.4309936287409</v>
      </c>
      <c r="N52" s="753">
        <f>IF($C52="other",(1-$C$7)*L52,(1-(VLOOKUP($C52,'S3 - Screening Tool Metrics'!$C$3:$G$17,5,FALSE)/100))*L52)</f>
        <v>2224.5138012742514</v>
      </c>
      <c r="O52" s="753">
        <f>IF($C52="other",$C$7*L52,(VLOOKUP($C52,'S3 - Screening Tool Metrics'!$C$3:$G$17,5,FALSE)/100)*L52)</f>
        <v>8898.0552050970073</v>
      </c>
      <c r="P52" s="753">
        <f t="shared" si="10"/>
        <v>59.666433347394943</v>
      </c>
      <c r="Q52" s="776">
        <f t="shared" si="36"/>
        <v>3188780.4000000004</v>
      </c>
      <c r="R52" s="753">
        <f>VLOOKUP("*"&amp;$B52&amp;"*",'S4 - Summ PRS Characteristics'!$C$21:$Q$28,12,FALSE)*$J52</f>
        <v>6390.2151933755367</v>
      </c>
      <c r="S52" s="753">
        <f t="shared" si="44"/>
        <v>8522.7848066244624</v>
      </c>
      <c r="T52" s="753">
        <f>IF($C52="other",(1-$C40)*R52,(1-(VLOOKUP($C52,'S3 - Screening Tool Metrics'!$C$3:$G$17,5,FALSE)/100))*R52)</f>
        <v>1278.043038675107</v>
      </c>
      <c r="U52" s="753">
        <f>IF($C52="other",$C40*R52,(VLOOKUP($C52,'S3 - Screening Tool Metrics'!$C$3:$G$17,5,FALSE)/100)*R52)</f>
        <v>5112.1721547004299</v>
      </c>
      <c r="V52" s="777">
        <f t="shared" si="37"/>
        <v>34.279971532893647</v>
      </c>
      <c r="W52" s="753">
        <f t="shared" si="38"/>
        <v>1594390.2000000002</v>
      </c>
      <c r="X52" s="753">
        <f>VLOOKUP("*"&amp;$B52&amp;"*",'S4 - Summ PRS Characteristics'!$C$21:$Q$28,13,FALSE)*$J52</f>
        <v>3990.5332213734318</v>
      </c>
      <c r="Y52" s="753">
        <f t="shared" si="45"/>
        <v>10922.466778626567</v>
      </c>
      <c r="Z52" s="753">
        <f>IF($C52="other",(1-$C40)*X52,(1-(VLOOKUP($C52,'S3 - Screening Tool Metrics'!$C$3:$G$17,5,FALSE)/100))*X52)</f>
        <v>798.10664427468623</v>
      </c>
      <c r="AA52" s="753">
        <f>IF($C52="other",$C40*X52,(VLOOKUP($C52,'S3 - Screening Tool Metrics'!$C$3:$G$17,5,FALSE)/100)*X52)</f>
        <v>3192.4265770987458</v>
      </c>
      <c r="AB52" s="777">
        <f t="shared" si="39"/>
        <v>21.407004473269939</v>
      </c>
      <c r="AC52" s="776">
        <f t="shared" si="40"/>
        <v>797195.10000000009</v>
      </c>
      <c r="AD52" s="753">
        <f>VLOOKUP("*"&amp;$B52&amp;"*",'S4 - Summ PRS Characteristics'!$C$21:$Q$28,14,FALSE)*$J52</f>
        <v>2426.3228144993591</v>
      </c>
      <c r="AE52" s="753">
        <f t="shared" si="47"/>
        <v>12486.677185500641</v>
      </c>
      <c r="AF52" s="753">
        <f>IF($C52="other",(1-$C40)*AD52,(1-(VLOOKUP($C52,'S3 - Screening Tool Metrics'!$C$3:$G$17,5,FALSE)/100))*AD52)</f>
        <v>485.26456289987169</v>
      </c>
      <c r="AG52" s="753">
        <f>IF($C52="other",$C40*AD52,(VLOOKUP($C52,'S3 - Screening Tool Metrics'!$C$3:$G$17,5,FALSE)/100)*AD52)</f>
        <v>1941.0582515994874</v>
      </c>
      <c r="AH52" s="777">
        <f t="shared" si="41"/>
        <v>13.015880450610121</v>
      </c>
      <c r="AI52" s="776">
        <f t="shared" si="42"/>
        <v>159439.01999999999</v>
      </c>
      <c r="AJ52" s="753">
        <f>VLOOKUP("*"&amp;$B52&amp;"*",'S4 - Summ PRS Characteristics'!$C$21:$Q$28,15,FALSE)*$J52</f>
        <v>715.289671054005</v>
      </c>
      <c r="AK52" s="753">
        <f t="shared" si="46"/>
        <v>14197.710328945996</v>
      </c>
      <c r="AL52" s="753">
        <f>IF($C52="other",(1-$C40)*AJ52,(1-(VLOOKUP($C52,'S3 - Screening Tool Metrics'!$C$3:$G$17,5,FALSE)/100))*AJ52)</f>
        <v>143.05793421080097</v>
      </c>
      <c r="AM52" s="753">
        <f>IF($C52="other",$C40*AJ52,(VLOOKUP($C52,'S3 - Screening Tool Metrics'!$C$3:$G$17,5,FALSE)/100)*AJ52)</f>
        <v>572.23173684320398</v>
      </c>
      <c r="AN52" s="778">
        <f t="shared" si="43"/>
        <v>3.837133620620961</v>
      </c>
    </row>
    <row r="53" spans="2:44" x14ac:dyDescent="0.2">
      <c r="B53" s="768" t="s">
        <v>11</v>
      </c>
      <c r="C53" s="779" t="str">
        <f>$C42</f>
        <v>Other</v>
      </c>
      <c r="D53" s="780" t="s">
        <v>292</v>
      </c>
      <c r="E53" s="781">
        <f>VLOOKUP($B53&amp;"_"&amp;$D53,'App5 - CRUK Inci Rates'!C:H,6,FALSE)</f>
        <v>203.90336051751802</v>
      </c>
      <c r="F53" s="782">
        <f>VLOOKUP($B53&amp;"_"&amp;$D53,'App5 - CRUK Inci Rates'!C:H,3,FALSE)</f>
        <v>125.21984320546531</v>
      </c>
      <c r="G53" s="783">
        <f>VLOOKUP($B53&amp;"_"&amp;$D53,'App5 - CRUK Inci Rates'!C:J,8,FALSE)</f>
        <v>8881256.9603638444</v>
      </c>
      <c r="H53" s="784">
        <f>VLOOKUP($B53&amp;"_"&amp;$D53,'App5 - CRUK Inci Rates'!C:J,7,FALSE)</f>
        <v>4929786.333333333</v>
      </c>
      <c r="I53" s="784">
        <f>VLOOKUP($B53&amp;"_"&amp;$D53,'App5 - CRUK Inci Rates'!C:J,4,FALSE)</f>
        <v>5245973.666666667</v>
      </c>
      <c r="J53" s="778">
        <f>VLOOKUP($B53&amp;"_"&amp;$D53,'App5 - CRUK Inci Rates'!C:K,9,FALSE)</f>
        <v>16621</v>
      </c>
      <c r="K53" s="753">
        <f t="shared" si="8"/>
        <v>4440628.4801819222</v>
      </c>
      <c r="L53" s="753">
        <f>VLOOKUP("*"&amp;$B53&amp;"*",'S4 - Summ PRS Characteristics'!$C$21:$Q$28,11,FALSE)*$J53</f>
        <v>12396.447358338142</v>
      </c>
      <c r="M53" s="753">
        <f t="shared" si="9"/>
        <v>4224.5526416618577</v>
      </c>
      <c r="N53" s="753">
        <f>IF($C53="other",(1-$C$7)*L53,(1-(VLOOKUP($C53,'S3 - Screening Tool Metrics'!$C$3:$G$17,5,FALSE)/100))*L53)</f>
        <v>2479.2894716676278</v>
      </c>
      <c r="O53" s="753">
        <f>IF($C53="other",$C$7*L53,(VLOOKUP($C53,'S3 - Screening Tool Metrics'!$C$3:$G$17,5,FALSE)/100)*L53)</f>
        <v>9917.1578866705149</v>
      </c>
      <c r="P53" s="753">
        <f t="shared" si="10"/>
        <v>59.666433347394957</v>
      </c>
      <c r="Q53" s="776">
        <f t="shared" si="36"/>
        <v>1776251.3920727689</v>
      </c>
      <c r="R53" s="753">
        <f>VLOOKUP("*"&amp;$B53&amp;"*",'S4 - Summ PRS Characteristics'!$C$21:$Q$28,12,FALSE)*$J53</f>
        <v>7122.0925856028161</v>
      </c>
      <c r="S53" s="753">
        <f t="shared" si="44"/>
        <v>9498.9074143971848</v>
      </c>
      <c r="T53" s="753">
        <f>IF($C53="other",(1-$C40)*R53,(1-(VLOOKUP($C53,'S3 - Screening Tool Metrics'!$C$3:$G$17,5,FALSE)/100))*R53)</f>
        <v>1424.4185171205629</v>
      </c>
      <c r="U53" s="753">
        <f>IF($C53="other",$C40*R53,(VLOOKUP($C53,'S3 - Screening Tool Metrics'!$C$3:$G$17,5,FALSE)/100)*R53)</f>
        <v>5697.6740684822535</v>
      </c>
      <c r="V53" s="777">
        <f t="shared" si="37"/>
        <v>34.279971532893647</v>
      </c>
      <c r="W53" s="753">
        <f t="shared" si="38"/>
        <v>888125.69603638444</v>
      </c>
      <c r="X53" s="753">
        <f>VLOOKUP("*"&amp;$B53&amp;"*",'S4 - Summ PRS Characteristics'!$C$21:$Q$28,13,FALSE)*$J53</f>
        <v>4447.5727668777445</v>
      </c>
      <c r="Y53" s="753">
        <f t="shared" si="45"/>
        <v>12173.427233122256</v>
      </c>
      <c r="Z53" s="753">
        <f>IF($C53="other",(1-$C40)*X53,(1-(VLOOKUP($C53,'S3 - Screening Tool Metrics'!$C$3:$G$17,5,FALSE)/100))*X53)</f>
        <v>889.51455337554864</v>
      </c>
      <c r="AA53" s="753">
        <f>IF($C53="other",$C40*X53,(VLOOKUP($C53,'S3 - Screening Tool Metrics'!$C$3:$G$17,5,FALSE)/100)*X53)</f>
        <v>3558.0582135021959</v>
      </c>
      <c r="AB53" s="777">
        <f t="shared" si="39"/>
        <v>21.407004473269936</v>
      </c>
      <c r="AC53" s="776">
        <f t="shared" si="40"/>
        <v>444062.84801819222</v>
      </c>
      <c r="AD53" s="753">
        <f>VLOOKUP("*"&amp;$B53&amp;"*",'S4 - Summ PRS Characteristics'!$C$21:$Q$28,14,FALSE)*$J53</f>
        <v>2704.2118621198852</v>
      </c>
      <c r="AE53" s="753">
        <f t="shared" si="47"/>
        <v>13916.788137880114</v>
      </c>
      <c r="AF53" s="753">
        <f>IF($C53="other",(1-$C40)*AD53,(1-(VLOOKUP($C53,'S3 - Screening Tool Metrics'!$C$3:$G$17,5,FALSE)/100))*AD53)</f>
        <v>540.84237242397694</v>
      </c>
      <c r="AG53" s="753">
        <f>IF($C53="other",$C40*AD53,(VLOOKUP($C53,'S3 - Screening Tool Metrics'!$C$3:$G$17,5,FALSE)/100)*AD53)</f>
        <v>2163.3694896959082</v>
      </c>
      <c r="AH53" s="777">
        <f t="shared" si="41"/>
        <v>13.015880450610121</v>
      </c>
      <c r="AI53" s="776">
        <f t="shared" si="42"/>
        <v>88812.569603638447</v>
      </c>
      <c r="AJ53" s="753">
        <f>VLOOKUP("*"&amp;$B53&amp;"*",'S4 - Summ PRS Characteristics'!$C$21:$Q$28,15,FALSE)*$J53</f>
        <v>797.2124738542625</v>
      </c>
      <c r="AK53" s="753">
        <f t="shared" si="46"/>
        <v>15823.787526145738</v>
      </c>
      <c r="AL53" s="753">
        <f>IF($C53="other",(1-$C40)*AJ53,(1-(VLOOKUP($C53,'S3 - Screening Tool Metrics'!$C$3:$G$17,5,FALSE)/100))*AJ53)</f>
        <v>159.44249477085248</v>
      </c>
      <c r="AM53" s="753">
        <f>IF($C53="other",$C40*AJ53,(VLOOKUP($C53,'S3 - Screening Tool Metrics'!$C$3:$G$17,5,FALSE)/100)*AJ53)</f>
        <v>637.76997908341002</v>
      </c>
      <c r="AN53" s="778">
        <f t="shared" si="43"/>
        <v>3.8371336206209619</v>
      </c>
    </row>
    <row r="54" spans="2:44" x14ac:dyDescent="0.2">
      <c r="B54" s="768" t="s">
        <v>11</v>
      </c>
      <c r="C54" s="779" t="str">
        <f>$C41</f>
        <v>Other</v>
      </c>
      <c r="D54" s="780" t="s">
        <v>204</v>
      </c>
      <c r="E54" s="781">
        <f>VLOOKUP($B54&amp;"_"&amp;$D54,'App5 - CRUK Inci Rates'!C:H,6,FALSE)</f>
        <v>118.95830504657053</v>
      </c>
      <c r="F54" s="782">
        <f>VLOOKUP($B54&amp;"_"&amp;$D54,'App5 - CRUK Inci Rates'!C:H,3,FALSE)</f>
        <v>80.364374337399624</v>
      </c>
      <c r="G54" s="783">
        <f>VLOOKUP($B54&amp;"_"&amp;$D54,'App5 - CRUK Inci Rates'!C:J,8,FALSE)</f>
        <v>29847254.666666668</v>
      </c>
      <c r="H54" s="784">
        <f>VLOOKUP($B54&amp;"_"&amp;$D54,'App5 - CRUK Inci Rates'!C:J,7,FALSE)</f>
        <v>14565607.666666668</v>
      </c>
      <c r="I54" s="784">
        <f>VLOOKUP($B54&amp;"_"&amp;$D54,'App5 - CRUK Inci Rates'!C:J,4,FALSE)</f>
        <v>15281647</v>
      </c>
      <c r="J54" s="778">
        <f>VLOOKUP($B54&amp;"_"&amp;$D54,'App5 - CRUK Inci Rates'!C:K,9,FALSE)</f>
        <v>29608</v>
      </c>
      <c r="K54" s="753">
        <f t="shared" si="8"/>
        <v>14923627.333333334</v>
      </c>
      <c r="L54" s="753">
        <f>VLOOKUP("*"&amp;$B54&amp;"*",'S4 - Summ PRS Characteristics'!$C$21:$Q$28,11,FALSE)*$J54</f>
        <v>22082.54698187087</v>
      </c>
      <c r="M54" s="753">
        <f t="shared" si="9"/>
        <v>7525.4530181291302</v>
      </c>
      <c r="N54" s="753">
        <f>IF($C54="other",(1-$C$7)*L54,(1-(VLOOKUP($C54,'S3 - Screening Tool Metrics'!$C$3:$G$17,5,FALSE)/100))*L54)</f>
        <v>4416.5093963741729</v>
      </c>
      <c r="O54" s="753">
        <f>IF($C54="other",$C$7*L54,(VLOOKUP($C54,'S3 - Screening Tool Metrics'!$C$3:$G$17,5,FALSE)/100)*L54)</f>
        <v>17666.037585496695</v>
      </c>
      <c r="P54" s="753">
        <f t="shared" si="10"/>
        <v>59.666433347394943</v>
      </c>
      <c r="Q54" s="776">
        <f t="shared" si="36"/>
        <v>5969450.9333333336</v>
      </c>
      <c r="R54" s="753">
        <f>VLOOKUP("*"&amp;$B54&amp;"*",'S4 - Summ PRS Characteristics'!$C$21:$Q$28,12,FALSE)*$J54</f>
        <v>12687.017464323939</v>
      </c>
      <c r="S54" s="753">
        <f t="shared" si="44"/>
        <v>16920.982535676063</v>
      </c>
      <c r="T54" s="753">
        <f>IF($C54="other",(1-$C40)*R54,(1-(VLOOKUP($C54,'S3 - Screening Tool Metrics'!$C$3:$G$17,5,FALSE)/100))*R54)</f>
        <v>2537.403492864787</v>
      </c>
      <c r="U54" s="753">
        <f>IF($C54="other",$C40*R54,(VLOOKUP($C54,'S3 - Screening Tool Metrics'!$C$3:$G$17,5,FALSE)/100)*R54)</f>
        <v>10149.613971459152</v>
      </c>
      <c r="V54" s="777">
        <f t="shared" si="37"/>
        <v>34.279971532893647</v>
      </c>
      <c r="W54" s="753">
        <f t="shared" si="38"/>
        <v>2984725.4666666668</v>
      </c>
      <c r="X54" s="753">
        <f>VLOOKUP("*"&amp;$B54&amp;"*",'S4 - Summ PRS Characteristics'!$C$21:$Q$28,13,FALSE)*$J54</f>
        <v>7922.7323555572029</v>
      </c>
      <c r="Y54" s="753">
        <f t="shared" si="45"/>
        <v>21685.267644442796</v>
      </c>
      <c r="Z54" s="753">
        <f>IF($C54="other",(1-$C40)*X54,(1-(VLOOKUP($C54,'S3 - Screening Tool Metrics'!$C$3:$G$17,5,FALSE)/100))*X54)</f>
        <v>1584.5464711114403</v>
      </c>
      <c r="AA54" s="753">
        <f>IF($C54="other",$C40*X54,(VLOOKUP($C54,'S3 - Screening Tool Metrics'!$C$3:$G$17,5,FALSE)/100)*X54)</f>
        <v>6338.1858844457629</v>
      </c>
      <c r="AB54" s="777">
        <f t="shared" si="39"/>
        <v>21.407004473269936</v>
      </c>
      <c r="AC54" s="776">
        <f t="shared" si="40"/>
        <v>1492362.7333333334</v>
      </c>
      <c r="AD54" s="753">
        <f>VLOOKUP("*"&amp;$B54&amp;"*",'S4 - Summ PRS Characteristics'!$C$21:$Q$28,14,FALSE)*$J54</f>
        <v>4817.1773547708053</v>
      </c>
      <c r="AE54" s="753">
        <f t="shared" si="47"/>
        <v>24790.822645229193</v>
      </c>
      <c r="AF54" s="753">
        <f>IF($C54="other",(1-$C40)*AD54,(1-(VLOOKUP($C54,'S3 - Screening Tool Metrics'!$C$3:$G$17,5,FALSE)/100))*AD54)</f>
        <v>963.43547095416091</v>
      </c>
      <c r="AG54" s="753">
        <f>IF($C54="other",$C40*AD54,(VLOOKUP($C54,'S3 - Screening Tool Metrics'!$C$3:$G$17,5,FALSE)/100)*AD54)</f>
        <v>3853.7418838166445</v>
      </c>
      <c r="AH54" s="777">
        <f t="shared" si="41"/>
        <v>13.015880450610121</v>
      </c>
      <c r="AI54" s="776">
        <f t="shared" si="42"/>
        <v>298472.54666666669</v>
      </c>
      <c r="AJ54" s="753">
        <f>VLOOKUP("*"&amp;$B54&amp;"*",'S4 - Summ PRS Characteristics'!$C$21:$Q$28,15,FALSE)*$J54</f>
        <v>1420.123152991818</v>
      </c>
      <c r="AK54" s="753">
        <f t="shared" si="46"/>
        <v>28187.876847008181</v>
      </c>
      <c r="AL54" s="753">
        <f>IF($C54="other",(1-$C40)*AJ54,(1-(VLOOKUP($C54,'S3 - Screening Tool Metrics'!$C$3:$G$17,5,FALSE)/100))*AJ54)</f>
        <v>284.0246305983635</v>
      </c>
      <c r="AM54" s="753">
        <f>IF($C54="other",$C40*AJ54,(VLOOKUP($C54,'S3 - Screening Tool Metrics'!$C$3:$G$17,5,FALSE)/100)*AJ54)</f>
        <v>1136.0985223934545</v>
      </c>
      <c r="AN54" s="778">
        <f t="shared" si="43"/>
        <v>3.8371336206209619</v>
      </c>
    </row>
    <row r="55" spans="2:44" ht="17" thickBot="1" x14ac:dyDescent="0.25">
      <c r="B55" s="785" t="s">
        <v>11</v>
      </c>
      <c r="C55" s="786" t="str">
        <f>$C41</f>
        <v>Other</v>
      </c>
      <c r="D55" s="787" t="s">
        <v>205</v>
      </c>
      <c r="E55" s="788">
        <f>VLOOKUP($B55&amp;"_"&amp;$D55,'App5 - CRUK Inci Rates'!C:H,6,FALSE)</f>
        <v>84.5</v>
      </c>
      <c r="F55" s="789">
        <f>VLOOKUP($B55&amp;"_"&amp;$D55,'App5 - CRUK Inci Rates'!C:H,3,FALSE)</f>
        <v>56.5</v>
      </c>
      <c r="G55" s="790">
        <f>VLOOKUP($B55&amp;"_"&amp;$D55,'App5 - CRUK Inci Rates'!C:J,8,FALSE)</f>
        <v>66041277.666666664</v>
      </c>
      <c r="H55" s="791">
        <f>VLOOKUP($B55&amp;"_"&amp;$D55,'App5 - CRUK Inci Rates'!C:J,7,FALSE)</f>
        <v>32583225.666666668</v>
      </c>
      <c r="I55" s="791">
        <f>VLOOKUP($B55&amp;"_"&amp;$D55,'App5 - CRUK Inci Rates'!C:J,4,FALSE)</f>
        <v>33458051.999999996</v>
      </c>
      <c r="J55" s="778">
        <f>VLOOKUP($B55&amp;"_"&amp;$D55,'App5 - CRUK Inci Rates'!C:K,9,FALSE)</f>
        <v>42885</v>
      </c>
      <c r="K55" s="792"/>
      <c r="L55" s="792"/>
      <c r="M55" s="792"/>
      <c r="N55" s="792"/>
      <c r="O55" s="792"/>
      <c r="P55" s="792"/>
      <c r="Q55" s="793"/>
      <c r="R55" s="794"/>
      <c r="S55" s="794"/>
      <c r="T55" s="794"/>
      <c r="U55" s="794"/>
      <c r="V55" s="795"/>
      <c r="W55" s="794"/>
      <c r="X55" s="794"/>
      <c r="Y55" s="794"/>
      <c r="Z55" s="794"/>
      <c r="AA55" s="794"/>
      <c r="AB55" s="795"/>
      <c r="AC55" s="793"/>
      <c r="AD55" s="794"/>
      <c r="AE55" s="794"/>
      <c r="AF55" s="794"/>
      <c r="AG55" s="794"/>
      <c r="AH55" s="795"/>
      <c r="AI55" s="793"/>
      <c r="AJ55" s="794"/>
      <c r="AK55" s="794"/>
      <c r="AL55" s="794"/>
      <c r="AM55" s="794"/>
      <c r="AN55" s="796"/>
    </row>
    <row r="56" spans="2:44" ht="21" customHeight="1" thickBot="1" x14ac:dyDescent="0.25">
      <c r="B56" s="754" t="s">
        <v>12</v>
      </c>
      <c r="C56" s="755">
        <v>0.8</v>
      </c>
      <c r="D56" s="756"/>
      <c r="E56" s="757"/>
      <c r="F56" s="758"/>
      <c r="G56" s="759"/>
      <c r="H56" s="760"/>
      <c r="I56" s="760"/>
      <c r="J56" s="761"/>
      <c r="K56" s="762"/>
      <c r="L56" s="762"/>
      <c r="M56" s="762"/>
      <c r="N56" s="762"/>
      <c r="O56" s="762"/>
      <c r="P56" s="762"/>
      <c r="Q56" s="763"/>
      <c r="R56" s="764"/>
      <c r="S56" s="764"/>
      <c r="T56" s="764"/>
      <c r="U56" s="764"/>
      <c r="V56" s="765"/>
      <c r="W56" s="764"/>
      <c r="X56" s="764"/>
      <c r="Y56" s="764"/>
      <c r="Z56" s="764"/>
      <c r="AA56" s="764"/>
      <c r="AB56" s="765"/>
      <c r="AC56" s="763"/>
      <c r="AD56" s="764"/>
      <c r="AE56" s="764"/>
      <c r="AF56" s="764"/>
      <c r="AG56" s="764"/>
      <c r="AH56" s="765"/>
      <c r="AI56" s="763"/>
      <c r="AJ56" s="764"/>
      <c r="AK56" s="764"/>
      <c r="AL56" s="764"/>
      <c r="AM56" s="764"/>
      <c r="AN56" s="767"/>
    </row>
    <row r="57" spans="2:44" x14ac:dyDescent="0.2">
      <c r="B57" s="768" t="s">
        <v>12</v>
      </c>
      <c r="C57" s="769" t="s">
        <v>180</v>
      </c>
      <c r="D57" s="770" t="s">
        <v>192</v>
      </c>
      <c r="E57" s="771">
        <f>VLOOKUP($B57&amp;"_"&amp;$D57,'App5 - CRUK Inci Rates'!C:H,6,FALSE)</f>
        <v>2.6</v>
      </c>
      <c r="F57" s="772">
        <f>VLOOKUP($B57&amp;"_"&amp;$D57,'App5 - CRUK Inci Rates'!C:H,3,FALSE)</f>
        <v>2</v>
      </c>
      <c r="G57" s="773">
        <f>VLOOKUP($B57&amp;"_"&amp;$D57,'App5 - CRUK Inci Rates'!C:J,8,FALSE)</f>
        <v>4075608</v>
      </c>
      <c r="H57" s="774">
        <f>VLOOKUP($B57&amp;"_"&amp;$D57,'App5 - CRUK Inci Rates'!C:J,7,FALSE)</f>
        <v>2021384.6666666667</v>
      </c>
      <c r="I57" s="774">
        <f>VLOOKUP($B57&amp;"_"&amp;$D57,'App5 - CRUK Inci Rates'!C:J,4,FALSE)</f>
        <v>2054223.3333333333</v>
      </c>
      <c r="J57" s="775">
        <f>VLOOKUP($B57&amp;"_"&amp;$D57,'App5 - CRUK Inci Rates'!C:K,9,FALSE)</f>
        <v>94</v>
      </c>
      <c r="K57" s="753">
        <f t="shared" si="8"/>
        <v>2037804</v>
      </c>
      <c r="L57" s="753">
        <f>VLOOKUP("*"&amp;$B57&amp;"*",'S4 - Summ PRS Characteristics'!$C$21:$Q$28,11,FALSE)*$J57</f>
        <v>73.608599331597162</v>
      </c>
      <c r="M57" s="753">
        <f t="shared" si="9"/>
        <v>20.391400668402838</v>
      </c>
      <c r="N57" s="753">
        <f>IF($C57="other",(1-$C$7)*L57,(1-(VLOOKUP($C57,'S3 - Screening Tool Metrics'!$C$3:$G$17,5,FALSE)/100))*L57)</f>
        <v>14.721719866319429</v>
      </c>
      <c r="O57" s="753">
        <f>IF($C57="other",$C$7*L57,(VLOOKUP($C57,'S3 - Screening Tool Metrics'!$C$3:$G$17,5,FALSE)/100)*L57)</f>
        <v>58.88687946527773</v>
      </c>
      <c r="P57" s="753">
        <f t="shared" si="10"/>
        <v>62.645616452423113</v>
      </c>
      <c r="Q57" s="776">
        <f t="shared" ref="Q57:Q70" si="48">$G57*Q$3</f>
        <v>815121.60000000009</v>
      </c>
      <c r="R57" s="753">
        <f>VLOOKUP("*"&amp;$B57&amp;"*",'S4 - Summ PRS Characteristics'!$C$21:$Q$28,12,FALSE)*$J57</f>
        <v>44.788110510482696</v>
      </c>
      <c r="S57" s="753">
        <f>$J57-R57</f>
        <v>49.211889489517304</v>
      </c>
      <c r="T57" s="753">
        <f>IF($C57="other",(1-$C56)*R57,(1-(VLOOKUP($C57,'S3 - Screening Tool Metrics'!$C$3:$G$17,5,FALSE)/100))*R57)</f>
        <v>8.9576221020965363</v>
      </c>
      <c r="U57" s="753">
        <f>IF($C57="other",$C56*R57,(VLOOKUP($C57,'S3 - Screening Tool Metrics'!$C$3:$G$17,5,FALSE)/100)*R57)</f>
        <v>35.830488408386159</v>
      </c>
      <c r="V57" s="777">
        <f t="shared" ref="V57:V70" si="49">U57/J57*100</f>
        <v>38.117540859985276</v>
      </c>
      <c r="W57" s="753">
        <f t="shared" ref="W57:W70" si="50">$G57*W$3</f>
        <v>407560.80000000005</v>
      </c>
      <c r="X57" s="753">
        <f>VLOOKUP("*"&amp;$B57&amp;"*",'S4 - Summ PRS Characteristics'!$C$21:$Q$28,13,FALSE)*$J57</f>
        <v>29.037373027872764</v>
      </c>
      <c r="Y57" s="753">
        <f>$J57-X57</f>
        <v>64.962626972127239</v>
      </c>
      <c r="Z57" s="753">
        <f>IF($C57="other",(1-$C56)*X57,(1-(VLOOKUP($C57,'S3 - Screening Tool Metrics'!$C$3:$G$17,5,FALSE)/100))*X57)</f>
        <v>5.8074746055745514</v>
      </c>
      <c r="AA57" s="753">
        <f>IF($C57="other",$C56*X57,(VLOOKUP($C57,'S3 - Screening Tool Metrics'!$C$3:$G$17,5,FALSE)/100)*X57)</f>
        <v>23.229898422298213</v>
      </c>
      <c r="AB57" s="777">
        <f t="shared" ref="AB57:AB70" si="51">$AA57/$J57*100</f>
        <v>24.712657896061931</v>
      </c>
      <c r="AC57" s="776">
        <f t="shared" ref="AC57:AC70" si="52">$G57*AC$3</f>
        <v>203780.40000000002</v>
      </c>
      <c r="AD57" s="753">
        <f>VLOOKUP("*"&amp;$B57&amp;"*",'S4 - Summ PRS Characteristics'!$C$21:$Q$28,14,FALSE)*$J57</f>
        <v>18.261862336964175</v>
      </c>
      <c r="AE57" s="753">
        <f>$J57-AD57</f>
        <v>75.738137663035829</v>
      </c>
      <c r="AF57" s="753">
        <f>IF($C57="other",(1-$C56)*AD57,(1-(VLOOKUP($C57,'S3 - Screening Tool Metrics'!$C$3:$G$17,5,FALSE)/100))*AD57)</f>
        <v>3.6523724673928339</v>
      </c>
      <c r="AG57" s="753">
        <f>IF($C57="other",$C56*AD57,(VLOOKUP($C57,'S3 - Screening Tool Metrics'!$C$3:$G$17,5,FALSE)/100)*AD57)</f>
        <v>14.609489869571341</v>
      </c>
      <c r="AH57" s="777">
        <f t="shared" ref="AH57:AH70" si="53">$AG57/$J57*100</f>
        <v>15.542010499543979</v>
      </c>
      <c r="AI57" s="776">
        <f t="shared" ref="AI57:AI70" si="54">$G57*AI$3</f>
        <v>40756.080000000002</v>
      </c>
      <c r="AJ57" s="753">
        <f>VLOOKUP("*"&amp;$B57&amp;"*",'S4 - Summ PRS Characteristics'!$C$21:$Q$28,15,FALSE)*$J57</f>
        <v>5.7645704711274774</v>
      </c>
      <c r="AK57" s="753">
        <f>$J57-AJ57</f>
        <v>88.235429528872515</v>
      </c>
      <c r="AL57" s="753">
        <f>IF($C57="other",(1-$C56)*AJ57,(1-(VLOOKUP($C57,'S3 - Screening Tool Metrics'!$C$3:$G$17,5,FALSE)/100))*AJ57)</f>
        <v>1.1529140942254952</v>
      </c>
      <c r="AM57" s="753">
        <f>IF($C57="other",$C56*AJ57,(VLOOKUP($C57,'S3 - Screening Tool Metrics'!$C$3:$G$17,5,FALSE)/100)*AJ57)</f>
        <v>4.6116563769019825</v>
      </c>
      <c r="AN57" s="778">
        <f t="shared" ref="AN57:AN70" si="55">$AM57/$J57*100</f>
        <v>4.9060174222361512</v>
      </c>
    </row>
    <row r="58" spans="2:44" x14ac:dyDescent="0.2">
      <c r="B58" s="768" t="s">
        <v>12</v>
      </c>
      <c r="C58" s="779" t="str">
        <f>$C57</f>
        <v>Other</v>
      </c>
      <c r="D58" s="780" t="s">
        <v>193</v>
      </c>
      <c r="E58" s="781">
        <f>VLOOKUP($B58&amp;"_"&amp;$D58,'App5 - CRUK Inci Rates'!C:H,6,FALSE)</f>
        <v>5.6</v>
      </c>
      <c r="F58" s="782">
        <f>VLOOKUP($B58&amp;"_"&amp;$D58,'App5 - CRUK Inci Rates'!C:H,3,FALSE)</f>
        <v>3.9</v>
      </c>
      <c r="G58" s="783">
        <f>VLOOKUP($B58&amp;"_"&amp;$D58,'App5 - CRUK Inci Rates'!C:J,8,FALSE)</f>
        <v>4567159.333333334</v>
      </c>
      <c r="H58" s="784">
        <f>VLOOKUP($B58&amp;"_"&amp;$D58,'App5 - CRUK Inci Rates'!C:J,7,FALSE)</f>
        <v>2251680</v>
      </c>
      <c r="I58" s="784">
        <f>VLOOKUP($B58&amp;"_"&amp;$D58,'App5 - CRUK Inci Rates'!C:J,4,FALSE)</f>
        <v>2315479.3333333335</v>
      </c>
      <c r="J58" s="778">
        <f>VLOOKUP($B58&amp;"_"&amp;$D58,'App5 - CRUK Inci Rates'!C:K,9,FALSE)</f>
        <v>215</v>
      </c>
      <c r="K58" s="753">
        <f t="shared" si="8"/>
        <v>2283579.666666667</v>
      </c>
      <c r="L58" s="753">
        <f>VLOOKUP("*"&amp;$B58&amp;"*",'S4 - Summ PRS Characteristics'!$C$21:$Q$28,11,FALSE)*$J58</f>
        <v>168.36009421588713</v>
      </c>
      <c r="M58" s="753">
        <f t="shared" si="9"/>
        <v>46.639905784112869</v>
      </c>
      <c r="N58" s="753">
        <f>IF($C58="other",(1-$C$7)*L58,(1-(VLOOKUP($C58,'S3 - Screening Tool Metrics'!$C$3:$G$17,5,FALSE)/100))*L58)</f>
        <v>33.672018843177419</v>
      </c>
      <c r="O58" s="753">
        <f>IF($C58="other",$C$7*L58,(VLOOKUP($C58,'S3 - Screening Tool Metrics'!$C$3:$G$17,5,FALSE)/100)*L58)</f>
        <v>134.6880753727097</v>
      </c>
      <c r="P58" s="753">
        <f t="shared" si="10"/>
        <v>62.645616452423113</v>
      </c>
      <c r="Q58" s="776">
        <f t="shared" si="48"/>
        <v>913431.86666666681</v>
      </c>
      <c r="R58" s="753">
        <f>VLOOKUP("*"&amp;$B58&amp;"*",'S4 - Summ PRS Characteristics'!$C$21:$Q$28,12,FALSE)*$J58</f>
        <v>102.44089106121041</v>
      </c>
      <c r="S58" s="753">
        <f t="shared" ref="S58:S70" si="56">$J58-R58</f>
        <v>112.55910893878959</v>
      </c>
      <c r="T58" s="753">
        <f>IF($C58="other",(1-$C56)*R58,(1-(VLOOKUP($C58,'S3 - Screening Tool Metrics'!$C$3:$G$17,5,FALSE)/100))*R58)</f>
        <v>20.488178212242076</v>
      </c>
      <c r="U58" s="753">
        <f>IF($C58="other",$C56*R58,(VLOOKUP($C58,'S3 - Screening Tool Metrics'!$C$3:$G$17,5,FALSE)/100)*R58)</f>
        <v>81.952712848968332</v>
      </c>
      <c r="V58" s="777">
        <f t="shared" si="49"/>
        <v>38.117540859985269</v>
      </c>
      <c r="W58" s="753">
        <f t="shared" si="50"/>
        <v>456715.93333333341</v>
      </c>
      <c r="X58" s="753">
        <f>VLOOKUP("*"&amp;$B58&amp;"*",'S4 - Summ PRS Characteristics'!$C$21:$Q$28,13,FALSE)*$J58</f>
        <v>66.415268095666434</v>
      </c>
      <c r="Y58" s="753">
        <f t="shared" ref="Y58:Y70" si="57">$J58-X58</f>
        <v>148.58473190433358</v>
      </c>
      <c r="Z58" s="753">
        <f>IF($C58="other",(1-$C56)*X58,(1-(VLOOKUP($C58,'S3 - Screening Tool Metrics'!$C$3:$G$17,5,FALSE)/100))*X58)</f>
        <v>13.283053619133284</v>
      </c>
      <c r="AA58" s="753">
        <f>IF($C58="other",$C56*X58,(VLOOKUP($C58,'S3 - Screening Tool Metrics'!$C$3:$G$17,5,FALSE)/100)*X58)</f>
        <v>53.13221447653315</v>
      </c>
      <c r="AB58" s="777">
        <f t="shared" si="51"/>
        <v>24.712657896061931</v>
      </c>
      <c r="AC58" s="776">
        <f t="shared" si="52"/>
        <v>228357.9666666667</v>
      </c>
      <c r="AD58" s="753">
        <f>VLOOKUP("*"&amp;$B58&amp;"*",'S4 - Summ PRS Characteristics'!$C$21:$Q$28,14,FALSE)*$J58</f>
        <v>41.76915321752444</v>
      </c>
      <c r="AE58" s="753">
        <f>$J58-AD58</f>
        <v>173.23084678247557</v>
      </c>
      <c r="AF58" s="753">
        <f>IF($C58="other",(1-$C56)*AD58,(1-(VLOOKUP($C58,'S3 - Screening Tool Metrics'!$C$3:$G$17,5,FALSE)/100))*AD58)</f>
        <v>8.353830643504887</v>
      </c>
      <c r="AG58" s="753">
        <f>IF($C58="other",$C56*AD58,(VLOOKUP($C58,'S3 - Screening Tool Metrics'!$C$3:$G$17,5,FALSE)/100)*AD58)</f>
        <v>33.415322574019555</v>
      </c>
      <c r="AH58" s="777">
        <f t="shared" si="53"/>
        <v>15.542010499543979</v>
      </c>
      <c r="AI58" s="776">
        <f t="shared" si="54"/>
        <v>45671.593333333338</v>
      </c>
      <c r="AJ58" s="753">
        <f>VLOOKUP("*"&amp;$B58&amp;"*",'S4 - Summ PRS Characteristics'!$C$21:$Q$28,15,FALSE)*$J58</f>
        <v>13.184921822259655</v>
      </c>
      <c r="AK58" s="753">
        <f t="shared" ref="AK58:AK70" si="58">$J58-AJ58</f>
        <v>201.81507817774033</v>
      </c>
      <c r="AL58" s="753">
        <f>IF($C58="other",(1-$C56)*AJ58,(1-(VLOOKUP($C58,'S3 - Screening Tool Metrics'!$C$3:$G$17,5,FALSE)/100))*AJ58)</f>
        <v>2.6369843644519304</v>
      </c>
      <c r="AM58" s="753">
        <f>IF($C58="other",$C56*AJ58,(VLOOKUP($C58,'S3 - Screening Tool Metrics'!$C$3:$G$17,5,FALSE)/100)*AJ58)</f>
        <v>10.547937457807725</v>
      </c>
      <c r="AN58" s="778">
        <f t="shared" si="55"/>
        <v>4.9060174222361512</v>
      </c>
    </row>
    <row r="59" spans="2:44" x14ac:dyDescent="0.2">
      <c r="B59" s="768" t="s">
        <v>12</v>
      </c>
      <c r="C59" s="779" t="str">
        <f>$C57</f>
        <v>Other</v>
      </c>
      <c r="D59" s="780" t="s">
        <v>194</v>
      </c>
      <c r="E59" s="781">
        <f>VLOOKUP($B59&amp;"_"&amp;$D59,'App5 - CRUK Inci Rates'!C:H,6,FALSE)</f>
        <v>10.199999999999999</v>
      </c>
      <c r="F59" s="782">
        <f>VLOOKUP($B59&amp;"_"&amp;$D59,'App5 - CRUK Inci Rates'!C:H,3,FALSE)</f>
        <v>7.3</v>
      </c>
      <c r="G59" s="783">
        <f>VLOOKUP($B59&amp;"_"&amp;$D59,'App5 - CRUK Inci Rates'!C:J,8,FALSE)</f>
        <v>4658110.666666666</v>
      </c>
      <c r="H59" s="784">
        <f>VLOOKUP($B59&amp;"_"&amp;$D59,'App5 - CRUK Inci Rates'!C:J,7,FALSE)</f>
        <v>2293472.6666666665</v>
      </c>
      <c r="I59" s="784">
        <f>VLOOKUP($B59&amp;"_"&amp;$D59,'App5 - CRUK Inci Rates'!C:J,4,FALSE)</f>
        <v>2364638</v>
      </c>
      <c r="J59" s="778">
        <f>VLOOKUP($B59&amp;"_"&amp;$D59,'App5 - CRUK Inci Rates'!C:K,9,FALSE)</f>
        <v>409</v>
      </c>
      <c r="K59" s="753">
        <f t="shared" si="8"/>
        <v>2329055.333333333</v>
      </c>
      <c r="L59" s="753">
        <f>VLOOKUP("*"&amp;$B59&amp;"*",'S4 - Summ PRS Characteristics'!$C$21:$Q$28,11,FALSE)*$J59</f>
        <v>320.27571411301318</v>
      </c>
      <c r="M59" s="753">
        <f t="shared" si="9"/>
        <v>88.72428588698682</v>
      </c>
      <c r="N59" s="753">
        <f>IF($C59="other",(1-$C$7)*L59,(1-(VLOOKUP($C59,'S3 - Screening Tool Metrics'!$C$3:$G$17,5,FALSE)/100))*L59)</f>
        <v>64.055142822602619</v>
      </c>
      <c r="O59" s="753">
        <f>IF($C59="other",$C$7*L59,(VLOOKUP($C59,'S3 - Screening Tool Metrics'!$C$3:$G$17,5,FALSE)/100)*L59)</f>
        <v>256.22057129041053</v>
      </c>
      <c r="P59" s="753">
        <f t="shared" si="10"/>
        <v>62.645616452423113</v>
      </c>
      <c r="Q59" s="776">
        <f t="shared" si="48"/>
        <v>931622.1333333333</v>
      </c>
      <c r="R59" s="753">
        <f>VLOOKUP("*"&amp;$B59&amp;"*",'S4 - Summ PRS Characteristics'!$C$21:$Q$28,12,FALSE)*$J59</f>
        <v>194.87592764667468</v>
      </c>
      <c r="S59" s="753">
        <f t="shared" si="56"/>
        <v>214.12407235332532</v>
      </c>
      <c r="T59" s="753">
        <f>IF($C59="other",(1-$C56)*R59,(1-(VLOOKUP($C59,'S3 - Screening Tool Metrics'!$C$3:$G$17,5,FALSE)/100))*R59)</f>
        <v>38.975185529334929</v>
      </c>
      <c r="U59" s="753">
        <f>IF($C59="other",$C56*R59,(VLOOKUP($C59,'S3 - Screening Tool Metrics'!$C$3:$G$17,5,FALSE)/100)*R59)</f>
        <v>155.90074211733975</v>
      </c>
      <c r="V59" s="777">
        <f t="shared" si="49"/>
        <v>38.117540859985269</v>
      </c>
      <c r="W59" s="753">
        <f t="shared" si="50"/>
        <v>465811.06666666665</v>
      </c>
      <c r="X59" s="753">
        <f>VLOOKUP("*"&amp;$B59&amp;"*",'S4 - Summ PRS Characteristics'!$C$21:$Q$28,13,FALSE)*$J59</f>
        <v>126.3434634936166</v>
      </c>
      <c r="Y59" s="753">
        <f t="shared" si="57"/>
        <v>282.65653650638342</v>
      </c>
      <c r="Z59" s="753">
        <f>IF($C59="other",(1-$C56)*X59,(1-(VLOOKUP($C59,'S3 - Screening Tool Metrics'!$C$3:$G$17,5,FALSE)/100))*X59)</f>
        <v>25.268692698723314</v>
      </c>
      <c r="AA59" s="753">
        <f>IF($C59="other",$C56*X59,(VLOOKUP($C59,'S3 - Screening Tool Metrics'!$C$3:$G$17,5,FALSE)/100)*X59)</f>
        <v>101.07477079489328</v>
      </c>
      <c r="AB59" s="777">
        <f t="shared" si="51"/>
        <v>24.712657896061927</v>
      </c>
      <c r="AC59" s="776">
        <f t="shared" si="52"/>
        <v>232905.53333333333</v>
      </c>
      <c r="AD59" s="753">
        <f>VLOOKUP("*"&amp;$B59&amp;"*",'S4 - Summ PRS Characteristics'!$C$21:$Q$28,14,FALSE)*$J59</f>
        <v>79.458528678918597</v>
      </c>
      <c r="AE59" s="753">
        <f t="shared" ref="AE59:AE70" si="59">$J59-AD59</f>
        <v>329.54147132108142</v>
      </c>
      <c r="AF59" s="753">
        <f>IF($C59="other",(1-$C56)*AD59,(1-(VLOOKUP($C59,'S3 - Screening Tool Metrics'!$C$3:$G$17,5,FALSE)/100))*AD59)</f>
        <v>15.891705735783717</v>
      </c>
      <c r="AG59" s="753">
        <f>IF($C59="other",$C56*AD59,(VLOOKUP($C59,'S3 - Screening Tool Metrics'!$C$3:$G$17,5,FALSE)/100)*AD59)</f>
        <v>63.566822943134881</v>
      </c>
      <c r="AH59" s="777">
        <f t="shared" si="53"/>
        <v>15.542010499543983</v>
      </c>
      <c r="AI59" s="776">
        <f t="shared" si="54"/>
        <v>46581.106666666659</v>
      </c>
      <c r="AJ59" s="753">
        <f>VLOOKUP("*"&amp;$B59&amp;"*",'S4 - Summ PRS Characteristics'!$C$21:$Q$28,15,FALSE)*$J59</f>
        <v>25.082014071182321</v>
      </c>
      <c r="AK59" s="753">
        <f t="shared" si="58"/>
        <v>383.9179859288177</v>
      </c>
      <c r="AL59" s="753">
        <f>IF($C59="other",(1-$C56)*AJ59,(1-(VLOOKUP($C59,'S3 - Screening Tool Metrics'!$C$3:$G$17,5,FALSE)/100))*AJ59)</f>
        <v>5.0164028142364634</v>
      </c>
      <c r="AM59" s="753">
        <f>IF($C59="other",$C56*AJ59,(VLOOKUP($C59,'S3 - Screening Tool Metrics'!$C$3:$G$17,5,FALSE)/100)*AJ59)</f>
        <v>20.065611256945857</v>
      </c>
      <c r="AN59" s="778">
        <f t="shared" si="55"/>
        <v>4.9060174222361512</v>
      </c>
    </row>
    <row r="60" spans="2:44" x14ac:dyDescent="0.2">
      <c r="B60" s="768" t="s">
        <v>12</v>
      </c>
      <c r="C60" s="779" t="str">
        <f>$C57</f>
        <v>Other</v>
      </c>
      <c r="D60" s="780" t="s">
        <v>195</v>
      </c>
      <c r="E60" s="781">
        <f>VLOOKUP($B60&amp;"_"&amp;$D60,'App5 - CRUK Inci Rates'!C:H,6,FALSE)</f>
        <v>18.3</v>
      </c>
      <c r="F60" s="782">
        <f>VLOOKUP($B60&amp;"_"&amp;$D60,'App5 - CRUK Inci Rates'!C:H,3,FALSE)</f>
        <v>13.6</v>
      </c>
      <c r="G60" s="783">
        <f>VLOOKUP($B60&amp;"_"&amp;$D60,'App5 - CRUK Inci Rates'!C:J,8,FALSE)</f>
        <v>4181606</v>
      </c>
      <c r="H60" s="784">
        <f>VLOOKUP($B60&amp;"_"&amp;$D60,'App5 - CRUK Inci Rates'!C:J,7,FALSE)</f>
        <v>2061918.6666666667</v>
      </c>
      <c r="I60" s="784">
        <f>VLOOKUP($B60&amp;"_"&amp;$D60,'App5 - CRUK Inci Rates'!C:J,4,FALSE)</f>
        <v>2119687.3333333335</v>
      </c>
      <c r="J60" s="778">
        <f>VLOOKUP($B60&amp;"_"&amp;$D60,'App5 - CRUK Inci Rates'!C:K,9,FALSE)</f>
        <v>666</v>
      </c>
      <c r="K60" s="753">
        <f t="shared" si="8"/>
        <v>2090803</v>
      </c>
      <c r="L60" s="753">
        <f>VLOOKUP("*"&amp;$B60&amp;"*",'S4 - Summ PRS Characteristics'!$C$21:$Q$28,11,FALSE)*$J60</f>
        <v>521.52475696642239</v>
      </c>
      <c r="M60" s="753">
        <f t="shared" si="9"/>
        <v>144.47524303357761</v>
      </c>
      <c r="N60" s="753">
        <f>IF($C60="other",(1-$C$7)*L60,(1-(VLOOKUP($C60,'S3 - Screening Tool Metrics'!$C$3:$G$17,5,FALSE)/100))*L60)</f>
        <v>104.30495139328445</v>
      </c>
      <c r="O60" s="753">
        <f>IF($C60="other",$C$7*L60,(VLOOKUP($C60,'S3 - Screening Tool Metrics'!$C$3:$G$17,5,FALSE)/100)*L60)</f>
        <v>417.21980557313793</v>
      </c>
      <c r="P60" s="753">
        <f t="shared" si="10"/>
        <v>62.645616452423113</v>
      </c>
      <c r="Q60" s="776">
        <f t="shared" si="48"/>
        <v>836321.20000000007</v>
      </c>
      <c r="R60" s="753">
        <f>VLOOKUP("*"&amp;$B60&amp;"*",'S4 - Summ PRS Characteristics'!$C$21:$Q$28,12,FALSE)*$J60</f>
        <v>317.32852765937736</v>
      </c>
      <c r="S60" s="753">
        <f t="shared" si="56"/>
        <v>348.67147234062264</v>
      </c>
      <c r="T60" s="753">
        <f>IF($C60="other",(1-$C56)*R60,(1-(VLOOKUP($C60,'S3 - Screening Tool Metrics'!$C$3:$G$17,5,FALSE)/100))*R60)</f>
        <v>63.465705531875457</v>
      </c>
      <c r="U60" s="753">
        <f>IF($C60="other",$C56*R60,(VLOOKUP($C60,'S3 - Screening Tool Metrics'!$C$3:$G$17,5,FALSE)/100)*R60)</f>
        <v>253.86282212750189</v>
      </c>
      <c r="V60" s="777">
        <f t="shared" si="49"/>
        <v>38.117540859985269</v>
      </c>
      <c r="W60" s="753">
        <f t="shared" si="50"/>
        <v>418160.60000000003</v>
      </c>
      <c r="X60" s="753">
        <f>VLOOKUP("*"&amp;$B60&amp;"*",'S4 - Summ PRS Characteristics'!$C$21:$Q$28,13,FALSE)*$J60</f>
        <v>205.73287698471555</v>
      </c>
      <c r="Y60" s="753">
        <f t="shared" si="57"/>
        <v>460.26712301528448</v>
      </c>
      <c r="Z60" s="753">
        <f>IF($C60="other",(1-$C56)*X60,(1-(VLOOKUP($C60,'S3 - Screening Tool Metrics'!$C$3:$G$17,5,FALSE)/100))*X60)</f>
        <v>41.146575396943099</v>
      </c>
      <c r="AA60" s="753">
        <f>IF($C60="other",$C56*X60,(VLOOKUP($C60,'S3 - Screening Tool Metrics'!$C$3:$G$17,5,FALSE)/100)*X60)</f>
        <v>164.58630158777245</v>
      </c>
      <c r="AB60" s="777">
        <f t="shared" si="51"/>
        <v>24.712657896061931</v>
      </c>
      <c r="AC60" s="776">
        <f t="shared" si="52"/>
        <v>209080.30000000002</v>
      </c>
      <c r="AD60" s="753">
        <f>VLOOKUP("*"&amp;$B60&amp;"*",'S4 - Summ PRS Characteristics'!$C$21:$Q$28,14,FALSE)*$J60</f>
        <v>129.38723740870361</v>
      </c>
      <c r="AE60" s="753">
        <f t="shared" si="59"/>
        <v>536.61276259129636</v>
      </c>
      <c r="AF60" s="753">
        <f>IF($C60="other",(1-$C56)*AD60,(1-(VLOOKUP($C60,'S3 - Screening Tool Metrics'!$C$3:$G$17,5,FALSE)/100))*AD60)</f>
        <v>25.877447481740717</v>
      </c>
      <c r="AG60" s="753">
        <f>IF($C60="other",$C56*AD60,(VLOOKUP($C60,'S3 - Screening Tool Metrics'!$C$3:$G$17,5,FALSE)/100)*AD60)</f>
        <v>103.5097899269629</v>
      </c>
      <c r="AH60" s="777">
        <f t="shared" si="53"/>
        <v>15.542010499543979</v>
      </c>
      <c r="AI60" s="776">
        <f t="shared" si="54"/>
        <v>41816.06</v>
      </c>
      <c r="AJ60" s="753">
        <f>VLOOKUP("*"&amp;$B60&amp;"*",'S4 - Summ PRS Characteristics'!$C$21:$Q$28,15,FALSE)*$J60</f>
        <v>40.842595040115953</v>
      </c>
      <c r="AK60" s="753">
        <f t="shared" si="58"/>
        <v>625.15740495988405</v>
      </c>
      <c r="AL60" s="753">
        <f>IF($C60="other",(1-$C56)*AJ60,(1-(VLOOKUP($C60,'S3 - Screening Tool Metrics'!$C$3:$G$17,5,FALSE)/100))*AJ60)</f>
        <v>8.1685190080231891</v>
      </c>
      <c r="AM60" s="753">
        <f>IF($C60="other",$C56*AJ60,(VLOOKUP($C60,'S3 - Screening Tool Metrics'!$C$3:$G$17,5,FALSE)/100)*AJ60)</f>
        <v>32.674076032092763</v>
      </c>
      <c r="AN60" s="778">
        <f t="shared" si="55"/>
        <v>4.9060174222361512</v>
      </c>
    </row>
    <row r="61" spans="2:44" x14ac:dyDescent="0.2">
      <c r="B61" s="768" t="s">
        <v>12</v>
      </c>
      <c r="C61" s="779" t="str">
        <f>$C57</f>
        <v>Other</v>
      </c>
      <c r="D61" s="780" t="s">
        <v>196</v>
      </c>
      <c r="E61" s="781">
        <f>VLOOKUP($B61&amp;"_"&amp;$D61,'App5 - CRUK Inci Rates'!C:H,6,FALSE)</f>
        <v>29.2</v>
      </c>
      <c r="F61" s="782">
        <f>VLOOKUP($B61&amp;"_"&amp;$D61,'App5 - CRUK Inci Rates'!C:H,3,FALSE)</f>
        <v>22.4</v>
      </c>
      <c r="G61" s="783">
        <f>VLOOKUP($B61&amp;"_"&amp;$D61,'App5 - CRUK Inci Rates'!C:J,8,FALSE)</f>
        <v>3602002</v>
      </c>
      <c r="H61" s="784">
        <f>VLOOKUP($B61&amp;"_"&amp;$D61,'App5 - CRUK Inci Rates'!C:J,7,FALSE)</f>
        <v>1764828</v>
      </c>
      <c r="I61" s="784">
        <f>VLOOKUP($B61&amp;"_"&amp;$D61,'App5 - CRUK Inci Rates'!C:J,4,FALSE)</f>
        <v>1837174</v>
      </c>
      <c r="J61" s="778">
        <f>VLOOKUP($B61&amp;"_"&amp;$D61,'App5 - CRUK Inci Rates'!C:K,9,FALSE)</f>
        <v>926</v>
      </c>
      <c r="K61" s="753">
        <f t="shared" si="8"/>
        <v>1801001</v>
      </c>
      <c r="L61" s="753">
        <f>VLOOKUP("*"&amp;$B61&amp;"*",'S4 - Summ PRS Characteristics'!$C$21:$Q$28,11,FALSE)*$J61</f>
        <v>725.12301043679759</v>
      </c>
      <c r="M61" s="753">
        <f t="shared" si="9"/>
        <v>200.87698956320241</v>
      </c>
      <c r="N61" s="753">
        <f>IF($C61="other",(1-$C$7)*L61,(1-(VLOOKUP($C61,'S3 - Screening Tool Metrics'!$C$3:$G$17,5,FALSE)/100))*L61)</f>
        <v>145.02460208735948</v>
      </c>
      <c r="O61" s="753">
        <f>IF($C61="other",$C$7*L61,(VLOOKUP($C61,'S3 - Screening Tool Metrics'!$C$3:$G$17,5,FALSE)/100)*L61)</f>
        <v>580.09840834943805</v>
      </c>
      <c r="P61" s="753">
        <f t="shared" si="10"/>
        <v>62.645616452423113</v>
      </c>
      <c r="Q61" s="776">
        <f t="shared" si="48"/>
        <v>720400.4</v>
      </c>
      <c r="R61" s="753">
        <f>VLOOKUP("*"&amp;$B61&amp;"*",'S4 - Summ PRS Characteristics'!$C$21:$Q$28,12,FALSE)*$J61</f>
        <v>441.21053545432949</v>
      </c>
      <c r="S61" s="753">
        <f t="shared" si="56"/>
        <v>484.78946454567051</v>
      </c>
      <c r="T61" s="753">
        <f>IF($C61="other",(1-$C56)*R61,(1-(VLOOKUP($C61,'S3 - Screening Tool Metrics'!$C$3:$G$17,5,FALSE)/100))*R61)</f>
        <v>88.242107090865872</v>
      </c>
      <c r="U61" s="753">
        <f>IF($C61="other",$C56*R61,(VLOOKUP($C61,'S3 - Screening Tool Metrics'!$C$3:$G$17,5,FALSE)/100)*R61)</f>
        <v>352.9684283634636</v>
      </c>
      <c r="V61" s="777">
        <f t="shared" si="49"/>
        <v>38.117540859985269</v>
      </c>
      <c r="W61" s="753">
        <f t="shared" si="50"/>
        <v>360200.2</v>
      </c>
      <c r="X61" s="753">
        <f>VLOOKUP("*"&amp;$B61&amp;"*",'S4 - Summ PRS Characteristics'!$C$21:$Q$28,13,FALSE)*$J61</f>
        <v>286.04901514691682</v>
      </c>
      <c r="Y61" s="753">
        <f t="shared" si="57"/>
        <v>639.95098485308313</v>
      </c>
      <c r="Z61" s="753">
        <f>IF($C61="other",(1-$C56)*X61,(1-(VLOOKUP($C61,'S3 - Screening Tool Metrics'!$C$3:$G$17,5,FALSE)/100))*X61)</f>
        <v>57.209803029383352</v>
      </c>
      <c r="AA61" s="753">
        <f>IF($C61="other",$C56*X61,(VLOOKUP($C61,'S3 - Screening Tool Metrics'!$C$3:$G$17,5,FALSE)/100)*X61)</f>
        <v>228.83921211753346</v>
      </c>
      <c r="AB61" s="777">
        <f t="shared" si="51"/>
        <v>24.712657896061931</v>
      </c>
      <c r="AC61" s="776">
        <f t="shared" si="52"/>
        <v>180100.1</v>
      </c>
      <c r="AD61" s="753">
        <f>VLOOKUP("*"&amp;$B61&amp;"*",'S4 - Summ PRS Characteristics'!$C$21:$Q$28,14,FALSE)*$J61</f>
        <v>179.89877153222156</v>
      </c>
      <c r="AE61" s="753">
        <f t="shared" si="59"/>
        <v>746.10122846777847</v>
      </c>
      <c r="AF61" s="753">
        <f>IF($C61="other",(1-$C56)*AD61,(1-(VLOOKUP($C61,'S3 - Screening Tool Metrics'!$C$3:$G$17,5,FALSE)/100))*AD61)</f>
        <v>35.979754306444306</v>
      </c>
      <c r="AG61" s="753">
        <f>IF($C61="other",$C56*AD61,(VLOOKUP($C61,'S3 - Screening Tool Metrics'!$C$3:$G$17,5,FALSE)/100)*AD61)</f>
        <v>143.91901722577725</v>
      </c>
      <c r="AH61" s="777">
        <f t="shared" si="53"/>
        <v>15.542010499543979</v>
      </c>
      <c r="AI61" s="776">
        <f t="shared" si="54"/>
        <v>36020.020000000004</v>
      </c>
      <c r="AJ61" s="753">
        <f>VLOOKUP("*"&amp;$B61&amp;"*",'S4 - Summ PRS Characteristics'!$C$21:$Q$28,15,FALSE)*$J61</f>
        <v>56.787151662383444</v>
      </c>
      <c r="AK61" s="753">
        <f t="shared" si="58"/>
        <v>869.21284833761661</v>
      </c>
      <c r="AL61" s="753">
        <f>IF($C61="other",(1-$C56)*AJ61,(1-(VLOOKUP($C61,'S3 - Screening Tool Metrics'!$C$3:$G$17,5,FALSE)/100))*AJ61)</f>
        <v>11.357430332476687</v>
      </c>
      <c r="AM61" s="753">
        <f>IF($C61="other",$C56*AJ61,(VLOOKUP($C61,'S3 - Screening Tool Metrics'!$C$3:$G$17,5,FALSE)/100)*AJ61)</f>
        <v>45.429721329906755</v>
      </c>
      <c r="AN61" s="778">
        <f t="shared" si="55"/>
        <v>4.9060174222361512</v>
      </c>
      <c r="AO61" s="753"/>
      <c r="AP61" s="753"/>
      <c r="AQ61" s="753"/>
      <c r="AR61" s="753"/>
    </row>
    <row r="62" spans="2:44" x14ac:dyDescent="0.2">
      <c r="B62" s="768" t="s">
        <v>12</v>
      </c>
      <c r="C62" s="779" t="str">
        <f>$C57</f>
        <v>Other</v>
      </c>
      <c r="D62" s="780" t="s">
        <v>197</v>
      </c>
      <c r="E62" s="781">
        <f>VLOOKUP($B62&amp;"_"&amp;$D62,'App5 - CRUK Inci Rates'!C:H,6,FALSE)</f>
        <v>47.2</v>
      </c>
      <c r="F62" s="782">
        <f>VLOOKUP($B62&amp;"_"&amp;$D62,'App5 - CRUK Inci Rates'!C:H,3,FALSE)</f>
        <v>34.1</v>
      </c>
      <c r="G62" s="783">
        <f>VLOOKUP($B62&amp;"_"&amp;$D62,'App5 - CRUK Inci Rates'!C:J,8,FALSE)</f>
        <v>3502183.333333333</v>
      </c>
      <c r="H62" s="784">
        <f>VLOOKUP($B62&amp;"_"&amp;$D62,'App5 - CRUK Inci Rates'!C:J,7,FALSE)</f>
        <v>1696993.3333333333</v>
      </c>
      <c r="I62" s="784">
        <f>VLOOKUP($B62&amp;"_"&amp;$D62,'App5 - CRUK Inci Rates'!C:J,4,FALSE)</f>
        <v>1805190</v>
      </c>
      <c r="J62" s="778">
        <f>VLOOKUP($B62&amp;"_"&amp;$D62,'App5 - CRUK Inci Rates'!C:K,9,FALSE)</f>
        <v>1417</v>
      </c>
      <c r="K62" s="753">
        <f t="shared" si="8"/>
        <v>1751091.6666666665</v>
      </c>
      <c r="L62" s="753">
        <f>VLOOKUP("*"&amp;$B62&amp;"*",'S4 - Summ PRS Characteristics'!$C$21:$Q$28,11,FALSE)*$J62</f>
        <v>1109.6104814135444</v>
      </c>
      <c r="M62" s="753">
        <f t="shared" si="9"/>
        <v>307.38951858645555</v>
      </c>
      <c r="N62" s="753">
        <f>IF($C62="other",(1-$C$7)*L62,(1-(VLOOKUP($C62,'S3 - Screening Tool Metrics'!$C$3:$G$17,5,FALSE)/100))*L62)</f>
        <v>221.92209628270885</v>
      </c>
      <c r="O62" s="753">
        <f>IF($C62="other",$C$7*L62,(VLOOKUP($C62,'S3 - Screening Tool Metrics'!$C$3:$G$17,5,FALSE)/100)*L62)</f>
        <v>887.68838513083563</v>
      </c>
      <c r="P62" s="753">
        <f t="shared" si="10"/>
        <v>62.645616452423127</v>
      </c>
      <c r="Q62" s="776">
        <f t="shared" si="48"/>
        <v>700436.66666666663</v>
      </c>
      <c r="R62" s="753">
        <f>VLOOKUP("*"&amp;$B62&amp;"*",'S4 - Summ PRS Characteristics'!$C$21:$Q$28,12,FALSE)*$J62</f>
        <v>675.15694248248906</v>
      </c>
      <c r="S62" s="753">
        <f t="shared" si="56"/>
        <v>741.84305751751094</v>
      </c>
      <c r="T62" s="753">
        <f>IF($C62="other",(1-$C56)*R62,(1-(VLOOKUP($C62,'S3 - Screening Tool Metrics'!$C$3:$G$17,5,FALSE)/100))*R62)</f>
        <v>135.03138849649778</v>
      </c>
      <c r="U62" s="753">
        <f>IF($C62="other",$C56*R62,(VLOOKUP($C62,'S3 - Screening Tool Metrics'!$C$3:$G$17,5,FALSE)/100)*R62)</f>
        <v>540.12555398599125</v>
      </c>
      <c r="V62" s="777">
        <f t="shared" si="49"/>
        <v>38.117540859985269</v>
      </c>
      <c r="W62" s="753">
        <f t="shared" si="50"/>
        <v>350218.33333333331</v>
      </c>
      <c r="X62" s="753">
        <f>VLOOKUP("*"&amp;$B62&amp;"*",'S4 - Summ PRS Characteristics'!$C$21:$Q$28,13,FALSE)*$J62</f>
        <v>437.72295298399689</v>
      </c>
      <c r="Y62" s="753">
        <f t="shared" si="57"/>
        <v>979.27704701600305</v>
      </c>
      <c r="Z62" s="753">
        <f>IF($C62="other",(1-$C56)*X62,(1-(VLOOKUP($C62,'S3 - Screening Tool Metrics'!$C$3:$G$17,5,FALSE)/100))*X62)</f>
        <v>87.544590596799353</v>
      </c>
      <c r="AA62" s="753">
        <f>IF($C62="other",$C56*X62,(VLOOKUP($C62,'S3 - Screening Tool Metrics'!$C$3:$G$17,5,FALSE)/100)*X62)</f>
        <v>350.17836238719752</v>
      </c>
      <c r="AB62" s="777">
        <f t="shared" si="51"/>
        <v>24.712657896061931</v>
      </c>
      <c r="AC62" s="776">
        <f t="shared" si="52"/>
        <v>175109.16666666666</v>
      </c>
      <c r="AD62" s="753">
        <f>VLOOKUP("*"&amp;$B62&amp;"*",'S4 - Summ PRS Characteristics'!$C$21:$Q$28,14,FALSE)*$J62</f>
        <v>275.28786097317271</v>
      </c>
      <c r="AE62" s="753">
        <f t="shared" si="59"/>
        <v>1141.7121390268273</v>
      </c>
      <c r="AF62" s="753">
        <f>IF($C62="other",(1-$C56)*AD62,(1-(VLOOKUP($C62,'S3 - Screening Tool Metrics'!$C$3:$G$17,5,FALSE)/100))*AD62)</f>
        <v>55.057572194634531</v>
      </c>
      <c r="AG62" s="753">
        <f>IF($C62="other",$C56*AD62,(VLOOKUP($C62,'S3 - Screening Tool Metrics'!$C$3:$G$17,5,FALSE)/100)*AD62)</f>
        <v>220.23028877853818</v>
      </c>
      <c r="AH62" s="777">
        <f t="shared" si="53"/>
        <v>15.542010499543979</v>
      </c>
      <c r="AI62" s="776">
        <f t="shared" si="54"/>
        <v>35021.833333333328</v>
      </c>
      <c r="AJ62" s="753">
        <f>VLOOKUP("*"&amp;$B62&amp;"*",'S4 - Summ PRS Characteristics'!$C$21:$Q$28,15,FALSE)*$J62</f>
        <v>86.897833591357823</v>
      </c>
      <c r="AK62" s="753">
        <f t="shared" si="58"/>
        <v>1330.1021664086422</v>
      </c>
      <c r="AL62" s="753">
        <f>IF($C62="other",(1-$C56)*AJ62,(1-(VLOOKUP($C62,'S3 - Screening Tool Metrics'!$C$3:$G$17,5,FALSE)/100))*AJ62)</f>
        <v>17.379566718271562</v>
      </c>
      <c r="AM62" s="753">
        <f>IF($C62="other",$C56*AJ62,(VLOOKUP($C62,'S3 - Screening Tool Metrics'!$C$3:$G$17,5,FALSE)/100)*AJ62)</f>
        <v>69.518266873086262</v>
      </c>
      <c r="AN62" s="778">
        <f t="shared" si="55"/>
        <v>4.9060174222361512</v>
      </c>
    </row>
    <row r="63" spans="2:44" x14ac:dyDescent="0.2">
      <c r="B63" s="768" t="s">
        <v>12</v>
      </c>
      <c r="C63" s="779" t="str">
        <f>$C57</f>
        <v>Other</v>
      </c>
      <c r="D63" s="780" t="s">
        <v>198</v>
      </c>
      <c r="E63" s="781">
        <f>VLOOKUP($B63&amp;"_"&amp;$D63,'App5 - CRUK Inci Rates'!C:H,6,FALSE)</f>
        <v>66.400000000000006</v>
      </c>
      <c r="F63" s="782">
        <f>VLOOKUP($B63&amp;"_"&amp;$D63,'App5 - CRUK Inci Rates'!C:H,3,FALSE)</f>
        <v>48.8</v>
      </c>
      <c r="G63" s="783">
        <f>VLOOKUP($B63&amp;"_"&amp;$D63,'App5 - CRUK Inci Rates'!C:J,8,FALSE)</f>
        <v>3071574.666666667</v>
      </c>
      <c r="H63" s="784">
        <f>VLOOKUP($B63&amp;"_"&amp;$D63,'App5 - CRUK Inci Rates'!C:J,7,FALSE)</f>
        <v>1467965</v>
      </c>
      <c r="I63" s="784">
        <f>VLOOKUP($B63&amp;"_"&amp;$D63,'App5 - CRUK Inci Rates'!C:J,4,FALSE)</f>
        <v>1603609.6666666667</v>
      </c>
      <c r="J63" s="778">
        <f>VLOOKUP($B63&amp;"_"&amp;$D63,'App5 - CRUK Inci Rates'!C:K,9,FALSE)</f>
        <v>1757</v>
      </c>
      <c r="K63" s="753">
        <f t="shared" si="8"/>
        <v>1535787.3333333335</v>
      </c>
      <c r="L63" s="753">
        <f>VLOOKUP("*"&amp;$B63&amp;"*",'S4 - Summ PRS Characteristics'!$C$21:$Q$28,11,FALSE)*$J63</f>
        <v>1375.8543513363427</v>
      </c>
      <c r="M63" s="753">
        <f t="shared" si="9"/>
        <v>381.14564866365731</v>
      </c>
      <c r="N63" s="753">
        <f>IF($C63="other",(1-$C$7)*L63,(1-(VLOOKUP($C63,'S3 - Screening Tool Metrics'!$C$3:$G$17,5,FALSE)/100))*L63)</f>
        <v>275.17087026726847</v>
      </c>
      <c r="O63" s="753">
        <f>IF($C63="other",$C$7*L63,(VLOOKUP($C63,'S3 - Screening Tool Metrics'!$C$3:$G$17,5,FALSE)/100)*L63)</f>
        <v>1100.6834810690741</v>
      </c>
      <c r="P63" s="753">
        <f t="shared" si="10"/>
        <v>62.645616452423113</v>
      </c>
      <c r="Q63" s="776">
        <f t="shared" si="48"/>
        <v>614314.93333333347</v>
      </c>
      <c r="R63" s="753">
        <f>VLOOKUP("*"&amp;$B63&amp;"*",'S4 - Summ PRS Characteristics'!$C$21:$Q$28,12,FALSE)*$J63</f>
        <v>837.15649113742654</v>
      </c>
      <c r="S63" s="753">
        <f t="shared" si="56"/>
        <v>919.84350886257346</v>
      </c>
      <c r="T63" s="753">
        <f>IF($C63="other",(1-$C56)*R63,(1-(VLOOKUP($C63,'S3 - Screening Tool Metrics'!$C$3:$G$17,5,FALSE)/100))*R63)</f>
        <v>167.43129822748526</v>
      </c>
      <c r="U63" s="753">
        <f>IF($C63="other",$C56*R63,(VLOOKUP($C63,'S3 - Screening Tool Metrics'!$C$3:$G$17,5,FALSE)/100)*R63)</f>
        <v>669.72519290994126</v>
      </c>
      <c r="V63" s="777">
        <f t="shared" si="49"/>
        <v>38.117540859985269</v>
      </c>
      <c r="W63" s="753">
        <f t="shared" si="50"/>
        <v>307157.46666666673</v>
      </c>
      <c r="X63" s="753">
        <f>VLOOKUP("*"&amp;$B63&amp;"*",'S4 - Summ PRS Characteristics'!$C$21:$Q$28,13,FALSE)*$J63</f>
        <v>542.75174904226003</v>
      </c>
      <c r="Y63" s="753">
        <f t="shared" si="57"/>
        <v>1214.2482509577399</v>
      </c>
      <c r="Z63" s="753">
        <f>IF($C63="other",(1-$C56)*X63,(1-(VLOOKUP($C63,'S3 - Screening Tool Metrics'!$C$3:$G$17,5,FALSE)/100))*X63)</f>
        <v>108.55034980845198</v>
      </c>
      <c r="AA63" s="753">
        <f>IF($C63="other",$C56*X63,(VLOOKUP($C63,'S3 - Screening Tool Metrics'!$C$3:$G$17,5,FALSE)/100)*X63)</f>
        <v>434.20139923380805</v>
      </c>
      <c r="AB63" s="777">
        <f t="shared" si="51"/>
        <v>24.712657896061927</v>
      </c>
      <c r="AC63" s="776">
        <f t="shared" si="52"/>
        <v>153578.73333333337</v>
      </c>
      <c r="AD63" s="753">
        <f>VLOOKUP("*"&amp;$B63&amp;"*",'S4 - Summ PRS Characteristics'!$C$21:$Q$28,14,FALSE)*$J63</f>
        <v>341.34140559623467</v>
      </c>
      <c r="AE63" s="753">
        <f t="shared" si="59"/>
        <v>1415.6585944037654</v>
      </c>
      <c r="AF63" s="753">
        <f>IF($C63="other",(1-$C56)*AD63,(1-(VLOOKUP($C63,'S3 - Screening Tool Metrics'!$C$3:$G$17,5,FALSE)/100))*AD63)</f>
        <v>68.268281119246922</v>
      </c>
      <c r="AG63" s="753">
        <f>IF($C63="other",$C56*AD63,(VLOOKUP($C63,'S3 - Screening Tool Metrics'!$C$3:$G$17,5,FALSE)/100)*AD63)</f>
        <v>273.07312447698774</v>
      </c>
      <c r="AH63" s="777">
        <f t="shared" si="53"/>
        <v>15.542010499543983</v>
      </c>
      <c r="AI63" s="776">
        <f t="shared" si="54"/>
        <v>30715.74666666667</v>
      </c>
      <c r="AJ63" s="753">
        <f>VLOOKUP("*"&amp;$B63&amp;"*",'S4 - Summ PRS Characteristics'!$C$21:$Q$28,15,FALSE)*$J63</f>
        <v>107.74840763586147</v>
      </c>
      <c r="AK63" s="753">
        <f t="shared" si="58"/>
        <v>1649.2515923641386</v>
      </c>
      <c r="AL63" s="753">
        <f>IF($C63="other",(1-$C56)*AJ63,(1-(VLOOKUP($C63,'S3 - Screening Tool Metrics'!$C$3:$G$17,5,FALSE)/100))*AJ63)</f>
        <v>21.549681527172289</v>
      </c>
      <c r="AM63" s="753">
        <f>IF($C63="other",$C56*AJ63,(VLOOKUP($C63,'S3 - Screening Tool Metrics'!$C$3:$G$17,5,FALSE)/100)*AJ63)</f>
        <v>86.198726108689186</v>
      </c>
      <c r="AN63" s="778">
        <f t="shared" si="55"/>
        <v>4.9060174222361512</v>
      </c>
    </row>
    <row r="64" spans="2:44" x14ac:dyDescent="0.2">
      <c r="B64" s="768" t="s">
        <v>12</v>
      </c>
      <c r="C64" s="779" t="str">
        <f>$C57</f>
        <v>Other</v>
      </c>
      <c r="D64" s="780" t="s">
        <v>199</v>
      </c>
      <c r="E64" s="781">
        <f>VLOOKUP($B64&amp;"_"&amp;$D64,'App5 - CRUK Inci Rates'!C:H,6,FALSE)</f>
        <v>86</v>
      </c>
      <c r="F64" s="782">
        <f>VLOOKUP($B64&amp;"_"&amp;$D64,'App5 - CRUK Inci Rates'!C:H,3,FALSE)</f>
        <v>70.8</v>
      </c>
      <c r="G64" s="783">
        <f>VLOOKUP($B64&amp;"_"&amp;$D64,'App5 - CRUK Inci Rates'!C:J,8,FALSE)</f>
        <v>2189010.6666666665</v>
      </c>
      <c r="H64" s="784">
        <f>VLOOKUP($B64&amp;"_"&amp;$D64,'App5 - CRUK Inci Rates'!C:J,7,FALSE)</f>
        <v>1007365.3333333334</v>
      </c>
      <c r="I64" s="784">
        <f>VLOOKUP($B64&amp;"_"&amp;$D64,'App5 - CRUK Inci Rates'!C:J,4,FALSE)</f>
        <v>1181645.3333333333</v>
      </c>
      <c r="J64" s="778">
        <f>VLOOKUP($B64&amp;"_"&amp;$D64,'App5 - CRUK Inci Rates'!C:K,9,FALSE)</f>
        <v>1702</v>
      </c>
      <c r="K64" s="753">
        <f t="shared" si="8"/>
        <v>1094505.3333333333</v>
      </c>
      <c r="L64" s="753">
        <f>VLOOKUP("*"&amp;$B64&amp;"*",'S4 - Summ PRS Characteristics'!$C$21:$Q$28,11,FALSE)*$J64</f>
        <v>1332.7854900253019</v>
      </c>
      <c r="M64" s="753">
        <f t="shared" si="9"/>
        <v>369.2145099746981</v>
      </c>
      <c r="N64" s="753">
        <f>IF($C64="other",(1-$C$7)*L64,(1-(VLOOKUP($C64,'S3 - Screening Tool Metrics'!$C$3:$G$17,5,FALSE)/100))*L64)</f>
        <v>266.55709800506031</v>
      </c>
      <c r="O64" s="753">
        <f>IF($C64="other",$C$7*L64,(VLOOKUP($C64,'S3 - Screening Tool Metrics'!$C$3:$G$17,5,FALSE)/100)*L64)</f>
        <v>1066.2283920202415</v>
      </c>
      <c r="P64" s="753">
        <f t="shared" si="10"/>
        <v>62.645616452423113</v>
      </c>
      <c r="Q64" s="776">
        <f t="shared" si="48"/>
        <v>437802.1333333333</v>
      </c>
      <c r="R64" s="753">
        <f>VLOOKUP("*"&amp;$B64&amp;"*",'S4 - Summ PRS Characteristics'!$C$21:$Q$28,12,FALSE)*$J64</f>
        <v>810.95068179618659</v>
      </c>
      <c r="S64" s="753">
        <f t="shared" si="56"/>
        <v>891.04931820381341</v>
      </c>
      <c r="T64" s="753">
        <f>IF($C64="other",(1-$C56)*R64,(1-(VLOOKUP($C64,'S3 - Screening Tool Metrics'!$C$3:$G$17,5,FALSE)/100))*R64)</f>
        <v>162.19013635923727</v>
      </c>
      <c r="U64" s="753">
        <f>IF($C64="other",$C56*R64,(VLOOKUP($C64,'S3 - Screening Tool Metrics'!$C$3:$G$17,5,FALSE)/100)*R64)</f>
        <v>648.76054543694931</v>
      </c>
      <c r="V64" s="777">
        <f t="shared" si="49"/>
        <v>38.117540859985269</v>
      </c>
      <c r="W64" s="753">
        <f t="shared" si="50"/>
        <v>218901.06666666665</v>
      </c>
      <c r="X64" s="753">
        <f>VLOOKUP("*"&amp;$B64&amp;"*",'S4 - Summ PRS Characteristics'!$C$21:$Q$28,13,FALSE)*$J64</f>
        <v>525.76179673871752</v>
      </c>
      <c r="Y64" s="753">
        <f t="shared" si="57"/>
        <v>1176.2382032612825</v>
      </c>
      <c r="Z64" s="753">
        <f>IF($C64="other",(1-$C56)*X64,(1-(VLOOKUP($C64,'S3 - Screening Tool Metrics'!$C$3:$G$17,5,FALSE)/100))*X64)</f>
        <v>105.15235934774348</v>
      </c>
      <c r="AA64" s="753">
        <f>IF($C64="other",$C56*X64,(VLOOKUP($C64,'S3 - Screening Tool Metrics'!$C$3:$G$17,5,FALSE)/100)*X64)</f>
        <v>420.60943739097405</v>
      </c>
      <c r="AB64" s="777">
        <f t="shared" si="51"/>
        <v>24.712657896061931</v>
      </c>
      <c r="AC64" s="776">
        <f t="shared" si="52"/>
        <v>109450.53333333333</v>
      </c>
      <c r="AD64" s="753">
        <f>VLOOKUP("*"&amp;$B64&amp;"*",'S4 - Summ PRS Characteristics'!$C$21:$Q$28,14,FALSE)*$J64</f>
        <v>330.65627337779813</v>
      </c>
      <c r="AE64" s="753">
        <f t="shared" si="59"/>
        <v>1371.3437266222018</v>
      </c>
      <c r="AF64" s="753">
        <f>IF($C64="other",(1-$C56)*AD64,(1-(VLOOKUP($C64,'S3 - Screening Tool Metrics'!$C$3:$G$17,5,FALSE)/100))*AD64)</f>
        <v>66.131254675559617</v>
      </c>
      <c r="AG64" s="753">
        <f>IF($C64="other",$C56*AD64,(VLOOKUP($C64,'S3 - Screening Tool Metrics'!$C$3:$G$17,5,FALSE)/100)*AD64)</f>
        <v>264.52501870223853</v>
      </c>
      <c r="AH64" s="777">
        <f t="shared" si="53"/>
        <v>15.542010499543979</v>
      </c>
      <c r="AI64" s="776">
        <f t="shared" si="54"/>
        <v>21890.106666666667</v>
      </c>
      <c r="AJ64" s="753">
        <f>VLOOKUP("*"&amp;$B64&amp;"*",'S4 - Summ PRS Characteristics'!$C$21:$Q$28,15,FALSE)*$J64</f>
        <v>104.37552065807411</v>
      </c>
      <c r="AK64" s="753">
        <f t="shared" si="58"/>
        <v>1597.624479341926</v>
      </c>
      <c r="AL64" s="753">
        <f>IF($C64="other",(1-$C56)*AJ64,(1-(VLOOKUP($C64,'S3 - Screening Tool Metrics'!$C$3:$G$17,5,FALSE)/100))*AJ64)</f>
        <v>20.875104131614815</v>
      </c>
      <c r="AM64" s="753">
        <f>IF($C64="other",$C56*AJ64,(VLOOKUP($C64,'S3 - Screening Tool Metrics'!$C$3:$G$17,5,FALSE)/100)*AJ64)</f>
        <v>83.50041652645929</v>
      </c>
      <c r="AN64" s="778">
        <f t="shared" si="55"/>
        <v>4.9060174222361512</v>
      </c>
    </row>
    <row r="65" spans="2:40" x14ac:dyDescent="0.2">
      <c r="B65" s="768" t="s">
        <v>12</v>
      </c>
      <c r="C65" s="779" t="str">
        <f>$C57</f>
        <v>Other</v>
      </c>
      <c r="D65" s="780" t="s">
        <v>200</v>
      </c>
      <c r="E65" s="781">
        <f>VLOOKUP($B65&amp;"_"&amp;$D65,'App5 - CRUK Inci Rates'!C:H,6,FALSE)</f>
        <v>17.427226372970985</v>
      </c>
      <c r="F65" s="782">
        <f>VLOOKUP($B65&amp;"_"&amp;$D65,'App5 - CRUK Inci Rates'!C:H,3,FALSE)</f>
        <v>12.96374185444887</v>
      </c>
      <c r="G65" s="783">
        <f>VLOOKUP($B65&amp;"_"&amp;$D65,'App5 - CRUK Inci Rates'!C:J,8,FALSE)</f>
        <v>24586669.333333336</v>
      </c>
      <c r="H65" s="784">
        <f>VLOOKUP($B65&amp;"_"&amp;$D65,'App5 - CRUK Inci Rates'!C:J,7,FALSE)</f>
        <v>12090277.333333334</v>
      </c>
      <c r="I65" s="784">
        <f>VLOOKUP($B65&amp;"_"&amp;$D65,'App5 - CRUK Inci Rates'!C:J,4,FALSE)</f>
        <v>12496392</v>
      </c>
      <c r="J65" s="778">
        <f>VLOOKUP($B65&amp;"_"&amp;$D65,'App5 - CRUK Inci Rates'!C:K,9,FALSE)</f>
        <v>3727</v>
      </c>
      <c r="K65" s="753">
        <f t="shared" si="8"/>
        <v>12293334.666666668</v>
      </c>
      <c r="L65" s="753">
        <f>VLOOKUP("*"&amp;$B65&amp;"*",'S4 - Summ PRS Characteristics'!$C$21:$Q$28,11,FALSE)*$J65</f>
        <v>2918.502656477262</v>
      </c>
      <c r="M65" s="753">
        <f t="shared" si="9"/>
        <v>808.49734352273799</v>
      </c>
      <c r="N65" s="753">
        <f>IF($C65="other",(1-$C$7)*L65,(1-(VLOOKUP($C65,'S3 - Screening Tool Metrics'!$C$3:$G$17,5,FALSE)/100))*L65)</f>
        <v>583.70053129545227</v>
      </c>
      <c r="O65" s="753">
        <f>IF($C65="other",$C$7*L65,(VLOOKUP($C65,'S3 - Screening Tool Metrics'!$C$3:$G$17,5,FALSE)/100)*L65)</f>
        <v>2334.8021251818095</v>
      </c>
      <c r="P65" s="753">
        <f t="shared" si="10"/>
        <v>62.645616452423113</v>
      </c>
      <c r="Q65" s="776">
        <f t="shared" si="48"/>
        <v>4917333.8666666672</v>
      </c>
      <c r="R65" s="753">
        <f>VLOOKUP("*"&amp;$B65&amp;"*",'S4 - Summ PRS Characteristics'!$C$21:$Q$28,12,FALSE)*$J65</f>
        <v>1775.8009348145638</v>
      </c>
      <c r="S65" s="753">
        <f t="shared" si="56"/>
        <v>1951.1990651854362</v>
      </c>
      <c r="T65" s="753">
        <f>IF($C65="other",(1-$C56)*R65,(1-(VLOOKUP($C65,'S3 - Screening Tool Metrics'!$C$3:$G$17,5,FALSE)/100))*R65)</f>
        <v>355.16018696291269</v>
      </c>
      <c r="U65" s="753">
        <f>IF($C65="other",$C56*R65,(VLOOKUP($C65,'S3 - Screening Tool Metrics'!$C$3:$G$17,5,FALSE)/100)*R65)</f>
        <v>1420.6407478516512</v>
      </c>
      <c r="V65" s="777">
        <f t="shared" si="49"/>
        <v>38.117540859985276</v>
      </c>
      <c r="W65" s="753">
        <f t="shared" si="50"/>
        <v>2458666.9333333336</v>
      </c>
      <c r="X65" s="753">
        <f>VLOOKUP("*"&amp;$B65&amp;"*",'S4 - Summ PRS Characteristics'!$C$21:$Q$28,13,FALSE)*$J65</f>
        <v>1151.3009497327851</v>
      </c>
      <c r="Y65" s="753">
        <f t="shared" si="57"/>
        <v>2575.6990502672152</v>
      </c>
      <c r="Z65" s="753">
        <f>IF($C65="other",(1-$C56)*X65,(1-(VLOOKUP($C65,'S3 - Screening Tool Metrics'!$C$3:$G$17,5,FALSE)/100))*X65)</f>
        <v>230.26018994655695</v>
      </c>
      <c r="AA65" s="753">
        <f>IF($C65="other",$C56*X65,(VLOOKUP($C65,'S3 - Screening Tool Metrics'!$C$3:$G$17,5,FALSE)/100)*X65)</f>
        <v>921.04075978622814</v>
      </c>
      <c r="AB65" s="777">
        <f t="shared" si="51"/>
        <v>24.712657896061931</v>
      </c>
      <c r="AC65" s="776">
        <f t="shared" si="52"/>
        <v>1229333.4666666668</v>
      </c>
      <c r="AD65" s="753">
        <f>VLOOKUP("*"&amp;$B65&amp;"*",'S4 - Summ PRS Characteristics'!$C$21:$Q$28,14,FALSE)*$J65</f>
        <v>724.06341414750511</v>
      </c>
      <c r="AE65" s="753">
        <f t="shared" si="59"/>
        <v>3002.9365858524948</v>
      </c>
      <c r="AF65" s="753">
        <f>IF($C65="other",(1-$C56)*AD65,(1-(VLOOKUP($C65,'S3 - Screening Tool Metrics'!$C$3:$G$17,5,FALSE)/100))*AD65)</f>
        <v>144.812682829501</v>
      </c>
      <c r="AG65" s="753">
        <f>IF($C65="other",$C56*AD65,(VLOOKUP($C65,'S3 - Screening Tool Metrics'!$C$3:$G$17,5,FALSE)/100)*AD65)</f>
        <v>579.25073131800411</v>
      </c>
      <c r="AH65" s="777">
        <f t="shared" si="53"/>
        <v>15.542010499543979</v>
      </c>
      <c r="AI65" s="776">
        <f t="shared" si="54"/>
        <v>245866.69333333336</v>
      </c>
      <c r="AJ65" s="753">
        <f>VLOOKUP("*"&amp;$B65&amp;"*",'S4 - Summ PRS Characteristics'!$C$21:$Q$28,15,FALSE)*$J65</f>
        <v>228.55908665842668</v>
      </c>
      <c r="AK65" s="753">
        <f t="shared" si="58"/>
        <v>3498.4409133415734</v>
      </c>
      <c r="AL65" s="753">
        <f>IF($C65="other",(1-$C56)*AJ65,(1-(VLOOKUP($C65,'S3 - Screening Tool Metrics'!$C$3:$G$17,5,FALSE)/100))*AJ65)</f>
        <v>45.711817331685324</v>
      </c>
      <c r="AM65" s="753">
        <f>IF($C65="other",$C56*AJ65,(VLOOKUP($C65,'S3 - Screening Tool Metrics'!$C$3:$G$17,5,FALSE)/100)*AJ65)</f>
        <v>182.84726932674135</v>
      </c>
      <c r="AN65" s="778">
        <f t="shared" si="55"/>
        <v>4.9060174222361512</v>
      </c>
    </row>
    <row r="66" spans="2:40" x14ac:dyDescent="0.2">
      <c r="B66" s="768" t="s">
        <v>12</v>
      </c>
      <c r="C66" s="779" t="str">
        <f>$C57</f>
        <v>Other</v>
      </c>
      <c r="D66" s="780" t="s">
        <v>201</v>
      </c>
      <c r="E66" s="781">
        <f>VLOOKUP($B66&amp;"_"&amp;$D66,'App5 - CRUK Inci Rates'!C:H,6,FALSE)</f>
        <v>4.1656285098735539</v>
      </c>
      <c r="F66" s="782">
        <f>VLOOKUP($B66&amp;"_"&amp;$D66,'App5 - CRUK Inci Rates'!C:H,3,FALSE)</f>
        <v>2.9979156476550499</v>
      </c>
      <c r="G66" s="783">
        <f>VLOOKUP($B66&amp;"_"&amp;$D66,'App5 - CRUK Inci Rates'!C:J,8,FALSE)</f>
        <v>8642767.333333334</v>
      </c>
      <c r="H66" s="784">
        <f>VLOOKUP($B66&amp;"_"&amp;$D66,'App5 - CRUK Inci Rates'!C:J,7,FALSE)</f>
        <v>4273064.666666667</v>
      </c>
      <c r="I66" s="784">
        <f>VLOOKUP($B66&amp;"_"&amp;$D66,'App5 - CRUK Inci Rates'!C:J,4,FALSE)</f>
        <v>4369702.666666667</v>
      </c>
      <c r="J66" s="778">
        <f>VLOOKUP($B66&amp;"_"&amp;$D66,'App5 - CRUK Inci Rates'!C:K,9,FALSE)</f>
        <v>309</v>
      </c>
      <c r="K66" s="753">
        <f t="shared" si="8"/>
        <v>4321383.666666667</v>
      </c>
      <c r="L66" s="753">
        <f>VLOOKUP("*"&amp;$B66&amp;"*",'S4 - Summ PRS Characteristics'!$C$21:$Q$28,11,FALSE)*$J66</f>
        <v>241.96869354748429</v>
      </c>
      <c r="M66" s="753">
        <f t="shared" si="9"/>
        <v>67.031306452515707</v>
      </c>
      <c r="N66" s="753">
        <f>IF($C66="other",(1-$C$7)*L66,(1-(VLOOKUP($C66,'S3 - Screening Tool Metrics'!$C$3:$G$17,5,FALSE)/100))*L66)</f>
        <v>48.393738709496844</v>
      </c>
      <c r="O66" s="753">
        <f>IF($C66="other",$C$7*L66,(VLOOKUP($C66,'S3 - Screening Tool Metrics'!$C$3:$G$17,5,FALSE)/100)*L66)</f>
        <v>193.57495483798743</v>
      </c>
      <c r="P66" s="753">
        <f t="shared" si="10"/>
        <v>62.645616452423113</v>
      </c>
      <c r="Q66" s="776">
        <f t="shared" si="48"/>
        <v>1728553.4666666668</v>
      </c>
      <c r="R66" s="753">
        <f>VLOOKUP("*"&amp;$B66&amp;"*",'S4 - Summ PRS Characteristics'!$C$21:$Q$28,12,FALSE)*$J66</f>
        <v>147.22900157169312</v>
      </c>
      <c r="S66" s="753">
        <f t="shared" si="56"/>
        <v>161.77099842830688</v>
      </c>
      <c r="T66" s="753">
        <f>IF($C66="other",(1-$C56)*R66,(1-(VLOOKUP($C66,'S3 - Screening Tool Metrics'!$C$3:$G$17,5,FALSE)/100))*R66)</f>
        <v>29.445800314338616</v>
      </c>
      <c r="U66" s="753">
        <f>IF($C66="other",$C56*R66,(VLOOKUP($C66,'S3 - Screening Tool Metrics'!$C$3:$G$17,5,FALSE)/100)*R66)</f>
        <v>117.78320125735451</v>
      </c>
      <c r="V66" s="777">
        <f t="shared" si="49"/>
        <v>38.117540859985276</v>
      </c>
      <c r="W66" s="753">
        <f t="shared" si="50"/>
        <v>864276.7333333334</v>
      </c>
      <c r="X66" s="753">
        <f>VLOOKUP("*"&amp;$B66&amp;"*",'S4 - Summ PRS Characteristics'!$C$21:$Q$28,13,FALSE)*$J66</f>
        <v>95.452641123539195</v>
      </c>
      <c r="Y66" s="753">
        <f t="shared" si="57"/>
        <v>213.54735887646081</v>
      </c>
      <c r="Z66" s="753">
        <f>IF($C66="other",(1-$C56)*X66,(1-(VLOOKUP($C66,'S3 - Screening Tool Metrics'!$C$3:$G$17,5,FALSE)/100))*X66)</f>
        <v>19.090528224707835</v>
      </c>
      <c r="AA66" s="753">
        <f>IF($C66="other",$C56*X66,(VLOOKUP($C66,'S3 - Screening Tool Metrics'!$C$3:$G$17,5,FALSE)/100)*X66)</f>
        <v>76.362112898831356</v>
      </c>
      <c r="AB66" s="777">
        <f t="shared" si="51"/>
        <v>24.712657896061927</v>
      </c>
      <c r="AC66" s="776">
        <f t="shared" si="52"/>
        <v>432138.3666666667</v>
      </c>
      <c r="AD66" s="753">
        <f>VLOOKUP("*"&amp;$B66&amp;"*",'S4 - Summ PRS Characteristics'!$C$21:$Q$28,14,FALSE)*$J66</f>
        <v>60.031015554488619</v>
      </c>
      <c r="AE66" s="753">
        <f t="shared" si="59"/>
        <v>248.96898444551138</v>
      </c>
      <c r="AF66" s="753">
        <f>IF($C66="other",(1-$C56)*AD66,(1-(VLOOKUP($C66,'S3 - Screening Tool Metrics'!$C$3:$G$17,5,FALSE)/100))*AD66)</f>
        <v>12.006203110897721</v>
      </c>
      <c r="AG66" s="753">
        <f>IF($C66="other",$C56*AD66,(VLOOKUP($C66,'S3 - Screening Tool Metrics'!$C$3:$G$17,5,FALSE)/100)*AD66)</f>
        <v>48.024812443590896</v>
      </c>
      <c r="AH66" s="777">
        <f t="shared" si="53"/>
        <v>15.542010499543979</v>
      </c>
      <c r="AI66" s="776">
        <f t="shared" si="54"/>
        <v>86427.67333333334</v>
      </c>
      <c r="AJ66" s="753">
        <f>VLOOKUP("*"&amp;$B66&amp;"*",'S4 - Summ PRS Characteristics'!$C$21:$Q$28,15,FALSE)*$J66</f>
        <v>18.949492293387131</v>
      </c>
      <c r="AK66" s="753">
        <f t="shared" si="58"/>
        <v>290.05050770661285</v>
      </c>
      <c r="AL66" s="753">
        <f>IF($C66="other",(1-$C56)*AJ66,(1-(VLOOKUP($C66,'S3 - Screening Tool Metrics'!$C$3:$G$17,5,FALSE)/100))*AJ66)</f>
        <v>3.7898984586774254</v>
      </c>
      <c r="AM66" s="753">
        <f>IF($C66="other",$C56*AJ66,(VLOOKUP($C66,'S3 - Screening Tool Metrics'!$C$3:$G$17,5,FALSE)/100)*AJ66)</f>
        <v>15.159593834709705</v>
      </c>
      <c r="AN66" s="778">
        <f t="shared" si="55"/>
        <v>4.9060174222361503</v>
      </c>
    </row>
    <row r="67" spans="2:40" x14ac:dyDescent="0.2">
      <c r="B67" s="768" t="s">
        <v>12</v>
      </c>
      <c r="C67" s="779" t="str">
        <f>$C57</f>
        <v>Other</v>
      </c>
      <c r="D67" s="780" t="s">
        <v>202</v>
      </c>
      <c r="E67" s="781">
        <f>VLOOKUP($B67&amp;"_"&amp;$D67,'App5 - CRUK Inci Rates'!C:H,6,FALSE)</f>
        <v>14.074510258320455</v>
      </c>
      <c r="F67" s="782">
        <f>VLOOKUP($B67&amp;"_"&amp;$D67,'App5 - CRUK Inci Rates'!C:H,3,FALSE)</f>
        <v>10.302553130251624</v>
      </c>
      <c r="G67" s="783">
        <f>VLOOKUP($B67&amp;"_"&amp;$D67,'App5 - CRUK Inci Rates'!C:J,8,FALSE)</f>
        <v>8839716.6666666679</v>
      </c>
      <c r="H67" s="784">
        <f>VLOOKUP($B67&amp;"_"&amp;$D67,'App5 - CRUK Inci Rates'!C:J,7,FALSE)</f>
        <v>4355391.333333333</v>
      </c>
      <c r="I67" s="784">
        <f>VLOOKUP($B67&amp;"_"&amp;$D67,'App5 - CRUK Inci Rates'!C:J,4,FALSE)</f>
        <v>4484325.333333334</v>
      </c>
      <c r="J67" s="778">
        <f>VLOOKUP($B67&amp;"_"&amp;$D67,'App5 - CRUK Inci Rates'!C:K,9,FALSE)</f>
        <v>1075</v>
      </c>
      <c r="K67" s="753">
        <f t="shared" si="8"/>
        <v>4419858.333333334</v>
      </c>
      <c r="L67" s="753">
        <f>VLOOKUP("*"&amp;$B67&amp;"*",'S4 - Summ PRS Characteristics'!$C$21:$Q$28,11,FALSE)*$J67</f>
        <v>841.80047107943562</v>
      </c>
      <c r="M67" s="753">
        <f t="shared" si="9"/>
        <v>233.19952892056438</v>
      </c>
      <c r="N67" s="753">
        <f>IF($C67="other",(1-$C$7)*L67,(1-(VLOOKUP($C67,'S3 - Screening Tool Metrics'!$C$3:$G$17,5,FALSE)/100))*L67)</f>
        <v>168.36009421588707</v>
      </c>
      <c r="O67" s="753">
        <f>IF($C67="other",$C$7*L67,(VLOOKUP($C67,'S3 - Screening Tool Metrics'!$C$3:$G$17,5,FALSE)/100)*L67)</f>
        <v>673.44037686354852</v>
      </c>
      <c r="P67" s="753">
        <f t="shared" si="10"/>
        <v>62.645616452423113</v>
      </c>
      <c r="Q67" s="776">
        <f t="shared" si="48"/>
        <v>1767943.3333333337</v>
      </c>
      <c r="R67" s="753">
        <f>VLOOKUP("*"&amp;$B67&amp;"*",'S4 - Summ PRS Characteristics'!$C$21:$Q$28,12,FALSE)*$J67</f>
        <v>512.20445530605207</v>
      </c>
      <c r="S67" s="753">
        <f t="shared" si="56"/>
        <v>562.79554469394793</v>
      </c>
      <c r="T67" s="753">
        <f>IF($C67="other",(1-$C56)*R67,(1-(VLOOKUP($C67,'S3 - Screening Tool Metrics'!$C$3:$G$17,5,FALSE)/100))*R67)</f>
        <v>102.44089106121039</v>
      </c>
      <c r="U67" s="753">
        <f>IF($C67="other",$C56*R67,(VLOOKUP($C67,'S3 - Screening Tool Metrics'!$C$3:$G$17,5,FALSE)/100)*R67)</f>
        <v>409.76356424484169</v>
      </c>
      <c r="V67" s="777">
        <f t="shared" si="49"/>
        <v>38.117540859985269</v>
      </c>
      <c r="W67" s="753">
        <f t="shared" si="50"/>
        <v>883971.66666666686</v>
      </c>
      <c r="X67" s="753">
        <f>VLOOKUP("*"&amp;$B67&amp;"*",'S4 - Summ PRS Characteristics'!$C$21:$Q$28,13,FALSE)*$J67</f>
        <v>332.07634047833216</v>
      </c>
      <c r="Y67" s="753">
        <f t="shared" si="57"/>
        <v>742.92365952166779</v>
      </c>
      <c r="Z67" s="753">
        <f>IF($C67="other",(1-$C56)*X67,(1-(VLOOKUP($C67,'S3 - Screening Tool Metrics'!$C$3:$G$17,5,FALSE)/100))*X67)</f>
        <v>66.41526809566642</v>
      </c>
      <c r="AA67" s="753">
        <f>IF($C67="other",$C56*X67,(VLOOKUP($C67,'S3 - Screening Tool Metrics'!$C$3:$G$17,5,FALSE)/100)*X67)</f>
        <v>265.66107238266574</v>
      </c>
      <c r="AB67" s="777">
        <f t="shared" si="51"/>
        <v>24.712657896061931</v>
      </c>
      <c r="AC67" s="776">
        <f t="shared" si="52"/>
        <v>441985.83333333343</v>
      </c>
      <c r="AD67" s="753">
        <f>VLOOKUP("*"&amp;$B67&amp;"*",'S4 - Summ PRS Characteristics'!$C$21:$Q$28,14,FALSE)*$J67</f>
        <v>208.84576608762222</v>
      </c>
      <c r="AE67" s="753">
        <f t="shared" si="59"/>
        <v>866.15423391237778</v>
      </c>
      <c r="AF67" s="753">
        <f>IF($C67="other",(1-$C56)*AD67,(1-(VLOOKUP($C67,'S3 - Screening Tool Metrics'!$C$3:$G$17,5,FALSE)/100))*AD67)</f>
        <v>41.769153217524433</v>
      </c>
      <c r="AG67" s="753">
        <f>IF($C67="other",$C56*AD67,(VLOOKUP($C67,'S3 - Screening Tool Metrics'!$C$3:$G$17,5,FALSE)/100)*AD67)</f>
        <v>167.07661287009779</v>
      </c>
      <c r="AH67" s="777">
        <f t="shared" si="53"/>
        <v>15.542010499543983</v>
      </c>
      <c r="AI67" s="776">
        <f t="shared" si="54"/>
        <v>88397.166666666686</v>
      </c>
      <c r="AJ67" s="753">
        <f>VLOOKUP("*"&amp;$B67&amp;"*",'S4 - Summ PRS Characteristics'!$C$21:$Q$28,15,FALSE)*$J67</f>
        <v>65.924609111298281</v>
      </c>
      <c r="AK67" s="753">
        <f t="shared" si="58"/>
        <v>1009.0753908887017</v>
      </c>
      <c r="AL67" s="753">
        <f>IF($C67="other",(1-$C56)*AJ67,(1-(VLOOKUP($C67,'S3 - Screening Tool Metrics'!$C$3:$G$17,5,FALSE)/100))*AJ67)</f>
        <v>13.184921822259653</v>
      </c>
      <c r="AM67" s="753">
        <f>IF($C67="other",$C56*AJ67,(VLOOKUP($C67,'S3 - Screening Tool Metrics'!$C$3:$G$17,5,FALSE)/100)*AJ67)</f>
        <v>52.739687289038628</v>
      </c>
      <c r="AN67" s="778">
        <f t="shared" si="55"/>
        <v>4.9060174222361512</v>
      </c>
    </row>
    <row r="68" spans="2:40" x14ac:dyDescent="0.2">
      <c r="B68" s="768" t="s">
        <v>12</v>
      </c>
      <c r="C68" s="779" t="str">
        <f>$C57</f>
        <v>Other</v>
      </c>
      <c r="D68" s="780" t="s">
        <v>203</v>
      </c>
      <c r="E68" s="781">
        <f>VLOOKUP($B68&amp;"_"&amp;$D68,'App5 - CRUK Inci Rates'!C:H,6,FALSE)</f>
        <v>24.676314720532528</v>
      </c>
      <c r="F68" s="782">
        <f>VLOOKUP($B68&amp;"_"&amp;$D68,'App5 - CRUK Inci Rates'!C:H,3,FALSE)</f>
        <v>18.322344301910888</v>
      </c>
      <c r="G68" s="783">
        <f>VLOOKUP($B68&amp;"_"&amp;$D68,'App5 - CRUK Inci Rates'!C:J,8,FALSE)</f>
        <v>15943902</v>
      </c>
      <c r="H68" s="784">
        <f>VLOOKUP($B68&amp;"_"&amp;$D68,'App5 - CRUK Inci Rates'!C:J,7,FALSE)</f>
        <v>7817212.666666666</v>
      </c>
      <c r="I68" s="784">
        <f>VLOOKUP($B68&amp;"_"&amp;$D68,'App5 - CRUK Inci Rates'!C:J,4,FALSE)</f>
        <v>8126689.333333334</v>
      </c>
      <c r="J68" s="778">
        <f>VLOOKUP($B68&amp;"_"&amp;$D68,'App5 - CRUK Inci Rates'!C:K,9,FALSE)</f>
        <v>3418</v>
      </c>
      <c r="K68" s="753">
        <f t="shared" si="8"/>
        <v>7971951</v>
      </c>
      <c r="L68" s="753">
        <f>VLOOKUP("*"&amp;$B68&amp;"*",'S4 - Summ PRS Characteristics'!$C$21:$Q$28,11,FALSE)*$J68</f>
        <v>2676.5339629297778</v>
      </c>
      <c r="M68" s="753">
        <f t="shared" si="9"/>
        <v>741.46603707022223</v>
      </c>
      <c r="N68" s="753">
        <f>IF($C68="other",(1-$C$7)*L68,(1-(VLOOKUP($C68,'S3 - Screening Tool Metrics'!$C$3:$G$17,5,FALSE)/100))*L68)</f>
        <v>535.30679258595546</v>
      </c>
      <c r="O68" s="753">
        <f>IF($C68="other",$C$7*L68,(VLOOKUP($C68,'S3 - Screening Tool Metrics'!$C$3:$G$17,5,FALSE)/100)*L68)</f>
        <v>2141.2271703438223</v>
      </c>
      <c r="P68" s="753">
        <f t="shared" si="10"/>
        <v>62.645616452423127</v>
      </c>
      <c r="Q68" s="776">
        <f t="shared" si="48"/>
        <v>3188780.4000000004</v>
      </c>
      <c r="R68" s="753">
        <f>VLOOKUP("*"&amp;$B68&amp;"*",'S4 - Summ PRS Characteristics'!$C$21:$Q$28,12,FALSE)*$J68</f>
        <v>1628.5719332428707</v>
      </c>
      <c r="S68" s="753">
        <f t="shared" si="56"/>
        <v>1789.4280667571293</v>
      </c>
      <c r="T68" s="753">
        <f>IF($C68="other",(1-$C56)*R68,(1-(VLOOKUP($C68,'S3 - Screening Tool Metrics'!$C$3:$G$17,5,FALSE)/100))*R68)</f>
        <v>325.71438664857408</v>
      </c>
      <c r="U68" s="753">
        <f>IF($C68="other",$C56*R68,(VLOOKUP($C68,'S3 - Screening Tool Metrics'!$C$3:$G$17,5,FALSE)/100)*R68)</f>
        <v>1302.8575465942968</v>
      </c>
      <c r="V68" s="777">
        <f t="shared" si="49"/>
        <v>38.117540859985276</v>
      </c>
      <c r="W68" s="753">
        <f t="shared" si="50"/>
        <v>1594390.2000000002</v>
      </c>
      <c r="X68" s="753">
        <f>VLOOKUP("*"&amp;$B68&amp;"*",'S4 - Summ PRS Characteristics'!$C$21:$Q$28,13,FALSE)*$J68</f>
        <v>1055.8483086092458</v>
      </c>
      <c r="Y68" s="753">
        <f t="shared" si="57"/>
        <v>2362.1516913907544</v>
      </c>
      <c r="Z68" s="753">
        <f>IF($C68="other",(1-$C56)*X68,(1-(VLOOKUP($C68,'S3 - Screening Tool Metrics'!$C$3:$G$17,5,FALSE)/100))*X68)</f>
        <v>211.16966172184911</v>
      </c>
      <c r="AA68" s="753">
        <f>IF($C68="other",$C56*X68,(VLOOKUP($C68,'S3 - Screening Tool Metrics'!$C$3:$G$17,5,FALSE)/100)*X68)</f>
        <v>844.67864688739667</v>
      </c>
      <c r="AB68" s="777">
        <f t="shared" si="51"/>
        <v>24.712657896061927</v>
      </c>
      <c r="AC68" s="776">
        <f t="shared" si="52"/>
        <v>797195.10000000009</v>
      </c>
      <c r="AD68" s="753">
        <f>VLOOKUP("*"&amp;$B68&amp;"*",'S4 - Summ PRS Characteristics'!$C$21:$Q$28,14,FALSE)*$J68</f>
        <v>664.03239859301652</v>
      </c>
      <c r="AE68" s="753">
        <f t="shared" si="59"/>
        <v>2753.9676014069837</v>
      </c>
      <c r="AF68" s="753">
        <f>IF($C68="other",(1-$C56)*AD68,(1-(VLOOKUP($C68,'S3 - Screening Tool Metrics'!$C$3:$G$17,5,FALSE)/100))*AD68)</f>
        <v>132.80647971860327</v>
      </c>
      <c r="AG68" s="753">
        <f>IF($C68="other",$C56*AD68,(VLOOKUP($C68,'S3 - Screening Tool Metrics'!$C$3:$G$17,5,FALSE)/100)*AD68)</f>
        <v>531.2259188744132</v>
      </c>
      <c r="AH68" s="777">
        <f t="shared" si="53"/>
        <v>15.542010499543979</v>
      </c>
      <c r="AI68" s="776">
        <f t="shared" si="54"/>
        <v>159439.01999999999</v>
      </c>
      <c r="AJ68" s="753">
        <f>VLOOKUP("*"&amp;$B68&amp;"*",'S4 - Summ PRS Characteristics'!$C$21:$Q$28,15,FALSE)*$J68</f>
        <v>209.60959436503956</v>
      </c>
      <c r="AK68" s="753">
        <f t="shared" si="58"/>
        <v>3208.3904056349606</v>
      </c>
      <c r="AL68" s="753">
        <f>IF($C68="other",(1-$C56)*AJ68,(1-(VLOOKUP($C68,'S3 - Screening Tool Metrics'!$C$3:$G$17,5,FALSE)/100))*AJ68)</f>
        <v>41.921918873007904</v>
      </c>
      <c r="AM68" s="753">
        <f>IF($C68="other",$C56*AJ68,(VLOOKUP($C68,'S3 - Screening Tool Metrics'!$C$3:$G$17,5,FALSE)/100)*AJ68)</f>
        <v>167.68767549203164</v>
      </c>
      <c r="AN68" s="778">
        <f t="shared" si="55"/>
        <v>4.9060174222361512</v>
      </c>
    </row>
    <row r="69" spans="2:40" x14ac:dyDescent="0.2">
      <c r="B69" s="768" t="s">
        <v>12</v>
      </c>
      <c r="C69" s="779" t="str">
        <f>$C58</f>
        <v>Other</v>
      </c>
      <c r="D69" s="780" t="s">
        <v>292</v>
      </c>
      <c r="E69" s="781">
        <f>VLOOKUP($B69&amp;"_"&amp;$D69,'App5 - CRUK Inci Rates'!C:H,6,FALSE)</f>
        <v>46.472602362279531</v>
      </c>
      <c r="F69" s="782">
        <f>VLOOKUP($B69&amp;"_"&amp;$D69,'App5 - CRUK Inci Rates'!C:H,3,FALSE)</f>
        <v>34.483589033138493</v>
      </c>
      <c r="G69" s="783">
        <f>VLOOKUP($B69&amp;"_"&amp;$D69,'App5 - CRUK Inci Rates'!C:J,8,FALSE)</f>
        <v>8881256.9603638444</v>
      </c>
      <c r="H69" s="784">
        <f>VLOOKUP($B69&amp;"_"&amp;$D69,'App5 - CRUK Inci Rates'!C:J,7,FALSE)</f>
        <v>4929786.333333333</v>
      </c>
      <c r="I69" s="784">
        <f>VLOOKUP($B69&amp;"_"&amp;$D69,'App5 - CRUK Inci Rates'!C:J,4,FALSE)</f>
        <v>5245973.666666667</v>
      </c>
      <c r="J69" s="778">
        <f>VLOOKUP($B69&amp;"_"&amp;$D69,'App5 - CRUK Inci Rates'!C:K,9,FALSE)</f>
        <v>4100</v>
      </c>
      <c r="K69" s="753">
        <f t="shared" si="8"/>
        <v>4440628.4801819222</v>
      </c>
      <c r="L69" s="753">
        <f>VLOOKUP("*"&amp;$B69&amp;"*",'S4 - Summ PRS Characteristics'!$C$21:$Q$28,11,FALSE)*$J69</f>
        <v>3210.5878431866845</v>
      </c>
      <c r="M69" s="753">
        <f t="shared" si="9"/>
        <v>889.41215681331551</v>
      </c>
      <c r="N69" s="753">
        <f>IF($C69="other",(1-$C$7)*L69,(1-(VLOOKUP($C69,'S3 - Screening Tool Metrics'!$C$3:$G$17,5,FALSE)/100))*L69)</f>
        <v>642.11756863733672</v>
      </c>
      <c r="O69" s="753">
        <f>IF($C69="other",$C$7*L69,(VLOOKUP($C69,'S3 - Screening Tool Metrics'!$C$3:$G$17,5,FALSE)/100)*L69)</f>
        <v>2568.4702745493478</v>
      </c>
      <c r="P69" s="753">
        <f t="shared" si="10"/>
        <v>62.645616452423113</v>
      </c>
      <c r="Q69" s="776">
        <f t="shared" si="48"/>
        <v>1776251.3920727689</v>
      </c>
      <c r="R69" s="753">
        <f>VLOOKUP("*"&amp;$B69&amp;"*",'S4 - Summ PRS Characteristics'!$C$21:$Q$28,12,FALSE)*$J69</f>
        <v>1953.5239690742451</v>
      </c>
      <c r="S69" s="753">
        <f t="shared" si="56"/>
        <v>2146.4760309257549</v>
      </c>
      <c r="T69" s="753">
        <f>IF($C69="other",(1-$C56)*R69,(1-(VLOOKUP($C69,'S3 - Screening Tool Metrics'!$C$3:$G$17,5,FALSE)/100))*R69)</f>
        <v>390.70479381484893</v>
      </c>
      <c r="U69" s="753">
        <f>IF($C69="other",$C56*R69,(VLOOKUP($C69,'S3 - Screening Tool Metrics'!$C$3:$G$17,5,FALSE)/100)*R69)</f>
        <v>1562.8191752593962</v>
      </c>
      <c r="V69" s="777">
        <f t="shared" si="49"/>
        <v>38.117540859985269</v>
      </c>
      <c r="W69" s="753">
        <f t="shared" si="50"/>
        <v>888125.69603638444</v>
      </c>
      <c r="X69" s="753">
        <f>VLOOKUP("*"&amp;$B69&amp;"*",'S4 - Summ PRS Characteristics'!$C$21:$Q$28,13,FALSE)*$J69</f>
        <v>1266.5237171731737</v>
      </c>
      <c r="Y69" s="753">
        <f t="shared" si="57"/>
        <v>2833.4762828268263</v>
      </c>
      <c r="Z69" s="753">
        <f>IF($C69="other",(1-$C56)*X69,(1-(VLOOKUP($C69,'S3 - Screening Tool Metrics'!$C$3:$G$17,5,FALSE)/100))*X69)</f>
        <v>253.3047434346347</v>
      </c>
      <c r="AA69" s="753">
        <f>IF($C69="other",$C56*X69,(VLOOKUP($C69,'S3 - Screening Tool Metrics'!$C$3:$G$17,5,FALSE)/100)*X69)</f>
        <v>1013.218973738539</v>
      </c>
      <c r="AB69" s="777">
        <f t="shared" si="51"/>
        <v>24.712657896061927</v>
      </c>
      <c r="AC69" s="776">
        <f t="shared" si="52"/>
        <v>444062.84801819222</v>
      </c>
      <c r="AD69" s="753">
        <f>VLOOKUP("*"&amp;$B69&amp;"*",'S4 - Summ PRS Characteristics'!$C$21:$Q$28,14,FALSE)*$J69</f>
        <v>796.52803810162891</v>
      </c>
      <c r="AE69" s="753">
        <f t="shared" si="59"/>
        <v>3303.4719618983709</v>
      </c>
      <c r="AF69" s="753">
        <f>IF($C69="other",(1-$C56)*AD69,(1-(VLOOKUP($C69,'S3 - Screening Tool Metrics'!$C$3:$G$17,5,FALSE)/100))*AD69)</f>
        <v>159.30560762032576</v>
      </c>
      <c r="AG69" s="753">
        <f>IF($C69="other",$C56*AD69,(VLOOKUP($C69,'S3 - Screening Tool Metrics'!$C$3:$G$17,5,FALSE)/100)*AD69)</f>
        <v>637.22243048130315</v>
      </c>
      <c r="AH69" s="777">
        <f t="shared" si="53"/>
        <v>15.542010499543979</v>
      </c>
      <c r="AI69" s="776">
        <f t="shared" si="54"/>
        <v>88812.569603638447</v>
      </c>
      <c r="AJ69" s="753">
        <f>VLOOKUP("*"&amp;$B69&amp;"*",'S4 - Summ PRS Characteristics'!$C$21:$Q$28,15,FALSE)*$J69</f>
        <v>251.43339288960271</v>
      </c>
      <c r="AK69" s="753">
        <f t="shared" si="58"/>
        <v>3848.5666071103974</v>
      </c>
      <c r="AL69" s="753">
        <f>IF($C69="other",(1-$C56)*AJ69,(1-(VLOOKUP($C69,'S3 - Screening Tool Metrics'!$C$3:$G$17,5,FALSE)/100))*AJ69)</f>
        <v>50.286678577920533</v>
      </c>
      <c r="AM69" s="753">
        <f>IF($C69="other",$C56*AJ69,(VLOOKUP($C69,'S3 - Screening Tool Metrics'!$C$3:$G$17,5,FALSE)/100)*AJ69)</f>
        <v>201.14671431168219</v>
      </c>
      <c r="AN69" s="778">
        <f t="shared" si="55"/>
        <v>4.9060174222361512</v>
      </c>
    </row>
    <row r="70" spans="2:40" x14ac:dyDescent="0.2">
      <c r="B70" s="768" t="s">
        <v>12</v>
      </c>
      <c r="C70" s="779" t="str">
        <f>$C57</f>
        <v>Other</v>
      </c>
      <c r="D70" s="780" t="s">
        <v>204</v>
      </c>
      <c r="E70" s="781">
        <f>VLOOKUP($B70&amp;"_"&amp;$D70,'App5 - CRUK Inci Rates'!C:H,6,FALSE)</f>
        <v>27.10494536410576</v>
      </c>
      <c r="F70" s="782">
        <f>VLOOKUP($B70&amp;"_"&amp;$D70,'App5 - CRUK Inci Rates'!C:H,3,FALSE)</f>
        <v>21.188815577273839</v>
      </c>
      <c r="G70" s="783">
        <f>VLOOKUP($B70&amp;"_"&amp;$D70,'App5 - CRUK Inci Rates'!C:J,8,FALSE)</f>
        <v>29847254.666666668</v>
      </c>
      <c r="H70" s="784">
        <f>VLOOKUP($B70&amp;"_"&amp;$D70,'App5 - CRUK Inci Rates'!C:J,7,FALSE)</f>
        <v>14565607.666666668</v>
      </c>
      <c r="I70" s="784">
        <f>VLOOKUP($B70&amp;"_"&amp;$D70,'App5 - CRUK Inci Rates'!C:J,4,FALSE)</f>
        <v>15281647</v>
      </c>
      <c r="J70" s="778">
        <f>VLOOKUP($B70&amp;"_"&amp;$D70,'App5 - CRUK Inci Rates'!C:K,9,FALSE)</f>
        <v>7186</v>
      </c>
      <c r="K70" s="753">
        <f t="shared" si="8"/>
        <v>14923627.333333334</v>
      </c>
      <c r="L70" s="753">
        <f>VLOOKUP("*"&amp;$B70&amp;"*",'S4 - Summ PRS Characteristics'!$C$21:$Q$28,11,FALSE)*$J70</f>
        <v>5627.1424978389068</v>
      </c>
      <c r="M70" s="753">
        <f t="shared" si="9"/>
        <v>1558.8575021610932</v>
      </c>
      <c r="N70" s="753">
        <f>IF($C70="other",(1-$C$7)*L70,(1-(VLOOKUP($C70,'S3 - Screening Tool Metrics'!$C$3:$G$17,5,FALSE)/100))*L70)</f>
        <v>1125.428499567781</v>
      </c>
      <c r="O70" s="753">
        <f>IF($C70="other",$C$7*L70,(VLOOKUP($C70,'S3 - Screening Tool Metrics'!$C$3:$G$17,5,FALSE)/100)*L70)</f>
        <v>4501.713998271126</v>
      </c>
      <c r="P70" s="753">
        <f t="shared" si="10"/>
        <v>62.645616452423127</v>
      </c>
      <c r="Q70" s="776">
        <f t="shared" si="48"/>
        <v>5969450.9333333336</v>
      </c>
      <c r="R70" s="753">
        <f>VLOOKUP("*"&amp;$B70&amp;"*",'S4 - Summ PRS Characteristics'!$C$21:$Q$28,12,FALSE)*$J70</f>
        <v>3423.9081077481769</v>
      </c>
      <c r="S70" s="753">
        <f t="shared" si="56"/>
        <v>3762.0918922518231</v>
      </c>
      <c r="T70" s="753">
        <f>IF($C70="other",(1-$C56)*R70,(1-(VLOOKUP($C70,'S3 - Screening Tool Metrics'!$C$3:$G$17,5,FALSE)/100))*R70)</f>
        <v>684.78162154963525</v>
      </c>
      <c r="U70" s="753">
        <f>IF($C70="other",$C56*R70,(VLOOKUP($C70,'S3 - Screening Tool Metrics'!$C$3:$G$17,5,FALSE)/100)*R70)</f>
        <v>2739.1264861985419</v>
      </c>
      <c r="V70" s="777">
        <f t="shared" si="49"/>
        <v>38.117540859985276</v>
      </c>
      <c r="W70" s="753">
        <f t="shared" si="50"/>
        <v>2984725.4666666668</v>
      </c>
      <c r="X70" s="753">
        <f>VLOOKUP("*"&amp;$B70&amp;"*",'S4 - Summ PRS Characteristics'!$C$21:$Q$28,13,FALSE)*$J70</f>
        <v>2219.8144955137627</v>
      </c>
      <c r="Y70" s="753">
        <f t="shared" si="57"/>
        <v>4966.1855044862368</v>
      </c>
      <c r="Z70" s="753">
        <f>IF($C70="other",(1-$C56)*X70,(1-(VLOOKUP($C70,'S3 - Screening Tool Metrics'!$C$3:$G$17,5,FALSE)/100))*X70)</f>
        <v>443.96289910275243</v>
      </c>
      <c r="AA70" s="753">
        <f>IF($C70="other",$C56*X70,(VLOOKUP($C70,'S3 - Screening Tool Metrics'!$C$3:$G$17,5,FALSE)/100)*X70)</f>
        <v>1775.8515964110102</v>
      </c>
      <c r="AB70" s="777">
        <f t="shared" si="51"/>
        <v>24.712657896061931</v>
      </c>
      <c r="AC70" s="776">
        <f t="shared" si="52"/>
        <v>1492362.7333333334</v>
      </c>
      <c r="AD70" s="753">
        <f>VLOOKUP("*"&amp;$B70&amp;"*",'S4 - Summ PRS Characteristics'!$C$21:$Q$28,14,FALSE)*$J70</f>
        <v>1396.0610931215379</v>
      </c>
      <c r="AE70" s="753">
        <f t="shared" si="59"/>
        <v>5789.9389068784621</v>
      </c>
      <c r="AF70" s="753">
        <f>IF($C70="other",(1-$C56)*AD70,(1-(VLOOKUP($C70,'S3 - Screening Tool Metrics'!$C$3:$G$17,5,FALSE)/100))*AD70)</f>
        <v>279.21221862430752</v>
      </c>
      <c r="AG70" s="753">
        <f>IF($C70="other",$C56*AD70,(VLOOKUP($C70,'S3 - Screening Tool Metrics'!$C$3:$G$17,5,FALSE)/100)*AD70)</f>
        <v>1116.8488744972303</v>
      </c>
      <c r="AH70" s="777">
        <f t="shared" si="53"/>
        <v>15.542010499543979</v>
      </c>
      <c r="AI70" s="776">
        <f t="shared" si="54"/>
        <v>298472.54666666669</v>
      </c>
      <c r="AJ70" s="753">
        <f>VLOOKUP("*"&amp;$B70&amp;"*",'S4 - Summ PRS Characteristics'!$C$21:$Q$28,15,FALSE)*$J70</f>
        <v>440.68301495236227</v>
      </c>
      <c r="AK70" s="753">
        <f t="shared" si="58"/>
        <v>6745.3169850476379</v>
      </c>
      <c r="AL70" s="753">
        <f>IF($C70="other",(1-$C56)*AJ70,(1-(VLOOKUP($C70,'S3 - Screening Tool Metrics'!$C$3:$G$17,5,FALSE)/100))*AJ70)</f>
        <v>88.13660299047244</v>
      </c>
      <c r="AM70" s="753">
        <f>IF($C70="other",$C56*AJ70,(VLOOKUP($C70,'S3 - Screening Tool Metrics'!$C$3:$G$17,5,FALSE)/100)*AJ70)</f>
        <v>352.54641196188982</v>
      </c>
      <c r="AN70" s="778">
        <f t="shared" si="55"/>
        <v>4.9060174222361512</v>
      </c>
    </row>
    <row r="71" spans="2:40" ht="17" thickBot="1" x14ac:dyDescent="0.25">
      <c r="B71" s="785" t="s">
        <v>12</v>
      </c>
      <c r="C71" s="786" t="str">
        <f>$C57</f>
        <v>Other</v>
      </c>
      <c r="D71" s="787" t="s">
        <v>205</v>
      </c>
      <c r="E71" s="788">
        <f>VLOOKUP($B71&amp;"_"&amp;$D71,'App5 - CRUK Inci Rates'!C:H,6,FALSE)</f>
        <v>19.3</v>
      </c>
      <c r="F71" s="789">
        <f>VLOOKUP($B71&amp;"_"&amp;$D71,'App5 - CRUK Inci Rates'!C:H,3,FALSE)</f>
        <v>15</v>
      </c>
      <c r="G71" s="790">
        <f>VLOOKUP($B71&amp;"_"&amp;$D71,'App5 - CRUK Inci Rates'!C:J,8,FALSE)</f>
        <v>66041277.666666664</v>
      </c>
      <c r="H71" s="791">
        <f>VLOOKUP($B71&amp;"_"&amp;$D71,'App5 - CRUK Inci Rates'!C:J,7,FALSE)</f>
        <v>32583225.666666668</v>
      </c>
      <c r="I71" s="791">
        <f>VLOOKUP($B71&amp;"_"&amp;$D71,'App5 - CRUK Inci Rates'!C:J,4,FALSE)</f>
        <v>33458051.999999996</v>
      </c>
      <c r="J71" s="778">
        <f>VLOOKUP($B71&amp;"_"&amp;$D71,'App5 - CRUK Inci Rates'!C:K,9,FALSE)</f>
        <v>10452</v>
      </c>
      <c r="K71" s="792"/>
      <c r="L71" s="792"/>
      <c r="M71" s="792"/>
      <c r="N71" s="792"/>
      <c r="O71" s="792"/>
      <c r="P71" s="792"/>
      <c r="Q71" s="793"/>
      <c r="R71" s="794"/>
      <c r="S71" s="794"/>
      <c r="T71" s="794"/>
      <c r="U71" s="794"/>
      <c r="V71" s="795"/>
      <c r="W71" s="794"/>
      <c r="X71" s="794"/>
      <c r="Y71" s="794"/>
      <c r="Z71" s="794"/>
      <c r="AA71" s="794"/>
      <c r="AB71" s="795"/>
      <c r="AC71" s="793"/>
      <c r="AD71" s="794"/>
      <c r="AE71" s="794"/>
      <c r="AF71" s="794"/>
      <c r="AG71" s="794"/>
      <c r="AH71" s="795"/>
      <c r="AI71" s="793"/>
      <c r="AJ71" s="794"/>
      <c r="AK71" s="794"/>
      <c r="AL71" s="794"/>
      <c r="AM71" s="794"/>
      <c r="AN71" s="796"/>
    </row>
    <row r="72" spans="2:40" ht="21" customHeight="1" thickBot="1" x14ac:dyDescent="0.25">
      <c r="B72" s="754" t="s">
        <v>13</v>
      </c>
      <c r="C72" s="755">
        <v>0.8</v>
      </c>
      <c r="D72" s="756"/>
      <c r="E72" s="757"/>
      <c r="F72" s="758"/>
      <c r="G72" s="759"/>
      <c r="H72" s="760"/>
      <c r="I72" s="760"/>
      <c r="J72" s="761"/>
      <c r="K72" s="762"/>
      <c r="L72" s="762"/>
      <c r="M72" s="762"/>
      <c r="N72" s="762"/>
      <c r="O72" s="762"/>
      <c r="P72" s="762"/>
      <c r="Q72" s="763"/>
      <c r="R72" s="764"/>
      <c r="S72" s="764"/>
      <c r="T72" s="764"/>
      <c r="U72" s="764"/>
      <c r="V72" s="765"/>
      <c r="W72" s="764"/>
      <c r="X72" s="764"/>
      <c r="Y72" s="764"/>
      <c r="Z72" s="764"/>
      <c r="AA72" s="764"/>
      <c r="AB72" s="765"/>
      <c r="AC72" s="763"/>
      <c r="AD72" s="764"/>
      <c r="AE72" s="764"/>
      <c r="AF72" s="764"/>
      <c r="AG72" s="764"/>
      <c r="AH72" s="765"/>
      <c r="AI72" s="763"/>
      <c r="AJ72" s="764"/>
      <c r="AK72" s="764"/>
      <c r="AL72" s="764"/>
      <c r="AM72" s="764"/>
      <c r="AN72" s="767"/>
    </row>
    <row r="73" spans="2:40" x14ac:dyDescent="0.2">
      <c r="B73" s="768" t="s">
        <v>13</v>
      </c>
      <c r="C73" s="769" t="s">
        <v>180</v>
      </c>
      <c r="D73" s="770" t="s">
        <v>192</v>
      </c>
      <c r="E73" s="771">
        <f>VLOOKUP($B73&amp;"_"&amp;$D73,'App5 - CRUK Inci Rates'!C:H,6,FALSE)</f>
        <v>0</v>
      </c>
      <c r="F73" s="772">
        <f>VLOOKUP($B73&amp;"_"&amp;$D73,'App5 - CRUK Inci Rates'!C:H,3,FALSE)</f>
        <v>13.2</v>
      </c>
      <c r="G73" s="773">
        <f>VLOOKUP($B73&amp;"_"&amp;$D73,'App5 - CRUK Inci Rates'!C:J,8,FALSE)</f>
        <v>2054223.3333333333</v>
      </c>
      <c r="H73" s="774">
        <f>VLOOKUP($B73&amp;"_"&amp;$D73,'App5 - CRUK Inci Rates'!C:J,7,FALSE)</f>
        <v>0</v>
      </c>
      <c r="I73" s="774">
        <f>VLOOKUP($B73&amp;"_"&amp;$D73,'App5 - CRUK Inci Rates'!C:J,4,FALSE)</f>
        <v>2054223.3333333333</v>
      </c>
      <c r="J73" s="775">
        <f>VLOOKUP($B73&amp;"_"&amp;$D73,'App5 - CRUK Inci Rates'!C:K,9,FALSE)</f>
        <v>270</v>
      </c>
      <c r="K73" s="753">
        <f t="shared" si="8"/>
        <v>1027111.6666666666</v>
      </c>
      <c r="L73" s="753">
        <f>VLOOKUP("*"&amp;$B73&amp;"*",'S4 - Summ PRS Characteristics'!$C$21:$Q$28,11,FALSE)*$J73</f>
        <v>187.3531590196358</v>
      </c>
      <c r="M73" s="753">
        <f t="shared" si="9"/>
        <v>82.646840980364203</v>
      </c>
      <c r="N73" s="753">
        <f>IF($C73="other",(1-$C$7)*L73,(1-(VLOOKUP($C73,'S3 - Screening Tool Metrics'!$C$3:$G$17,5,FALSE)/100))*L73)</f>
        <v>37.470631803927148</v>
      </c>
      <c r="O73" s="753">
        <f>IF($C73="other",$C$7*L73,(VLOOKUP($C73,'S3 - Screening Tool Metrics'!$C$3:$G$17,5,FALSE)/100)*L73)</f>
        <v>149.88252721570865</v>
      </c>
      <c r="P73" s="753">
        <f t="shared" si="10"/>
        <v>55.512047116929132</v>
      </c>
      <c r="Q73" s="776">
        <f t="shared" ref="Q73:Q86" si="60">$G73*Q$3</f>
        <v>410844.66666666669</v>
      </c>
      <c r="R73" s="753">
        <f>VLOOKUP("*"&amp;$B73&amp;"*",'S4 - Summ PRS Characteristics'!$C$21:$Q$28,12,FALSE)*$J73</f>
        <v>99.611574189629692</v>
      </c>
      <c r="S73" s="753">
        <f>$J73-R73</f>
        <v>170.38842581037031</v>
      </c>
      <c r="T73" s="753">
        <f>IF($C73="other",(1-$C72)*R73,(1-(VLOOKUP($C73,'S3 - Screening Tool Metrics'!$C$3:$G$17,5,FALSE)/100))*R73)</f>
        <v>19.922314837925935</v>
      </c>
      <c r="U73" s="753">
        <f>IF($C73="other",$C72*R73,(VLOOKUP($C73,'S3 - Screening Tool Metrics'!$C$3:$G$17,5,FALSE)/100)*R73)</f>
        <v>79.689259351703754</v>
      </c>
      <c r="V73" s="777">
        <f t="shared" ref="V73:V86" si="61">U73/J73*100</f>
        <v>29.514540500631021</v>
      </c>
      <c r="W73" s="753">
        <f t="shared" ref="W73:W86" si="62">$G73*W$3</f>
        <v>205422.33333333334</v>
      </c>
      <c r="X73" s="753">
        <f>VLOOKUP("*"&amp;$B73&amp;"*",'S4 - Summ PRS Characteristics'!$C$21:$Q$28,13,FALSE)*$J73</f>
        <v>59.206628361872994</v>
      </c>
      <c r="Y73" s="753">
        <f>$J73-X73</f>
        <v>210.79337163812701</v>
      </c>
      <c r="Z73" s="753">
        <f>IF($C73="other",(1-$C72)*X73,(1-(VLOOKUP($C73,'S3 - Screening Tool Metrics'!$C$3:$G$17,5,FALSE)/100))*X73)</f>
        <v>11.841325672374596</v>
      </c>
      <c r="AA73" s="753">
        <f>IF($C73="other",$C72*X73,(VLOOKUP($C73,'S3 - Screening Tool Metrics'!$C$3:$G$17,5,FALSE)/100)*X73)</f>
        <v>47.3653026894984</v>
      </c>
      <c r="AB73" s="777">
        <f t="shared" ref="AB73:AB86" si="63">$AA73/$J73*100</f>
        <v>17.54270469981422</v>
      </c>
      <c r="AC73" s="776">
        <f t="shared" ref="AC73:AC86" si="64">$G73*AC$3</f>
        <v>102711.16666666667</v>
      </c>
      <c r="AD73" s="753">
        <f>VLOOKUP("*"&amp;$B73&amp;"*",'S4 - Summ PRS Characteristics'!$C$21:$Q$28,14,FALSE)*$J73</f>
        <v>34.445981369574113</v>
      </c>
      <c r="AE73" s="753">
        <f>$J73-AD73</f>
        <v>235.5540186304259</v>
      </c>
      <c r="AF73" s="753">
        <f>IF($C73="other",(1-$C72)*AD73,(1-(VLOOKUP($C73,'S3 - Screening Tool Metrics'!$C$3:$G$17,5,FALSE)/100))*AD73)</f>
        <v>6.8891962739148207</v>
      </c>
      <c r="AG73" s="753">
        <f>IF($C73="other",$C72*AD73,(VLOOKUP($C73,'S3 - Screening Tool Metrics'!$C$3:$G$17,5,FALSE)/100)*AD73)</f>
        <v>27.556785095659293</v>
      </c>
      <c r="AH73" s="777">
        <f t="shared" ref="AH73:AH86" si="65">$AG73/$J73*100</f>
        <v>10.206216702096034</v>
      </c>
      <c r="AI73" s="776">
        <f t="shared" ref="AI73:AI86" si="66">$G73*AI$3</f>
        <v>20542.233333333334</v>
      </c>
      <c r="AJ73" s="753">
        <f>VLOOKUP("*"&amp;$B73&amp;"*",'S4 - Summ PRS Characteristics'!$C$21:$Q$28,15,FALSE)*$J73</f>
        <v>9.2945897155032426</v>
      </c>
      <c r="AK73" s="753">
        <f>$J73-AJ73</f>
        <v>260.70541028449674</v>
      </c>
      <c r="AL73" s="753">
        <f>IF($C73="other",(1-$C72)*AJ73,(1-(VLOOKUP($C73,'S3 - Screening Tool Metrics'!$C$3:$G$17,5,FALSE)/100))*AJ73)</f>
        <v>1.8589179431006482</v>
      </c>
      <c r="AM73" s="753">
        <f>IF($C73="other",$C72*AJ73,(VLOOKUP($C73,'S3 - Screening Tool Metrics'!$C$3:$G$17,5,FALSE)/100)*AJ73)</f>
        <v>7.4356717724025945</v>
      </c>
      <c r="AN73" s="778">
        <f t="shared" ref="AN73:AN86" si="67">$AM73/$J73*100</f>
        <v>2.7539525082972571</v>
      </c>
    </row>
    <row r="74" spans="2:40" x14ac:dyDescent="0.2">
      <c r="B74" s="768" t="s">
        <v>13</v>
      </c>
      <c r="C74" s="779" t="str">
        <f>$C73</f>
        <v>Other</v>
      </c>
      <c r="D74" s="780" t="s">
        <v>193</v>
      </c>
      <c r="E74" s="781">
        <f>VLOOKUP($B74&amp;"_"&amp;$D74,'App5 - CRUK Inci Rates'!C:H,6,FALSE)</f>
        <v>0</v>
      </c>
      <c r="F74" s="782">
        <f>VLOOKUP($B74&amp;"_"&amp;$D74,'App5 - CRUK Inci Rates'!C:H,3,FALSE)</f>
        <v>19.399999999999999</v>
      </c>
      <c r="G74" s="783">
        <f>VLOOKUP($B74&amp;"_"&amp;$D74,'App5 - CRUK Inci Rates'!C:J,8,FALSE)</f>
        <v>2315479.3333333335</v>
      </c>
      <c r="H74" s="784">
        <f>VLOOKUP($B74&amp;"_"&amp;$D74,'App5 - CRUK Inci Rates'!C:J,7,FALSE)</f>
        <v>0</v>
      </c>
      <c r="I74" s="784">
        <f>VLOOKUP($B74&amp;"_"&amp;$D74,'App5 - CRUK Inci Rates'!C:J,4,FALSE)</f>
        <v>2315479.3333333335</v>
      </c>
      <c r="J74" s="778">
        <f>VLOOKUP($B74&amp;"_"&amp;$D74,'App5 - CRUK Inci Rates'!C:K,9,FALSE)</f>
        <v>448</v>
      </c>
      <c r="K74" s="753">
        <f t="shared" ref="K74:K137" si="68">$G74*$K$3</f>
        <v>1157739.6666666667</v>
      </c>
      <c r="L74" s="753">
        <f>VLOOKUP("*"&amp;$B74&amp;"*",'S4 - Summ PRS Characteristics'!$C$21:$Q$28,11,FALSE)*$J74</f>
        <v>310.86746385480313</v>
      </c>
      <c r="M74" s="753">
        <f t="shared" ref="M74:M137" si="69">$J74-$L74</f>
        <v>137.13253614519687</v>
      </c>
      <c r="N74" s="753">
        <f>IF($C74="other",(1-$C$7)*L74,(1-(VLOOKUP($C74,'S3 - Screening Tool Metrics'!$C$3:$G$17,5,FALSE)/100))*L74)</f>
        <v>62.173492770960614</v>
      </c>
      <c r="O74" s="753">
        <f>IF($C74="other",$C$7*L74,(VLOOKUP($C74,'S3 - Screening Tool Metrics'!$C$3:$G$17,5,FALSE)/100)*L74)</f>
        <v>248.69397108384251</v>
      </c>
      <c r="P74" s="753">
        <f t="shared" ref="P74:P137" si="70">$O74/$J74*100</f>
        <v>55.512047116929132</v>
      </c>
      <c r="Q74" s="776">
        <f t="shared" si="60"/>
        <v>463095.8666666667</v>
      </c>
      <c r="R74" s="753">
        <f>VLOOKUP("*"&amp;$B74&amp;"*",'S4 - Summ PRS Characteristics'!$C$21:$Q$28,12,FALSE)*$J74</f>
        <v>165.28142680353372</v>
      </c>
      <c r="S74" s="753">
        <f t="shared" ref="S74:S86" si="71">$J74-R74</f>
        <v>282.71857319646631</v>
      </c>
      <c r="T74" s="753">
        <f>IF($C74="other",(1-$C72)*R74,(1-(VLOOKUP($C74,'S3 - Screening Tool Metrics'!$C$3:$G$17,5,FALSE)/100))*R74)</f>
        <v>33.056285360706738</v>
      </c>
      <c r="U74" s="753">
        <f>IF($C74="other",$C72*R74,(VLOOKUP($C74,'S3 - Screening Tool Metrics'!$C$3:$G$17,5,FALSE)/100)*R74)</f>
        <v>132.22514144282698</v>
      </c>
      <c r="V74" s="777">
        <f t="shared" si="61"/>
        <v>29.514540500631021</v>
      </c>
      <c r="W74" s="753">
        <f t="shared" si="62"/>
        <v>231547.93333333335</v>
      </c>
      <c r="X74" s="753">
        <f>VLOOKUP("*"&amp;$B74&amp;"*",'S4 - Summ PRS Characteristics'!$C$21:$Q$28,13,FALSE)*$J74</f>
        <v>98.239146318959627</v>
      </c>
      <c r="Y74" s="753">
        <f t="shared" ref="Y74:Y86" si="72">$J74-X74</f>
        <v>349.76085368104037</v>
      </c>
      <c r="Z74" s="753">
        <f>IF($C74="other",(1-$C72)*X74,(1-(VLOOKUP($C74,'S3 - Screening Tool Metrics'!$C$3:$G$17,5,FALSE)/100))*X74)</f>
        <v>19.64782926379192</v>
      </c>
      <c r="AA74" s="753">
        <f>IF($C74="other",$C72*X74,(VLOOKUP($C74,'S3 - Screening Tool Metrics'!$C$3:$G$17,5,FALSE)/100)*X74)</f>
        <v>78.591317055167707</v>
      </c>
      <c r="AB74" s="777">
        <f t="shared" si="63"/>
        <v>17.54270469981422</v>
      </c>
      <c r="AC74" s="776">
        <f t="shared" si="64"/>
        <v>115773.96666666667</v>
      </c>
      <c r="AD74" s="753">
        <f>VLOOKUP("*"&amp;$B74&amp;"*",'S4 - Summ PRS Characteristics'!$C$21:$Q$28,14,FALSE)*$J74</f>
        <v>57.154813531737787</v>
      </c>
      <c r="AE74" s="753">
        <f>$J74-AD74</f>
        <v>390.84518646826223</v>
      </c>
      <c r="AF74" s="753">
        <f>IF($C74="other",(1-$C72)*AD74,(1-(VLOOKUP($C74,'S3 - Screening Tool Metrics'!$C$3:$G$17,5,FALSE)/100))*AD74)</f>
        <v>11.430962706347556</v>
      </c>
      <c r="AG74" s="753">
        <f>IF($C74="other",$C72*AD74,(VLOOKUP($C74,'S3 - Screening Tool Metrics'!$C$3:$G$17,5,FALSE)/100)*AD74)</f>
        <v>45.72385082539023</v>
      </c>
      <c r="AH74" s="777">
        <f t="shared" si="65"/>
        <v>10.206216702096034</v>
      </c>
      <c r="AI74" s="776">
        <f t="shared" si="66"/>
        <v>23154.793333333335</v>
      </c>
      <c r="AJ74" s="753">
        <f>VLOOKUP("*"&amp;$B74&amp;"*",'S4 - Summ PRS Characteristics'!$C$21:$Q$28,15,FALSE)*$J74</f>
        <v>15.42213404646464</v>
      </c>
      <c r="AK74" s="753">
        <f t="shared" ref="AK74:AK86" si="73">$J74-AJ74</f>
        <v>432.57786595353537</v>
      </c>
      <c r="AL74" s="753">
        <f>IF($C74="other",(1-$C72)*AJ74,(1-(VLOOKUP($C74,'S3 - Screening Tool Metrics'!$C$3:$G$17,5,FALSE)/100))*AJ74)</f>
        <v>3.0844268092929275</v>
      </c>
      <c r="AM74" s="753">
        <f>IF($C74="other",$C72*AJ74,(VLOOKUP($C74,'S3 - Screening Tool Metrics'!$C$3:$G$17,5,FALSE)/100)*AJ74)</f>
        <v>12.337707237171713</v>
      </c>
      <c r="AN74" s="778">
        <f t="shared" si="67"/>
        <v>2.7539525082972576</v>
      </c>
    </row>
    <row r="75" spans="2:40" x14ac:dyDescent="0.2">
      <c r="B75" s="768" t="s">
        <v>13</v>
      </c>
      <c r="C75" s="779" t="str">
        <f>$C73</f>
        <v>Other</v>
      </c>
      <c r="D75" s="780" t="s">
        <v>194</v>
      </c>
      <c r="E75" s="781">
        <f>VLOOKUP($B75&amp;"_"&amp;$D75,'App5 - CRUK Inci Rates'!C:H,6,FALSE)</f>
        <v>0</v>
      </c>
      <c r="F75" s="782">
        <f>VLOOKUP($B75&amp;"_"&amp;$D75,'App5 - CRUK Inci Rates'!C:H,3,FALSE)</f>
        <v>27.1</v>
      </c>
      <c r="G75" s="783">
        <f>VLOOKUP($B75&amp;"_"&amp;$D75,'App5 - CRUK Inci Rates'!C:J,8,FALSE)</f>
        <v>2364638</v>
      </c>
      <c r="H75" s="784">
        <f>VLOOKUP($B75&amp;"_"&amp;$D75,'App5 - CRUK Inci Rates'!C:J,7,FALSE)</f>
        <v>0</v>
      </c>
      <c r="I75" s="784">
        <f>VLOOKUP($B75&amp;"_"&amp;$D75,'App5 - CRUK Inci Rates'!C:J,4,FALSE)</f>
        <v>2364638</v>
      </c>
      <c r="J75" s="778">
        <f>VLOOKUP($B75&amp;"_"&amp;$D75,'App5 - CRUK Inci Rates'!C:K,9,FALSE)</f>
        <v>640</v>
      </c>
      <c r="K75" s="753">
        <f t="shared" si="68"/>
        <v>1182319</v>
      </c>
      <c r="L75" s="753">
        <f>VLOOKUP("*"&amp;$B75&amp;"*",'S4 - Summ PRS Characteristics'!$C$21:$Q$28,11,FALSE)*$J75</f>
        <v>444.096376935433</v>
      </c>
      <c r="M75" s="753">
        <f t="shared" si="69"/>
        <v>195.903623064567</v>
      </c>
      <c r="N75" s="753">
        <f>IF($C75="other",(1-$C$7)*L75,(1-(VLOOKUP($C75,'S3 - Screening Tool Metrics'!$C$3:$G$17,5,FALSE)/100))*L75)</f>
        <v>88.819275387086577</v>
      </c>
      <c r="O75" s="753">
        <f>IF($C75="other",$C$7*L75,(VLOOKUP($C75,'S3 - Screening Tool Metrics'!$C$3:$G$17,5,FALSE)/100)*L75)</f>
        <v>355.27710154834642</v>
      </c>
      <c r="P75" s="753">
        <f t="shared" si="70"/>
        <v>55.512047116929132</v>
      </c>
      <c r="Q75" s="776">
        <f t="shared" si="60"/>
        <v>472927.60000000003</v>
      </c>
      <c r="R75" s="753">
        <f>VLOOKUP("*"&amp;$B75&amp;"*",'S4 - Summ PRS Characteristics'!$C$21:$Q$28,12,FALSE)*$J75</f>
        <v>236.11632400504817</v>
      </c>
      <c r="S75" s="753">
        <f t="shared" si="71"/>
        <v>403.88367599495183</v>
      </c>
      <c r="T75" s="753">
        <f>IF($C75="other",(1-$C72)*R75,(1-(VLOOKUP($C75,'S3 - Screening Tool Metrics'!$C$3:$G$17,5,FALSE)/100))*R75)</f>
        <v>47.223264801009627</v>
      </c>
      <c r="U75" s="753">
        <f>IF($C75="other",$C72*R75,(VLOOKUP($C75,'S3 - Screening Tool Metrics'!$C$3:$G$17,5,FALSE)/100)*R75)</f>
        <v>188.89305920403854</v>
      </c>
      <c r="V75" s="777">
        <f t="shared" si="61"/>
        <v>29.514540500631021</v>
      </c>
      <c r="W75" s="753">
        <f t="shared" si="62"/>
        <v>236463.80000000002</v>
      </c>
      <c r="X75" s="753">
        <f>VLOOKUP("*"&amp;$B75&amp;"*",'S4 - Summ PRS Characteristics'!$C$21:$Q$28,13,FALSE)*$J75</f>
        <v>140.34163759851376</v>
      </c>
      <c r="Y75" s="753">
        <f t="shared" si="72"/>
        <v>499.65836240148622</v>
      </c>
      <c r="Z75" s="753">
        <f>IF($C75="other",(1-$C72)*X75,(1-(VLOOKUP($C75,'S3 - Screening Tool Metrics'!$C$3:$G$17,5,FALSE)/100))*X75)</f>
        <v>28.068327519702745</v>
      </c>
      <c r="AA75" s="753">
        <f>IF($C75="other",$C72*X75,(VLOOKUP($C75,'S3 - Screening Tool Metrics'!$C$3:$G$17,5,FALSE)/100)*X75)</f>
        <v>112.27331007881101</v>
      </c>
      <c r="AB75" s="777">
        <f t="shared" si="63"/>
        <v>17.54270469981422</v>
      </c>
      <c r="AC75" s="776">
        <f t="shared" si="64"/>
        <v>118231.90000000001</v>
      </c>
      <c r="AD75" s="753">
        <f>VLOOKUP("*"&amp;$B75&amp;"*",'S4 - Summ PRS Characteristics'!$C$21:$Q$28,14,FALSE)*$J75</f>
        <v>81.649733616768273</v>
      </c>
      <c r="AE75" s="753">
        <f t="shared" ref="AE75:AE86" si="74">$J75-AD75</f>
        <v>558.35026638323177</v>
      </c>
      <c r="AF75" s="753">
        <f>IF($C75="other",(1-$C72)*AD75,(1-(VLOOKUP($C75,'S3 - Screening Tool Metrics'!$C$3:$G$17,5,FALSE)/100))*AD75)</f>
        <v>16.32994672335365</v>
      </c>
      <c r="AG75" s="753">
        <f>IF($C75="other",$C72*AD75,(VLOOKUP($C75,'S3 - Screening Tool Metrics'!$C$3:$G$17,5,FALSE)/100)*AD75)</f>
        <v>65.319786893414616</v>
      </c>
      <c r="AH75" s="777">
        <f t="shared" si="65"/>
        <v>10.206216702096034</v>
      </c>
      <c r="AI75" s="776">
        <f t="shared" si="66"/>
        <v>23646.38</v>
      </c>
      <c r="AJ75" s="753">
        <f>VLOOKUP("*"&amp;$B75&amp;"*",'S4 - Summ PRS Characteristics'!$C$21:$Q$28,15,FALSE)*$J75</f>
        <v>22.031620066378057</v>
      </c>
      <c r="AK75" s="753">
        <f t="shared" si="73"/>
        <v>617.96837993362192</v>
      </c>
      <c r="AL75" s="753">
        <f>IF($C75="other",(1-$C72)*AJ75,(1-(VLOOKUP($C75,'S3 - Screening Tool Metrics'!$C$3:$G$17,5,FALSE)/100))*AJ75)</f>
        <v>4.4063240132756105</v>
      </c>
      <c r="AM75" s="753">
        <f>IF($C75="other",$C72*AJ75,(VLOOKUP($C75,'S3 - Screening Tool Metrics'!$C$3:$G$17,5,FALSE)/100)*AJ75)</f>
        <v>17.625296053102446</v>
      </c>
      <c r="AN75" s="778">
        <f t="shared" si="67"/>
        <v>2.7539525082972571</v>
      </c>
    </row>
    <row r="76" spans="2:40" x14ac:dyDescent="0.2">
      <c r="B76" s="768" t="s">
        <v>13</v>
      </c>
      <c r="C76" s="779" t="str">
        <f>$C73</f>
        <v>Other</v>
      </c>
      <c r="D76" s="780" t="s">
        <v>195</v>
      </c>
      <c r="E76" s="781">
        <f>VLOOKUP($B76&amp;"_"&amp;$D76,'App5 - CRUK Inci Rates'!C:H,6,FALSE)</f>
        <v>0</v>
      </c>
      <c r="F76" s="782">
        <f>VLOOKUP($B76&amp;"_"&amp;$D76,'App5 - CRUK Inci Rates'!C:H,3,FALSE)</f>
        <v>34.799999999999997</v>
      </c>
      <c r="G76" s="783">
        <f>VLOOKUP($B76&amp;"_"&amp;$D76,'App5 - CRUK Inci Rates'!C:J,8,FALSE)</f>
        <v>2119687.3333333335</v>
      </c>
      <c r="H76" s="784">
        <f>VLOOKUP($B76&amp;"_"&amp;$D76,'App5 - CRUK Inci Rates'!C:J,7,FALSE)</f>
        <v>0</v>
      </c>
      <c r="I76" s="784">
        <f>VLOOKUP($B76&amp;"_"&amp;$D76,'App5 - CRUK Inci Rates'!C:J,4,FALSE)</f>
        <v>2119687.3333333335</v>
      </c>
      <c r="J76" s="778">
        <f>VLOOKUP($B76&amp;"_"&amp;$D76,'App5 - CRUK Inci Rates'!C:K,9,FALSE)</f>
        <v>738</v>
      </c>
      <c r="K76" s="753">
        <f t="shared" si="68"/>
        <v>1059843.6666666667</v>
      </c>
      <c r="L76" s="753">
        <f>VLOOKUP("*"&amp;$B76&amp;"*",'S4 - Summ PRS Characteristics'!$C$21:$Q$28,11,FALSE)*$J76</f>
        <v>512.09863465367118</v>
      </c>
      <c r="M76" s="753">
        <f t="shared" si="69"/>
        <v>225.90136534632882</v>
      </c>
      <c r="N76" s="753">
        <f>IF($C76="other",(1-$C$7)*L76,(1-(VLOOKUP($C76,'S3 - Screening Tool Metrics'!$C$3:$G$17,5,FALSE)/100))*L76)</f>
        <v>102.41972693073421</v>
      </c>
      <c r="O76" s="753">
        <f>IF($C76="other",$C$7*L76,(VLOOKUP($C76,'S3 - Screening Tool Metrics'!$C$3:$G$17,5,FALSE)/100)*L76)</f>
        <v>409.67890772293697</v>
      </c>
      <c r="P76" s="753">
        <f t="shared" si="70"/>
        <v>55.512047116929132</v>
      </c>
      <c r="Q76" s="776">
        <f t="shared" si="60"/>
        <v>423937.46666666673</v>
      </c>
      <c r="R76" s="753">
        <f>VLOOKUP("*"&amp;$B76&amp;"*",'S4 - Summ PRS Characteristics'!$C$21:$Q$28,12,FALSE)*$J76</f>
        <v>272.27163611832117</v>
      </c>
      <c r="S76" s="753">
        <f t="shared" si="71"/>
        <v>465.72836388167883</v>
      </c>
      <c r="T76" s="753">
        <f>IF($C76="other",(1-$C72)*R76,(1-(VLOOKUP($C76,'S3 - Screening Tool Metrics'!$C$3:$G$17,5,FALSE)/100))*R76)</f>
        <v>54.454327223664222</v>
      </c>
      <c r="U76" s="753">
        <f>IF($C76="other",$C72*R76,(VLOOKUP($C76,'S3 - Screening Tool Metrics'!$C$3:$G$17,5,FALSE)/100)*R76)</f>
        <v>217.81730889465695</v>
      </c>
      <c r="V76" s="777">
        <f t="shared" si="61"/>
        <v>29.514540500631021</v>
      </c>
      <c r="W76" s="753">
        <f t="shared" si="62"/>
        <v>211968.73333333337</v>
      </c>
      <c r="X76" s="753">
        <f>VLOOKUP("*"&amp;$B76&amp;"*",'S4 - Summ PRS Characteristics'!$C$21:$Q$28,13,FALSE)*$J76</f>
        <v>161.83145085578619</v>
      </c>
      <c r="Y76" s="753">
        <f t="shared" si="72"/>
        <v>576.16854914421378</v>
      </c>
      <c r="Z76" s="753">
        <f>IF($C76="other",(1-$C72)*X76,(1-(VLOOKUP($C76,'S3 - Screening Tool Metrics'!$C$3:$G$17,5,FALSE)/100))*X76)</f>
        <v>32.366290171157232</v>
      </c>
      <c r="AA76" s="753">
        <f>IF($C76="other",$C72*X76,(VLOOKUP($C76,'S3 - Screening Tool Metrics'!$C$3:$G$17,5,FALSE)/100)*X76)</f>
        <v>129.46516068462896</v>
      </c>
      <c r="AB76" s="777">
        <f t="shared" si="63"/>
        <v>17.54270469981422</v>
      </c>
      <c r="AC76" s="776">
        <f t="shared" si="64"/>
        <v>105984.36666666668</v>
      </c>
      <c r="AD76" s="753">
        <f>VLOOKUP("*"&amp;$B76&amp;"*",'S4 - Summ PRS Characteristics'!$C$21:$Q$28,14,FALSE)*$J76</f>
        <v>94.152349076835904</v>
      </c>
      <c r="AE76" s="753">
        <f t="shared" si="74"/>
        <v>643.84765092316411</v>
      </c>
      <c r="AF76" s="753">
        <f>IF($C76="other",(1-$C72)*AD76,(1-(VLOOKUP($C76,'S3 - Screening Tool Metrics'!$C$3:$G$17,5,FALSE)/100))*AD76)</f>
        <v>18.830469815367177</v>
      </c>
      <c r="AG76" s="753">
        <f>IF($C76="other",$C72*AD76,(VLOOKUP($C76,'S3 - Screening Tool Metrics'!$C$3:$G$17,5,FALSE)/100)*AD76)</f>
        <v>75.321879261468723</v>
      </c>
      <c r="AH76" s="777">
        <f t="shared" si="65"/>
        <v>10.206216702096032</v>
      </c>
      <c r="AI76" s="776">
        <f t="shared" si="66"/>
        <v>21196.873333333337</v>
      </c>
      <c r="AJ76" s="753">
        <f>VLOOKUP("*"&amp;$B76&amp;"*",'S4 - Summ PRS Characteristics'!$C$21:$Q$28,15,FALSE)*$J76</f>
        <v>25.405211889042196</v>
      </c>
      <c r="AK76" s="753">
        <f t="shared" si="73"/>
        <v>712.59478811095778</v>
      </c>
      <c r="AL76" s="753">
        <f>IF($C76="other",(1-$C72)*AJ76,(1-(VLOOKUP($C76,'S3 - Screening Tool Metrics'!$C$3:$G$17,5,FALSE)/100))*AJ76)</f>
        <v>5.0810423778084379</v>
      </c>
      <c r="AM76" s="753">
        <f>IF($C76="other",$C72*AJ76,(VLOOKUP($C76,'S3 - Screening Tool Metrics'!$C$3:$G$17,5,FALSE)/100)*AJ76)</f>
        <v>20.324169511233759</v>
      </c>
      <c r="AN76" s="778">
        <f t="shared" si="67"/>
        <v>2.7539525082972571</v>
      </c>
    </row>
    <row r="77" spans="2:40" x14ac:dyDescent="0.2">
      <c r="B77" s="768" t="s">
        <v>13</v>
      </c>
      <c r="C77" s="779" t="str">
        <f>$C73</f>
        <v>Other</v>
      </c>
      <c r="D77" s="780" t="s">
        <v>196</v>
      </c>
      <c r="E77" s="781">
        <f>VLOOKUP($B77&amp;"_"&amp;$D77,'App5 - CRUK Inci Rates'!C:H,6,FALSE)</f>
        <v>0</v>
      </c>
      <c r="F77" s="782">
        <f>VLOOKUP($B77&amp;"_"&amp;$D77,'App5 - CRUK Inci Rates'!C:H,3,FALSE)</f>
        <v>41.6</v>
      </c>
      <c r="G77" s="783">
        <f>VLOOKUP($B77&amp;"_"&amp;$D77,'App5 - CRUK Inci Rates'!C:J,8,FALSE)</f>
        <v>1837174</v>
      </c>
      <c r="H77" s="784">
        <f>VLOOKUP($B77&amp;"_"&amp;$D77,'App5 - CRUK Inci Rates'!C:J,7,FALSE)</f>
        <v>0</v>
      </c>
      <c r="I77" s="784">
        <f>VLOOKUP($B77&amp;"_"&amp;$D77,'App5 - CRUK Inci Rates'!C:J,4,FALSE)</f>
        <v>1837174</v>
      </c>
      <c r="J77" s="778">
        <f>VLOOKUP($B77&amp;"_"&amp;$D77,'App5 - CRUK Inci Rates'!C:K,9,FALSE)</f>
        <v>764</v>
      </c>
      <c r="K77" s="753">
        <f t="shared" si="68"/>
        <v>918587</v>
      </c>
      <c r="L77" s="753">
        <f>VLOOKUP("*"&amp;$B77&amp;"*",'S4 - Summ PRS Characteristics'!$C$21:$Q$28,11,FALSE)*$J77</f>
        <v>530.14004996667313</v>
      </c>
      <c r="M77" s="753">
        <f t="shared" si="69"/>
        <v>233.85995003332687</v>
      </c>
      <c r="N77" s="753">
        <f>IF($C77="other",(1-$C$7)*L77,(1-(VLOOKUP($C77,'S3 - Screening Tool Metrics'!$C$3:$G$17,5,FALSE)/100))*L77)</f>
        <v>106.02800999333461</v>
      </c>
      <c r="O77" s="753">
        <f>IF($C77="other",$C$7*L77,(VLOOKUP($C77,'S3 - Screening Tool Metrics'!$C$3:$G$17,5,FALSE)/100)*L77)</f>
        <v>424.11203997333854</v>
      </c>
      <c r="P77" s="753">
        <f t="shared" si="70"/>
        <v>55.512047116929132</v>
      </c>
      <c r="Q77" s="776">
        <f t="shared" si="60"/>
        <v>367434.80000000005</v>
      </c>
      <c r="R77" s="753">
        <f>VLOOKUP("*"&amp;$B77&amp;"*",'S4 - Summ PRS Characteristics'!$C$21:$Q$28,12,FALSE)*$J77</f>
        <v>281.86386178102623</v>
      </c>
      <c r="S77" s="753">
        <f t="shared" si="71"/>
        <v>482.13613821897377</v>
      </c>
      <c r="T77" s="753">
        <f>IF($C77="other",(1-$C72)*R77,(1-(VLOOKUP($C77,'S3 - Screening Tool Metrics'!$C$3:$G$17,5,FALSE)/100))*R77)</f>
        <v>56.372772356205232</v>
      </c>
      <c r="U77" s="753">
        <f>IF($C77="other",$C72*R77,(VLOOKUP($C77,'S3 - Screening Tool Metrics'!$C$3:$G$17,5,FALSE)/100)*R77)</f>
        <v>225.49108942482098</v>
      </c>
      <c r="V77" s="777">
        <f t="shared" si="61"/>
        <v>29.514540500631021</v>
      </c>
      <c r="W77" s="753">
        <f t="shared" si="62"/>
        <v>183717.40000000002</v>
      </c>
      <c r="X77" s="753">
        <f>VLOOKUP("*"&amp;$B77&amp;"*",'S4 - Summ PRS Characteristics'!$C$21:$Q$28,13,FALSE)*$J77</f>
        <v>167.53282988322579</v>
      </c>
      <c r="Y77" s="753">
        <f t="shared" si="72"/>
        <v>596.46717011677424</v>
      </c>
      <c r="Z77" s="753">
        <f>IF($C77="other",(1-$C72)*X77,(1-(VLOOKUP($C77,'S3 - Screening Tool Metrics'!$C$3:$G$17,5,FALSE)/100))*X77)</f>
        <v>33.506565976645149</v>
      </c>
      <c r="AA77" s="753">
        <f>IF($C77="other",$C72*X77,(VLOOKUP($C77,'S3 - Screening Tool Metrics'!$C$3:$G$17,5,FALSE)/100)*X77)</f>
        <v>134.02626390658062</v>
      </c>
      <c r="AB77" s="777">
        <f t="shared" si="63"/>
        <v>17.54270469981422</v>
      </c>
      <c r="AC77" s="776">
        <f t="shared" si="64"/>
        <v>91858.700000000012</v>
      </c>
      <c r="AD77" s="753">
        <f>VLOOKUP("*"&amp;$B77&amp;"*",'S4 - Summ PRS Characteristics'!$C$21:$Q$28,14,FALSE)*$J77</f>
        <v>97.469369505017127</v>
      </c>
      <c r="AE77" s="753">
        <f t="shared" si="74"/>
        <v>666.53063049498292</v>
      </c>
      <c r="AF77" s="753">
        <f>IF($C77="other",(1-$C72)*AD77,(1-(VLOOKUP($C77,'S3 - Screening Tool Metrics'!$C$3:$G$17,5,FALSE)/100))*AD77)</f>
        <v>19.493873901003422</v>
      </c>
      <c r="AG77" s="753">
        <f>IF($C77="other",$C72*AD77,(VLOOKUP($C77,'S3 - Screening Tool Metrics'!$C$3:$G$17,5,FALSE)/100)*AD77)</f>
        <v>77.975495604013702</v>
      </c>
      <c r="AH77" s="777">
        <f t="shared" si="65"/>
        <v>10.206216702096034</v>
      </c>
      <c r="AI77" s="776">
        <f t="shared" si="66"/>
        <v>18371.740000000002</v>
      </c>
      <c r="AJ77" s="753">
        <f>VLOOKUP("*"&amp;$B77&amp;"*",'S4 - Summ PRS Characteristics'!$C$21:$Q$28,15,FALSE)*$J77</f>
        <v>26.300246454238806</v>
      </c>
      <c r="AK77" s="753">
        <f t="shared" si="73"/>
        <v>737.69975354576115</v>
      </c>
      <c r="AL77" s="753">
        <f>IF($C77="other",(1-$C72)*AJ77,(1-(VLOOKUP($C77,'S3 - Screening Tool Metrics'!$C$3:$G$17,5,FALSE)/100))*AJ77)</f>
        <v>5.2600492908477596</v>
      </c>
      <c r="AM77" s="753">
        <f>IF($C77="other",$C72*AJ77,(VLOOKUP($C77,'S3 - Screening Tool Metrics'!$C$3:$G$17,5,FALSE)/100)*AJ77)</f>
        <v>21.040197163391046</v>
      </c>
      <c r="AN77" s="778">
        <f t="shared" si="67"/>
        <v>2.7539525082972571</v>
      </c>
    </row>
    <row r="78" spans="2:40" x14ac:dyDescent="0.2">
      <c r="B78" s="768" t="s">
        <v>13</v>
      </c>
      <c r="C78" s="779" t="str">
        <f>$C73</f>
        <v>Other</v>
      </c>
      <c r="D78" s="780" t="s">
        <v>197</v>
      </c>
      <c r="E78" s="781">
        <f>VLOOKUP($B78&amp;"_"&amp;$D78,'App5 - CRUK Inci Rates'!C:H,6,FALSE)</f>
        <v>0</v>
      </c>
      <c r="F78" s="782">
        <f>VLOOKUP($B78&amp;"_"&amp;$D78,'App5 - CRUK Inci Rates'!C:H,3,FALSE)</f>
        <v>52.3</v>
      </c>
      <c r="G78" s="783">
        <f>VLOOKUP($B78&amp;"_"&amp;$D78,'App5 - CRUK Inci Rates'!C:J,8,FALSE)</f>
        <v>1805190</v>
      </c>
      <c r="H78" s="784">
        <f>VLOOKUP($B78&amp;"_"&amp;$D78,'App5 - CRUK Inci Rates'!C:J,7,FALSE)</f>
        <v>0</v>
      </c>
      <c r="I78" s="784">
        <f>VLOOKUP($B78&amp;"_"&amp;$D78,'App5 - CRUK Inci Rates'!C:J,4,FALSE)</f>
        <v>1805190</v>
      </c>
      <c r="J78" s="778">
        <f>VLOOKUP($B78&amp;"_"&amp;$D78,'App5 - CRUK Inci Rates'!C:K,9,FALSE)</f>
        <v>944</v>
      </c>
      <c r="K78" s="753">
        <f t="shared" si="68"/>
        <v>902595</v>
      </c>
      <c r="L78" s="753">
        <f>VLOOKUP("*"&amp;$B78&amp;"*",'S4 - Summ PRS Characteristics'!$C$21:$Q$28,11,FALSE)*$J78</f>
        <v>655.04215597976372</v>
      </c>
      <c r="M78" s="753">
        <f t="shared" si="69"/>
        <v>288.95784402023628</v>
      </c>
      <c r="N78" s="753">
        <f>IF($C78="other",(1-$C$7)*L78,(1-(VLOOKUP($C78,'S3 - Screening Tool Metrics'!$C$3:$G$17,5,FALSE)/100))*L78)</f>
        <v>131.00843119595271</v>
      </c>
      <c r="O78" s="753">
        <f>IF($C78="other",$C$7*L78,(VLOOKUP($C78,'S3 - Screening Tool Metrics'!$C$3:$G$17,5,FALSE)/100)*L78)</f>
        <v>524.03372478381095</v>
      </c>
      <c r="P78" s="753">
        <f t="shared" si="70"/>
        <v>55.512047116929132</v>
      </c>
      <c r="Q78" s="776">
        <f t="shared" si="60"/>
        <v>361038</v>
      </c>
      <c r="R78" s="753">
        <f>VLOOKUP("*"&amp;$B78&amp;"*",'S4 - Summ PRS Characteristics'!$C$21:$Q$28,12,FALSE)*$J78</f>
        <v>348.27157790744604</v>
      </c>
      <c r="S78" s="753">
        <f t="shared" si="71"/>
        <v>595.72842209255396</v>
      </c>
      <c r="T78" s="753">
        <f>IF($C78="other",(1-$C72)*R78,(1-(VLOOKUP($C78,'S3 - Screening Tool Metrics'!$C$3:$G$17,5,FALSE)/100))*R78)</f>
        <v>69.6543155814892</v>
      </c>
      <c r="U78" s="753">
        <f>IF($C78="other",$C72*R78,(VLOOKUP($C78,'S3 - Screening Tool Metrics'!$C$3:$G$17,5,FALSE)/100)*R78)</f>
        <v>278.61726232595686</v>
      </c>
      <c r="V78" s="777">
        <f t="shared" si="61"/>
        <v>29.514540500631025</v>
      </c>
      <c r="W78" s="753">
        <f t="shared" si="62"/>
        <v>180519</v>
      </c>
      <c r="X78" s="753">
        <f>VLOOKUP("*"&amp;$B78&amp;"*",'S4 - Summ PRS Characteristics'!$C$21:$Q$28,13,FALSE)*$J78</f>
        <v>207.00391545780781</v>
      </c>
      <c r="Y78" s="753">
        <f t="shared" si="72"/>
        <v>736.99608454219219</v>
      </c>
      <c r="Z78" s="753">
        <f>IF($C78="other",(1-$C72)*X78,(1-(VLOOKUP($C78,'S3 - Screening Tool Metrics'!$C$3:$G$17,5,FALSE)/100))*X78)</f>
        <v>41.40078309156155</v>
      </c>
      <c r="AA78" s="753">
        <f>IF($C78="other",$C72*X78,(VLOOKUP($C78,'S3 - Screening Tool Metrics'!$C$3:$G$17,5,FALSE)/100)*X78)</f>
        <v>165.60313236624626</v>
      </c>
      <c r="AB78" s="777">
        <f t="shared" si="63"/>
        <v>17.54270469981422</v>
      </c>
      <c r="AC78" s="776">
        <f t="shared" si="64"/>
        <v>90259.5</v>
      </c>
      <c r="AD78" s="753">
        <f>VLOOKUP("*"&amp;$B78&amp;"*",'S4 - Summ PRS Characteristics'!$C$21:$Q$28,14,FALSE)*$J78</f>
        <v>120.4333570847332</v>
      </c>
      <c r="AE78" s="753">
        <f t="shared" si="74"/>
        <v>823.56664291526681</v>
      </c>
      <c r="AF78" s="753">
        <f>IF($C78="other",(1-$C72)*AD78,(1-(VLOOKUP($C78,'S3 - Screening Tool Metrics'!$C$3:$G$17,5,FALSE)/100))*AD78)</f>
        <v>24.086671416946636</v>
      </c>
      <c r="AG78" s="753">
        <f>IF($C78="other",$C72*AD78,(VLOOKUP($C78,'S3 - Screening Tool Metrics'!$C$3:$G$17,5,FALSE)/100)*AD78)</f>
        <v>96.346685667786574</v>
      </c>
      <c r="AH78" s="777">
        <f t="shared" si="65"/>
        <v>10.206216702096036</v>
      </c>
      <c r="AI78" s="776">
        <f t="shared" si="66"/>
        <v>18051.900000000001</v>
      </c>
      <c r="AJ78" s="753">
        <f>VLOOKUP("*"&amp;$B78&amp;"*",'S4 - Summ PRS Characteristics'!$C$21:$Q$28,15,FALSE)*$J78</f>
        <v>32.496639597907631</v>
      </c>
      <c r="AK78" s="753">
        <f t="shared" si="73"/>
        <v>911.50336040209231</v>
      </c>
      <c r="AL78" s="753">
        <f>IF($C78="other",(1-$C72)*AJ78,(1-(VLOOKUP($C78,'S3 - Screening Tool Metrics'!$C$3:$G$17,5,FALSE)/100))*AJ78)</f>
        <v>6.4993279195815248</v>
      </c>
      <c r="AM78" s="753">
        <f>IF($C78="other",$C72*AJ78,(VLOOKUP($C78,'S3 - Screening Tool Metrics'!$C$3:$G$17,5,FALSE)/100)*AJ78)</f>
        <v>25.997311678326106</v>
      </c>
      <c r="AN78" s="778">
        <f t="shared" si="67"/>
        <v>2.7539525082972567</v>
      </c>
    </row>
    <row r="79" spans="2:40" x14ac:dyDescent="0.2">
      <c r="B79" s="768" t="s">
        <v>13</v>
      </c>
      <c r="C79" s="779" t="str">
        <f>$C73</f>
        <v>Other</v>
      </c>
      <c r="D79" s="780" t="s">
        <v>198</v>
      </c>
      <c r="E79" s="781">
        <f>VLOOKUP($B79&amp;"_"&amp;$D79,'App5 - CRUK Inci Rates'!C:H,6,FALSE)</f>
        <v>0</v>
      </c>
      <c r="F79" s="782">
        <f>VLOOKUP($B79&amp;"_"&amp;$D79,'App5 - CRUK Inci Rates'!C:H,3,FALSE)</f>
        <v>60.8</v>
      </c>
      <c r="G79" s="783">
        <f>VLOOKUP($B79&amp;"_"&amp;$D79,'App5 - CRUK Inci Rates'!C:J,8,FALSE)</f>
        <v>1603609.6666666667</v>
      </c>
      <c r="H79" s="784">
        <f>VLOOKUP($B79&amp;"_"&amp;$D79,'App5 - CRUK Inci Rates'!C:J,7,FALSE)</f>
        <v>0</v>
      </c>
      <c r="I79" s="784">
        <f>VLOOKUP($B79&amp;"_"&amp;$D79,'App5 - CRUK Inci Rates'!C:J,4,FALSE)</f>
        <v>1603609.6666666667</v>
      </c>
      <c r="J79" s="778">
        <f>VLOOKUP($B79&amp;"_"&amp;$D79,'App5 - CRUK Inci Rates'!C:K,9,FALSE)</f>
        <v>975</v>
      </c>
      <c r="K79" s="753">
        <f t="shared" si="68"/>
        <v>801804.83333333337</v>
      </c>
      <c r="L79" s="753">
        <f>VLOOKUP("*"&amp;$B79&amp;"*",'S4 - Summ PRS Characteristics'!$C$21:$Q$28,11,FALSE)*$J79</f>
        <v>676.55307423757381</v>
      </c>
      <c r="M79" s="753">
        <f t="shared" si="69"/>
        <v>298.44692576242619</v>
      </c>
      <c r="N79" s="753">
        <f>IF($C79="other",(1-$C$7)*L79,(1-(VLOOKUP($C79,'S3 - Screening Tool Metrics'!$C$3:$G$17,5,FALSE)/100))*L79)</f>
        <v>135.31061484751473</v>
      </c>
      <c r="O79" s="753">
        <f>IF($C79="other",$C$7*L79,(VLOOKUP($C79,'S3 - Screening Tool Metrics'!$C$3:$G$17,5,FALSE)/100)*L79)</f>
        <v>541.24245939005903</v>
      </c>
      <c r="P79" s="753">
        <f t="shared" si="70"/>
        <v>55.512047116929132</v>
      </c>
      <c r="Q79" s="776">
        <f t="shared" si="60"/>
        <v>320721.93333333335</v>
      </c>
      <c r="R79" s="753">
        <f>VLOOKUP("*"&amp;$B79&amp;"*",'S4 - Summ PRS Characteristics'!$C$21:$Q$28,12,FALSE)*$J79</f>
        <v>359.70846235144057</v>
      </c>
      <c r="S79" s="753">
        <f t="shared" si="71"/>
        <v>615.29153764855937</v>
      </c>
      <c r="T79" s="753">
        <f>IF($C79="other",(1-$C72)*R79,(1-(VLOOKUP($C79,'S3 - Screening Tool Metrics'!$C$3:$G$17,5,FALSE)/100))*R79)</f>
        <v>71.941692470288103</v>
      </c>
      <c r="U79" s="753">
        <f>IF($C79="other",$C72*R79,(VLOOKUP($C79,'S3 - Screening Tool Metrics'!$C$3:$G$17,5,FALSE)/100)*R79)</f>
        <v>287.76676988115247</v>
      </c>
      <c r="V79" s="777">
        <f t="shared" si="61"/>
        <v>29.514540500631021</v>
      </c>
      <c r="W79" s="753">
        <f t="shared" si="62"/>
        <v>160360.96666666667</v>
      </c>
      <c r="X79" s="753">
        <f>VLOOKUP("*"&amp;$B79&amp;"*",'S4 - Summ PRS Characteristics'!$C$21:$Q$28,13,FALSE)*$J79</f>
        <v>213.8017135289858</v>
      </c>
      <c r="Y79" s="753">
        <f t="shared" si="72"/>
        <v>761.19828647101417</v>
      </c>
      <c r="Z79" s="753">
        <f>IF($C79="other",(1-$C72)*X79,(1-(VLOOKUP($C79,'S3 - Screening Tool Metrics'!$C$3:$G$17,5,FALSE)/100))*X79)</f>
        <v>42.76034270579715</v>
      </c>
      <c r="AA79" s="753">
        <f>IF($C79="other",$C72*X79,(VLOOKUP($C79,'S3 - Screening Tool Metrics'!$C$3:$G$17,5,FALSE)/100)*X79)</f>
        <v>171.04137082318866</v>
      </c>
      <c r="AB79" s="777">
        <f t="shared" si="63"/>
        <v>17.54270469981422</v>
      </c>
      <c r="AC79" s="776">
        <f t="shared" si="64"/>
        <v>80180.483333333337</v>
      </c>
      <c r="AD79" s="753">
        <f>VLOOKUP("*"&amp;$B79&amp;"*",'S4 - Summ PRS Characteristics'!$C$21:$Q$28,14,FALSE)*$J79</f>
        <v>124.38826605679542</v>
      </c>
      <c r="AE79" s="753">
        <f t="shared" si="74"/>
        <v>850.61173394320463</v>
      </c>
      <c r="AF79" s="753">
        <f>IF($C79="other",(1-$C72)*AD79,(1-(VLOOKUP($C79,'S3 - Screening Tool Metrics'!$C$3:$G$17,5,FALSE)/100))*AD79)</f>
        <v>24.877653211359078</v>
      </c>
      <c r="AG79" s="753">
        <f>IF($C79="other",$C72*AD79,(VLOOKUP($C79,'S3 - Screening Tool Metrics'!$C$3:$G$17,5,FALSE)/100)*AD79)</f>
        <v>99.510612845436341</v>
      </c>
      <c r="AH79" s="777">
        <f t="shared" si="65"/>
        <v>10.206216702096036</v>
      </c>
      <c r="AI79" s="776">
        <f t="shared" si="66"/>
        <v>16036.096666666668</v>
      </c>
      <c r="AJ79" s="753">
        <f>VLOOKUP("*"&amp;$B79&amp;"*",'S4 - Summ PRS Characteristics'!$C$21:$Q$28,15,FALSE)*$J79</f>
        <v>33.563796194872822</v>
      </c>
      <c r="AK79" s="753">
        <f t="shared" si="73"/>
        <v>941.43620380512721</v>
      </c>
      <c r="AL79" s="753">
        <f>IF($C79="other",(1-$C72)*AJ79,(1-(VLOOKUP($C79,'S3 - Screening Tool Metrics'!$C$3:$G$17,5,FALSE)/100))*AJ79)</f>
        <v>6.7127592389745629</v>
      </c>
      <c r="AM79" s="753">
        <f>IF($C79="other",$C72*AJ79,(VLOOKUP($C79,'S3 - Screening Tool Metrics'!$C$3:$G$17,5,FALSE)/100)*AJ79)</f>
        <v>26.851036955898259</v>
      </c>
      <c r="AN79" s="778">
        <f t="shared" si="67"/>
        <v>2.7539525082972571</v>
      </c>
    </row>
    <row r="80" spans="2:40" x14ac:dyDescent="0.2">
      <c r="B80" s="768" t="s">
        <v>13</v>
      </c>
      <c r="C80" s="779" t="str">
        <f>$C73</f>
        <v>Other</v>
      </c>
      <c r="D80" s="780" t="s">
        <v>199</v>
      </c>
      <c r="E80" s="781">
        <f>VLOOKUP($B80&amp;"_"&amp;$D80,'App5 - CRUK Inci Rates'!C:H,6,FALSE)</f>
        <v>0</v>
      </c>
      <c r="F80" s="782">
        <f>VLOOKUP($B80&amp;"_"&amp;$D80,'App5 - CRUK Inci Rates'!C:H,3,FALSE)</f>
        <v>73.8</v>
      </c>
      <c r="G80" s="783">
        <f>VLOOKUP($B80&amp;"_"&amp;$D80,'App5 - CRUK Inci Rates'!C:J,8,FALSE)</f>
        <v>1181645.3333333333</v>
      </c>
      <c r="H80" s="784">
        <f>VLOOKUP($B80&amp;"_"&amp;$D80,'App5 - CRUK Inci Rates'!C:J,7,FALSE)</f>
        <v>0</v>
      </c>
      <c r="I80" s="784">
        <f>VLOOKUP($B80&amp;"_"&amp;$D80,'App5 - CRUK Inci Rates'!C:J,4,FALSE)</f>
        <v>1181645.3333333333</v>
      </c>
      <c r="J80" s="778">
        <f>VLOOKUP($B80&amp;"_"&amp;$D80,'App5 - CRUK Inci Rates'!C:K,9,FALSE)</f>
        <v>872</v>
      </c>
      <c r="K80" s="753">
        <f t="shared" si="68"/>
        <v>590822.66666666663</v>
      </c>
      <c r="L80" s="753">
        <f>VLOOKUP("*"&amp;$B80&amp;"*",'S4 - Summ PRS Characteristics'!$C$21:$Q$28,11,FALSE)*$J80</f>
        <v>605.08131357452748</v>
      </c>
      <c r="M80" s="753">
        <f t="shared" si="69"/>
        <v>266.91868642547252</v>
      </c>
      <c r="N80" s="753">
        <f>IF($C80="other",(1-$C$7)*L80,(1-(VLOOKUP($C80,'S3 - Screening Tool Metrics'!$C$3:$G$17,5,FALSE)/100))*L80)</f>
        <v>121.01626271490547</v>
      </c>
      <c r="O80" s="753">
        <f>IF($C80="other",$C$7*L80,(VLOOKUP($C80,'S3 - Screening Tool Metrics'!$C$3:$G$17,5,FALSE)/100)*L80)</f>
        <v>484.06505085962203</v>
      </c>
      <c r="P80" s="753">
        <f t="shared" si="70"/>
        <v>55.512047116929132</v>
      </c>
      <c r="Q80" s="776">
        <f t="shared" si="60"/>
        <v>236329.06666666665</v>
      </c>
      <c r="R80" s="753">
        <f>VLOOKUP("*"&amp;$B80&amp;"*",'S4 - Summ PRS Characteristics'!$C$21:$Q$28,12,FALSE)*$J80</f>
        <v>321.70849145687811</v>
      </c>
      <c r="S80" s="753">
        <f t="shared" si="71"/>
        <v>550.29150854312184</v>
      </c>
      <c r="T80" s="753">
        <f>IF($C80="other",(1-$C72)*R80,(1-(VLOOKUP($C80,'S3 - Screening Tool Metrics'!$C$3:$G$17,5,FALSE)/100))*R80)</f>
        <v>64.341698291375607</v>
      </c>
      <c r="U80" s="753">
        <f>IF($C80="other",$C72*R80,(VLOOKUP($C80,'S3 - Screening Tool Metrics'!$C$3:$G$17,5,FALSE)/100)*R80)</f>
        <v>257.36679316550249</v>
      </c>
      <c r="V80" s="777">
        <f t="shared" si="61"/>
        <v>29.514540500631021</v>
      </c>
      <c r="W80" s="753">
        <f t="shared" si="62"/>
        <v>118164.53333333333</v>
      </c>
      <c r="X80" s="753">
        <f>VLOOKUP("*"&amp;$B80&amp;"*",'S4 - Summ PRS Characteristics'!$C$21:$Q$28,13,FALSE)*$J80</f>
        <v>191.215481227975</v>
      </c>
      <c r="Y80" s="753">
        <f t="shared" si="72"/>
        <v>680.78451877202497</v>
      </c>
      <c r="Z80" s="753">
        <f>IF($C80="other",(1-$C72)*X80,(1-(VLOOKUP($C80,'S3 - Screening Tool Metrics'!$C$3:$G$17,5,FALSE)/100))*X80)</f>
        <v>38.243096245594991</v>
      </c>
      <c r="AA80" s="753">
        <f>IF($C80="other",$C72*X80,(VLOOKUP($C80,'S3 - Screening Tool Metrics'!$C$3:$G$17,5,FALSE)/100)*X80)</f>
        <v>152.97238498238002</v>
      </c>
      <c r="AB80" s="777">
        <f t="shared" si="63"/>
        <v>17.542704699814223</v>
      </c>
      <c r="AC80" s="776">
        <f t="shared" si="64"/>
        <v>59082.266666666663</v>
      </c>
      <c r="AD80" s="753">
        <f>VLOOKUP("*"&amp;$B80&amp;"*",'S4 - Summ PRS Characteristics'!$C$21:$Q$28,14,FALSE)*$J80</f>
        <v>111.24776205284677</v>
      </c>
      <c r="AE80" s="753">
        <f t="shared" si="74"/>
        <v>760.75223794715328</v>
      </c>
      <c r="AF80" s="753">
        <f>IF($C80="other",(1-$C72)*AD80,(1-(VLOOKUP($C80,'S3 - Screening Tool Metrics'!$C$3:$G$17,5,FALSE)/100))*AD80)</f>
        <v>22.249552410569347</v>
      </c>
      <c r="AG80" s="753">
        <f>IF($C80="other",$C72*AD80,(VLOOKUP($C80,'S3 - Screening Tool Metrics'!$C$3:$G$17,5,FALSE)/100)*AD80)</f>
        <v>88.998209642277416</v>
      </c>
      <c r="AH80" s="777">
        <f t="shared" si="65"/>
        <v>10.206216702096034</v>
      </c>
      <c r="AI80" s="776">
        <f t="shared" si="66"/>
        <v>11816.453333333333</v>
      </c>
      <c r="AJ80" s="753">
        <f>VLOOKUP("*"&amp;$B80&amp;"*",'S4 - Summ PRS Characteristics'!$C$21:$Q$28,15,FALSE)*$J80</f>
        <v>30.018082340440102</v>
      </c>
      <c r="AK80" s="753">
        <f t="shared" si="73"/>
        <v>841.98191765955994</v>
      </c>
      <c r="AL80" s="753">
        <f>IF($C80="other",(1-$C72)*AJ80,(1-(VLOOKUP($C80,'S3 - Screening Tool Metrics'!$C$3:$G$17,5,FALSE)/100))*AJ80)</f>
        <v>6.0036164680880191</v>
      </c>
      <c r="AM80" s="753">
        <f>IF($C80="other",$C72*AJ80,(VLOOKUP($C80,'S3 - Screening Tool Metrics'!$C$3:$G$17,5,FALSE)/100)*AJ80)</f>
        <v>24.014465872352083</v>
      </c>
      <c r="AN80" s="778">
        <f t="shared" si="67"/>
        <v>2.7539525082972571</v>
      </c>
    </row>
    <row r="81" spans="2:40" x14ac:dyDescent="0.2">
      <c r="B81" s="768" t="s">
        <v>13</v>
      </c>
      <c r="C81" s="779" t="str">
        <f>$C73</f>
        <v>Other</v>
      </c>
      <c r="D81" s="780" t="s">
        <v>200</v>
      </c>
      <c r="E81" s="781">
        <f>VLOOKUP($B81&amp;"_"&amp;$D81,'App5 - CRUK Inci Rates'!C:H,6,FALSE)</f>
        <v>0</v>
      </c>
      <c r="F81" s="782">
        <f>VLOOKUP($B81&amp;"_"&amp;$D81,'App5 - CRUK Inci Rates'!C:H,3,FALSE)</f>
        <v>30.440786428594748</v>
      </c>
      <c r="G81" s="783">
        <f>VLOOKUP($B81&amp;"_"&amp;$D81,'App5 - CRUK Inci Rates'!C:J,8,FALSE)</f>
        <v>12496392</v>
      </c>
      <c r="H81" s="784">
        <f>VLOOKUP($B81&amp;"_"&amp;$D81,'App5 - CRUK Inci Rates'!C:J,7,FALSE)</f>
        <v>0</v>
      </c>
      <c r="I81" s="784">
        <f>VLOOKUP($B81&amp;"_"&amp;$D81,'App5 - CRUK Inci Rates'!C:J,4,FALSE)</f>
        <v>12496392</v>
      </c>
      <c r="J81" s="778">
        <f>VLOOKUP($B81&amp;"_"&amp;$D81,'App5 - CRUK Inci Rates'!C:K,9,FALSE)</f>
        <v>3804</v>
      </c>
      <c r="K81" s="753">
        <f t="shared" si="68"/>
        <v>6248196</v>
      </c>
      <c r="L81" s="753">
        <f>VLOOKUP("*"&amp;$B81&amp;"*",'S4 - Summ PRS Characteristics'!$C$21:$Q$28,11,FALSE)*$J81</f>
        <v>2639.5978404099801</v>
      </c>
      <c r="M81" s="753">
        <f t="shared" si="69"/>
        <v>1164.4021595900199</v>
      </c>
      <c r="N81" s="753">
        <f>IF($C81="other",(1-$C$7)*L81,(1-(VLOOKUP($C81,'S3 - Screening Tool Metrics'!$C$3:$G$17,5,FALSE)/100))*L81)</f>
        <v>527.91956808199586</v>
      </c>
      <c r="O81" s="753">
        <f>IF($C81="other",$C$7*L81,(VLOOKUP($C81,'S3 - Screening Tool Metrics'!$C$3:$G$17,5,FALSE)/100)*L81)</f>
        <v>2111.6782723279844</v>
      </c>
      <c r="P81" s="753">
        <f t="shared" si="70"/>
        <v>55.512047116929139</v>
      </c>
      <c r="Q81" s="776">
        <f t="shared" si="60"/>
        <v>2499278.4</v>
      </c>
      <c r="R81" s="753">
        <f>VLOOKUP("*"&amp;$B81&amp;"*",'S4 - Summ PRS Characteristics'!$C$21:$Q$28,12,FALSE)*$J81</f>
        <v>1403.416400805005</v>
      </c>
      <c r="S81" s="753">
        <f t="shared" si="71"/>
        <v>2400.5835991949953</v>
      </c>
      <c r="T81" s="753">
        <f>IF($C81="other",(1-$C72)*R81,(1-(VLOOKUP($C81,'S3 - Screening Tool Metrics'!$C$3:$G$17,5,FALSE)/100))*R81)</f>
        <v>280.68328016100094</v>
      </c>
      <c r="U81" s="753">
        <f>IF($C81="other",$C72*R81,(VLOOKUP($C81,'S3 - Screening Tool Metrics'!$C$3:$G$17,5,FALSE)/100)*R81)</f>
        <v>1122.733120644004</v>
      </c>
      <c r="V81" s="777">
        <f t="shared" si="61"/>
        <v>29.514540500631021</v>
      </c>
      <c r="W81" s="753">
        <f t="shared" si="62"/>
        <v>1249639.2</v>
      </c>
      <c r="X81" s="753">
        <f>VLOOKUP("*"&amp;$B81&amp;"*",'S4 - Summ PRS Characteristics'!$C$21:$Q$28,13,FALSE)*$J81</f>
        <v>834.15560847616621</v>
      </c>
      <c r="Y81" s="753">
        <f t="shared" si="72"/>
        <v>2969.844391523834</v>
      </c>
      <c r="Z81" s="753">
        <f>IF($C81="other",(1-$C72)*X81,(1-(VLOOKUP($C81,'S3 - Screening Tool Metrics'!$C$3:$G$17,5,FALSE)/100))*X81)</f>
        <v>166.83112169523321</v>
      </c>
      <c r="AA81" s="753">
        <f>IF($C81="other",$C72*X81,(VLOOKUP($C81,'S3 - Screening Tool Metrics'!$C$3:$G$17,5,FALSE)/100)*X81)</f>
        <v>667.32448678093306</v>
      </c>
      <c r="AB81" s="777">
        <f t="shared" si="63"/>
        <v>17.542704699814223</v>
      </c>
      <c r="AC81" s="776">
        <f t="shared" si="64"/>
        <v>624819.6</v>
      </c>
      <c r="AD81" s="753">
        <f>VLOOKUP("*"&amp;$B81&amp;"*",'S4 - Summ PRS Characteristics'!$C$21:$Q$28,14,FALSE)*$J81</f>
        <v>485.30560418466638</v>
      </c>
      <c r="AE81" s="753">
        <f t="shared" si="74"/>
        <v>3318.6943958153338</v>
      </c>
      <c r="AF81" s="753">
        <f>IF($C81="other",(1-$C72)*AD81,(1-(VLOOKUP($C81,'S3 - Screening Tool Metrics'!$C$3:$G$17,5,FALSE)/100))*AD81)</f>
        <v>97.061120836933256</v>
      </c>
      <c r="AG81" s="753">
        <f>IF($C81="other",$C72*AD81,(VLOOKUP($C81,'S3 - Screening Tool Metrics'!$C$3:$G$17,5,FALSE)/100)*AD81)</f>
        <v>388.24448334773314</v>
      </c>
      <c r="AH81" s="777">
        <f t="shared" si="65"/>
        <v>10.206216702096034</v>
      </c>
      <c r="AI81" s="776">
        <f t="shared" si="66"/>
        <v>124963.92</v>
      </c>
      <c r="AJ81" s="753">
        <f>VLOOKUP("*"&amp;$B81&amp;"*",'S4 - Summ PRS Characteristics'!$C$21:$Q$28,15,FALSE)*$J81</f>
        <v>130.95044176953456</v>
      </c>
      <c r="AK81" s="753">
        <f t="shared" si="73"/>
        <v>3673.0495582304657</v>
      </c>
      <c r="AL81" s="753">
        <f>IF($C81="other",(1-$C72)*AJ81,(1-(VLOOKUP($C81,'S3 - Screening Tool Metrics'!$C$3:$G$17,5,FALSE)/100))*AJ81)</f>
        <v>26.190088353906908</v>
      </c>
      <c r="AM81" s="753">
        <f>IF($C81="other",$C72*AJ81,(VLOOKUP($C81,'S3 - Screening Tool Metrics'!$C$3:$G$17,5,FALSE)/100)*AJ81)</f>
        <v>104.76035341562766</v>
      </c>
      <c r="AN81" s="778">
        <f t="shared" si="67"/>
        <v>2.7539525082972571</v>
      </c>
    </row>
    <row r="82" spans="2:40" x14ac:dyDescent="0.2">
      <c r="B82" s="768" t="s">
        <v>13</v>
      </c>
      <c r="C82" s="779" t="str">
        <f>$C73</f>
        <v>Other</v>
      </c>
      <c r="D82" s="780" t="s">
        <v>201</v>
      </c>
      <c r="E82" s="781">
        <f>VLOOKUP($B82&amp;"_"&amp;$D82,'App5 - CRUK Inci Rates'!C:H,6,FALSE)</f>
        <v>0</v>
      </c>
      <c r="F82" s="782">
        <f>VLOOKUP($B82&amp;"_"&amp;$D82,'App5 - CRUK Inci Rates'!C:H,3,FALSE)</f>
        <v>16.431323931422334</v>
      </c>
      <c r="G82" s="783">
        <f>VLOOKUP($B82&amp;"_"&amp;$D82,'App5 - CRUK Inci Rates'!C:J,8,FALSE)</f>
        <v>4369702.666666667</v>
      </c>
      <c r="H82" s="784">
        <f>VLOOKUP($B82&amp;"_"&amp;$D82,'App5 - CRUK Inci Rates'!C:J,7,FALSE)</f>
        <v>0</v>
      </c>
      <c r="I82" s="784">
        <f>VLOOKUP($B82&amp;"_"&amp;$D82,'App5 - CRUK Inci Rates'!C:J,4,FALSE)</f>
        <v>4369702.666666667</v>
      </c>
      <c r="J82" s="778">
        <f>VLOOKUP($B82&amp;"_"&amp;$D82,'App5 - CRUK Inci Rates'!C:K,9,FALSE)</f>
        <v>718</v>
      </c>
      <c r="K82" s="753">
        <f t="shared" si="68"/>
        <v>2184851.3333333335</v>
      </c>
      <c r="L82" s="753">
        <f>VLOOKUP("*"&amp;$B82&amp;"*",'S4 - Summ PRS Characteristics'!$C$21:$Q$28,11,FALSE)*$J82</f>
        <v>498.2206228744389</v>
      </c>
      <c r="M82" s="753">
        <f t="shared" si="69"/>
        <v>219.7793771255611</v>
      </c>
      <c r="N82" s="753">
        <f>IF($C82="other",(1-$C$7)*L82,(1-(VLOOKUP($C82,'S3 - Screening Tool Metrics'!$C$3:$G$17,5,FALSE)/100))*L82)</f>
        <v>99.644124574887755</v>
      </c>
      <c r="O82" s="753">
        <f>IF($C82="other",$C$7*L82,(VLOOKUP($C82,'S3 - Screening Tool Metrics'!$C$3:$G$17,5,FALSE)/100)*L82)</f>
        <v>398.57649829955113</v>
      </c>
      <c r="P82" s="753">
        <f t="shared" si="70"/>
        <v>55.512047116929132</v>
      </c>
      <c r="Q82" s="776">
        <f t="shared" si="60"/>
        <v>873940.53333333344</v>
      </c>
      <c r="R82" s="753">
        <f>VLOOKUP("*"&amp;$B82&amp;"*",'S4 - Summ PRS Characteristics'!$C$21:$Q$28,12,FALSE)*$J82</f>
        <v>264.89300099316341</v>
      </c>
      <c r="S82" s="753">
        <f t="shared" si="71"/>
        <v>453.10699900683659</v>
      </c>
      <c r="T82" s="753">
        <f>IF($C82="other",(1-$C72)*R82,(1-(VLOOKUP($C82,'S3 - Screening Tool Metrics'!$C$3:$G$17,5,FALSE)/100))*R82)</f>
        <v>52.97860019863267</v>
      </c>
      <c r="U82" s="753">
        <f>IF($C82="other",$C72*R82,(VLOOKUP($C82,'S3 - Screening Tool Metrics'!$C$3:$G$17,5,FALSE)/100)*R82)</f>
        <v>211.91440079453074</v>
      </c>
      <c r="V82" s="777">
        <f t="shared" si="61"/>
        <v>29.514540500631021</v>
      </c>
      <c r="W82" s="753">
        <f t="shared" si="62"/>
        <v>436970.26666666672</v>
      </c>
      <c r="X82" s="753">
        <f>VLOOKUP("*"&amp;$B82&amp;"*",'S4 - Summ PRS Characteristics'!$C$21:$Q$28,13,FALSE)*$J82</f>
        <v>157.44577468083261</v>
      </c>
      <c r="Y82" s="753">
        <f t="shared" si="72"/>
        <v>560.55422531916736</v>
      </c>
      <c r="Z82" s="753">
        <f>IF($C82="other",(1-$C72)*X82,(1-(VLOOKUP($C82,'S3 - Screening Tool Metrics'!$C$3:$G$17,5,FALSE)/100))*X82)</f>
        <v>31.489154936166514</v>
      </c>
      <c r="AA82" s="753">
        <f>IF($C82="other",$C72*X82,(VLOOKUP($C82,'S3 - Screening Tool Metrics'!$C$3:$G$17,5,FALSE)/100)*X82)</f>
        <v>125.9566197446661</v>
      </c>
      <c r="AB82" s="777">
        <f t="shared" si="63"/>
        <v>17.54270469981422</v>
      </c>
      <c r="AC82" s="776">
        <f t="shared" si="64"/>
        <v>218485.13333333336</v>
      </c>
      <c r="AD82" s="753">
        <f>VLOOKUP("*"&amp;$B82&amp;"*",'S4 - Summ PRS Characteristics'!$C$21:$Q$28,14,FALSE)*$J82</f>
        <v>91.6007949013119</v>
      </c>
      <c r="AE82" s="753">
        <f t="shared" si="74"/>
        <v>626.39920509868807</v>
      </c>
      <c r="AF82" s="753">
        <f>IF($C82="other",(1-$C72)*AD82,(1-(VLOOKUP($C82,'S3 - Screening Tool Metrics'!$C$3:$G$17,5,FALSE)/100))*AD82)</f>
        <v>18.320158980262377</v>
      </c>
      <c r="AG82" s="753">
        <f>IF($C82="other",$C72*AD82,(VLOOKUP($C82,'S3 - Screening Tool Metrics'!$C$3:$G$17,5,FALSE)/100)*AD82)</f>
        <v>73.280635921049523</v>
      </c>
      <c r="AH82" s="777">
        <f t="shared" si="65"/>
        <v>10.206216702096034</v>
      </c>
      <c r="AI82" s="776">
        <f t="shared" si="66"/>
        <v>43697.026666666672</v>
      </c>
      <c r="AJ82" s="753">
        <f>VLOOKUP("*"&amp;$B82&amp;"*",'S4 - Summ PRS Characteristics'!$C$21:$Q$28,15,FALSE)*$J82</f>
        <v>24.716723761967884</v>
      </c>
      <c r="AK82" s="753">
        <f t="shared" si="73"/>
        <v>693.28327623803216</v>
      </c>
      <c r="AL82" s="753">
        <f>IF($C82="other",(1-$C72)*AJ82,(1-(VLOOKUP($C82,'S3 - Screening Tool Metrics'!$C$3:$G$17,5,FALSE)/100))*AJ82)</f>
        <v>4.9433447523935756</v>
      </c>
      <c r="AM82" s="753">
        <f>IF($C82="other",$C72*AJ82,(VLOOKUP($C82,'S3 - Screening Tool Metrics'!$C$3:$G$17,5,FALSE)/100)*AJ82)</f>
        <v>19.77337900957431</v>
      </c>
      <c r="AN82" s="778">
        <f t="shared" si="67"/>
        <v>2.7539525082972576</v>
      </c>
    </row>
    <row r="83" spans="2:40" x14ac:dyDescent="0.2">
      <c r="B83" s="768" t="s">
        <v>13</v>
      </c>
      <c r="C83" s="779" t="str">
        <f>$C73</f>
        <v>Other</v>
      </c>
      <c r="D83" s="780" t="s">
        <v>202</v>
      </c>
      <c r="E83" s="781">
        <f>VLOOKUP($B83&amp;"_"&amp;$D83,'App5 - CRUK Inci Rates'!C:H,6,FALSE)</f>
        <v>0</v>
      </c>
      <c r="F83" s="782">
        <f>VLOOKUP($B83&amp;"_"&amp;$D83,'App5 - CRUK Inci Rates'!C:H,3,FALSE)</f>
        <v>30.729260202352247</v>
      </c>
      <c r="G83" s="783">
        <f>VLOOKUP($B83&amp;"_"&amp;$D83,'App5 - CRUK Inci Rates'!C:J,8,FALSE)</f>
        <v>4484325.333333334</v>
      </c>
      <c r="H83" s="784">
        <f>VLOOKUP($B83&amp;"_"&amp;$D83,'App5 - CRUK Inci Rates'!C:J,7,FALSE)</f>
        <v>0</v>
      </c>
      <c r="I83" s="784">
        <f>VLOOKUP($B83&amp;"_"&amp;$D83,'App5 - CRUK Inci Rates'!C:J,4,FALSE)</f>
        <v>4484325.333333334</v>
      </c>
      <c r="J83" s="778">
        <f>VLOOKUP($B83&amp;"_"&amp;$D83,'App5 - CRUK Inci Rates'!C:K,9,FALSE)</f>
        <v>1378</v>
      </c>
      <c r="K83" s="753">
        <f t="shared" si="68"/>
        <v>2242162.666666667</v>
      </c>
      <c r="L83" s="753">
        <f>VLOOKUP("*"&amp;$B83&amp;"*",'S4 - Summ PRS Characteristics'!$C$21:$Q$28,11,FALSE)*$J83</f>
        <v>956.19501158910418</v>
      </c>
      <c r="M83" s="753">
        <f t="shared" si="69"/>
        <v>421.80498841089582</v>
      </c>
      <c r="N83" s="753">
        <f>IF($C83="other",(1-$C$7)*L83,(1-(VLOOKUP($C83,'S3 - Screening Tool Metrics'!$C$3:$G$17,5,FALSE)/100))*L83)</f>
        <v>191.23900231782079</v>
      </c>
      <c r="O83" s="753">
        <f>IF($C83="other",$C$7*L83,(VLOOKUP($C83,'S3 - Screening Tool Metrics'!$C$3:$G$17,5,FALSE)/100)*L83)</f>
        <v>764.95600927128339</v>
      </c>
      <c r="P83" s="753">
        <f t="shared" si="70"/>
        <v>55.512047116929132</v>
      </c>
      <c r="Q83" s="776">
        <f t="shared" si="60"/>
        <v>896865.06666666688</v>
      </c>
      <c r="R83" s="753">
        <f>VLOOKUP("*"&amp;$B83&amp;"*",'S4 - Summ PRS Characteristics'!$C$21:$Q$28,12,FALSE)*$J83</f>
        <v>508.38796012336934</v>
      </c>
      <c r="S83" s="753">
        <f t="shared" si="71"/>
        <v>869.61203987663066</v>
      </c>
      <c r="T83" s="753">
        <f>IF($C83="other",(1-$C72)*R83,(1-(VLOOKUP($C83,'S3 - Screening Tool Metrics'!$C$3:$G$17,5,FALSE)/100))*R83)</f>
        <v>101.67759202467384</v>
      </c>
      <c r="U83" s="753">
        <f>IF($C83="other",$C72*R83,(VLOOKUP($C83,'S3 - Screening Tool Metrics'!$C$3:$G$17,5,FALSE)/100)*R83)</f>
        <v>406.71036809869548</v>
      </c>
      <c r="V83" s="777">
        <f t="shared" si="61"/>
        <v>29.514540500631021</v>
      </c>
      <c r="W83" s="753">
        <f t="shared" si="62"/>
        <v>448432.53333333344</v>
      </c>
      <c r="X83" s="753">
        <f>VLOOKUP("*"&amp;$B83&amp;"*",'S4 - Summ PRS Characteristics'!$C$21:$Q$28,13,FALSE)*$J83</f>
        <v>302.17308845429994</v>
      </c>
      <c r="Y83" s="753">
        <f t="shared" si="72"/>
        <v>1075.8269115457001</v>
      </c>
      <c r="Z83" s="753">
        <f>IF($C83="other",(1-$C72)*X83,(1-(VLOOKUP($C83,'S3 - Screening Tool Metrics'!$C$3:$G$17,5,FALSE)/100))*X83)</f>
        <v>60.434617690859973</v>
      </c>
      <c r="AA83" s="753">
        <f>IF($C83="other",$C72*X83,(VLOOKUP($C83,'S3 - Screening Tool Metrics'!$C$3:$G$17,5,FALSE)/100)*X83)</f>
        <v>241.73847076343998</v>
      </c>
      <c r="AB83" s="777">
        <f t="shared" si="63"/>
        <v>17.54270469981422</v>
      </c>
      <c r="AC83" s="776">
        <f t="shared" si="64"/>
        <v>224216.26666666672</v>
      </c>
      <c r="AD83" s="753">
        <f>VLOOKUP("*"&amp;$B83&amp;"*",'S4 - Summ PRS Characteristics'!$C$21:$Q$28,14,FALSE)*$J83</f>
        <v>175.80208269360418</v>
      </c>
      <c r="AE83" s="753">
        <f t="shared" si="74"/>
        <v>1202.1979173063958</v>
      </c>
      <c r="AF83" s="753">
        <f>IF($C83="other",(1-$C72)*AD83,(1-(VLOOKUP($C83,'S3 - Screening Tool Metrics'!$C$3:$G$17,5,FALSE)/100))*AD83)</f>
        <v>35.160416538720831</v>
      </c>
      <c r="AG83" s="753">
        <f>IF($C83="other",$C72*AD83,(VLOOKUP($C83,'S3 - Screening Tool Metrics'!$C$3:$G$17,5,FALSE)/100)*AD83)</f>
        <v>140.64166615488335</v>
      </c>
      <c r="AH83" s="777">
        <f t="shared" si="65"/>
        <v>10.206216702096034</v>
      </c>
      <c r="AI83" s="776">
        <f t="shared" si="66"/>
        <v>44843.253333333341</v>
      </c>
      <c r="AJ83" s="753">
        <f>VLOOKUP("*"&amp;$B83&amp;"*",'S4 - Summ PRS Characteristics'!$C$21:$Q$28,15,FALSE)*$J83</f>
        <v>47.436831955420253</v>
      </c>
      <c r="AK83" s="753">
        <f t="shared" si="73"/>
        <v>1330.5631680445797</v>
      </c>
      <c r="AL83" s="753">
        <f>IF($C83="other",(1-$C72)*AJ83,(1-(VLOOKUP($C83,'S3 - Screening Tool Metrics'!$C$3:$G$17,5,FALSE)/100))*AJ83)</f>
        <v>9.4873663910840484</v>
      </c>
      <c r="AM83" s="753">
        <f>IF($C83="other",$C72*AJ83,(VLOOKUP($C83,'S3 - Screening Tool Metrics'!$C$3:$G$17,5,FALSE)/100)*AJ83)</f>
        <v>37.949465564336201</v>
      </c>
      <c r="AN83" s="778">
        <f t="shared" si="67"/>
        <v>2.7539525082972567</v>
      </c>
    </row>
    <row r="84" spans="2:40" x14ac:dyDescent="0.2">
      <c r="B84" s="768" t="s">
        <v>13</v>
      </c>
      <c r="C84" s="779" t="str">
        <f>$C73</f>
        <v>Other</v>
      </c>
      <c r="D84" s="780" t="s">
        <v>203</v>
      </c>
      <c r="E84" s="781">
        <f>VLOOKUP($B84&amp;"_"&amp;$D84,'App5 - CRUK Inci Rates'!C:H,6,FALSE)</f>
        <v>0</v>
      </c>
      <c r="F84" s="782">
        <f>VLOOKUP($B84&amp;"_"&amp;$D84,'App5 - CRUK Inci Rates'!C:H,3,FALSE)</f>
        <v>37.973643059568168</v>
      </c>
      <c r="G84" s="783">
        <f>VLOOKUP($B84&amp;"_"&amp;$D84,'App5 - CRUK Inci Rates'!C:J,8,FALSE)</f>
        <v>8126689.333333334</v>
      </c>
      <c r="H84" s="784">
        <f>VLOOKUP($B84&amp;"_"&amp;$D84,'App5 - CRUK Inci Rates'!C:J,7,FALSE)</f>
        <v>0</v>
      </c>
      <c r="I84" s="784">
        <f>VLOOKUP($B84&amp;"_"&amp;$D84,'App5 - CRUK Inci Rates'!C:J,4,FALSE)</f>
        <v>8126689.333333334</v>
      </c>
      <c r="J84" s="778">
        <f>VLOOKUP($B84&amp;"_"&amp;$D84,'App5 - CRUK Inci Rates'!C:K,9,FALSE)</f>
        <v>3086</v>
      </c>
      <c r="K84" s="753">
        <f t="shared" si="68"/>
        <v>4063344.666666667</v>
      </c>
      <c r="L84" s="753">
        <f>VLOOKUP("*"&amp;$B84&amp;"*",'S4 - Summ PRS Characteristics'!$C$21:$Q$28,11,FALSE)*$J84</f>
        <v>2141.3772175355411</v>
      </c>
      <c r="M84" s="753">
        <f t="shared" si="69"/>
        <v>944.62278246445885</v>
      </c>
      <c r="N84" s="753">
        <f>IF($C84="other",(1-$C$7)*L84,(1-(VLOOKUP($C84,'S3 - Screening Tool Metrics'!$C$3:$G$17,5,FALSE)/100))*L84)</f>
        <v>428.27544350710815</v>
      </c>
      <c r="O84" s="753">
        <f>IF($C84="other",$C$7*L84,(VLOOKUP($C84,'S3 - Screening Tool Metrics'!$C$3:$G$17,5,FALSE)/100)*L84)</f>
        <v>1713.1017740284331</v>
      </c>
      <c r="P84" s="753">
        <f t="shared" si="70"/>
        <v>55.512047116929132</v>
      </c>
      <c r="Q84" s="776">
        <f t="shared" si="60"/>
        <v>1625337.8666666669</v>
      </c>
      <c r="R84" s="753">
        <f>VLOOKUP("*"&amp;$B84&amp;"*",'S4 - Summ PRS Characteristics'!$C$21:$Q$28,12,FALSE)*$J84</f>
        <v>1138.5233998118417</v>
      </c>
      <c r="S84" s="753">
        <f t="shared" si="71"/>
        <v>1947.4766001881583</v>
      </c>
      <c r="T84" s="753">
        <f>IF($C84="other",(1-$C72)*R84,(1-(VLOOKUP($C84,'S3 - Screening Tool Metrics'!$C$3:$G$17,5,FALSE)/100))*R84)</f>
        <v>227.70467996236829</v>
      </c>
      <c r="U84" s="753">
        <f>IF($C84="other",$C72*R84,(VLOOKUP($C84,'S3 - Screening Tool Metrics'!$C$3:$G$17,5,FALSE)/100)*R84)</f>
        <v>910.81871984947338</v>
      </c>
      <c r="V84" s="777">
        <f t="shared" si="61"/>
        <v>29.514540500631025</v>
      </c>
      <c r="W84" s="753">
        <f t="shared" si="62"/>
        <v>812668.93333333347</v>
      </c>
      <c r="X84" s="753">
        <f>VLOOKUP("*"&amp;$B84&amp;"*",'S4 - Summ PRS Characteristics'!$C$21:$Q$28,13,FALSE)*$J84</f>
        <v>676.70983379533357</v>
      </c>
      <c r="Y84" s="753">
        <f t="shared" si="72"/>
        <v>2409.2901662046665</v>
      </c>
      <c r="Z84" s="753">
        <f>IF($C84="other",(1-$C72)*X84,(1-(VLOOKUP($C84,'S3 - Screening Tool Metrics'!$C$3:$G$17,5,FALSE)/100))*X84)</f>
        <v>135.34196675906668</v>
      </c>
      <c r="AA84" s="753">
        <f>IF($C84="other",$C72*X84,(VLOOKUP($C84,'S3 - Screening Tool Metrics'!$C$3:$G$17,5,FALSE)/100)*X84)</f>
        <v>541.36786703626683</v>
      </c>
      <c r="AB84" s="777">
        <f t="shared" si="63"/>
        <v>17.54270469981422</v>
      </c>
      <c r="AC84" s="776">
        <f t="shared" si="64"/>
        <v>406334.46666666673</v>
      </c>
      <c r="AD84" s="753">
        <f>VLOOKUP("*"&amp;$B84&amp;"*",'S4 - Summ PRS Characteristics'!$C$21:$Q$28,14,FALSE)*$J84</f>
        <v>393.70480928335451</v>
      </c>
      <c r="AE84" s="753">
        <f t="shared" si="74"/>
        <v>2692.2951907166453</v>
      </c>
      <c r="AF84" s="753">
        <f>IF($C84="other",(1-$C72)*AD84,(1-(VLOOKUP($C84,'S3 - Screening Tool Metrics'!$C$3:$G$17,5,FALSE)/100))*AD84)</f>
        <v>78.740961856670879</v>
      </c>
      <c r="AG84" s="753">
        <f>IF($C84="other",$C72*AD84,(VLOOKUP($C84,'S3 - Screening Tool Metrics'!$C$3:$G$17,5,FALSE)/100)*AD84)</f>
        <v>314.96384742668363</v>
      </c>
      <c r="AH84" s="777">
        <f t="shared" si="65"/>
        <v>10.206216702096034</v>
      </c>
      <c r="AI84" s="776">
        <f t="shared" si="66"/>
        <v>81266.893333333341</v>
      </c>
      <c r="AJ84" s="753">
        <f>VLOOKUP("*"&amp;$B84&amp;"*",'S4 - Summ PRS Characteristics'!$C$21:$Q$28,15,FALSE)*$J84</f>
        <v>106.23371800756669</v>
      </c>
      <c r="AK84" s="753">
        <f t="shared" si="73"/>
        <v>2979.7662819924335</v>
      </c>
      <c r="AL84" s="753">
        <f>IF($C84="other",(1-$C72)*AJ84,(1-(VLOOKUP($C84,'S3 - Screening Tool Metrics'!$C$3:$G$17,5,FALSE)/100))*AJ84)</f>
        <v>21.246743601513334</v>
      </c>
      <c r="AM84" s="753">
        <f>IF($C84="other",$C72*AJ84,(VLOOKUP($C84,'S3 - Screening Tool Metrics'!$C$3:$G$17,5,FALSE)/100)*AJ84)</f>
        <v>84.986974406053363</v>
      </c>
      <c r="AN84" s="778">
        <f t="shared" si="67"/>
        <v>2.7539525082972576</v>
      </c>
    </row>
    <row r="85" spans="2:40" x14ac:dyDescent="0.2">
      <c r="B85" s="768" t="s">
        <v>13</v>
      </c>
      <c r="C85" s="779" t="str">
        <f>$C74</f>
        <v>Other</v>
      </c>
      <c r="D85" s="780" t="s">
        <v>292</v>
      </c>
      <c r="E85" s="781">
        <f>VLOOKUP($B85&amp;"_"&amp;$D85,'App5 - CRUK Inci Rates'!C:H,6,FALSE)</f>
        <v>0</v>
      </c>
      <c r="F85" s="782">
        <f>VLOOKUP($B85&amp;"_"&amp;$D85,'App5 - CRUK Inci Rates'!C:H,3,FALSE)</f>
        <v>51.143985282427074</v>
      </c>
      <c r="G85" s="783">
        <f>VLOOKUP($B85&amp;"_"&amp;$D85,'App5 - CRUK Inci Rates'!C:J,8,FALSE)</f>
        <v>5245973.666666667</v>
      </c>
      <c r="H85" s="784">
        <f>VLOOKUP($B85&amp;"_"&amp;$D85,'App5 - CRUK Inci Rates'!C:J,7,FALSE)</f>
        <v>0</v>
      </c>
      <c r="I85" s="784">
        <f>VLOOKUP($B85&amp;"_"&amp;$D85,'App5 - CRUK Inci Rates'!C:J,4,FALSE)</f>
        <v>5245973.666666667</v>
      </c>
      <c r="J85" s="778">
        <f>VLOOKUP($B85&amp;"_"&amp;$D85,'App5 - CRUK Inci Rates'!C:K,9,FALSE)</f>
        <v>2683</v>
      </c>
      <c r="K85" s="753">
        <f t="shared" si="68"/>
        <v>2622986.8333333335</v>
      </c>
      <c r="L85" s="753">
        <f>VLOOKUP("*"&amp;$B85&amp;"*",'S4 - Summ PRS Characteristics'!$C$21:$Q$28,11,FALSE)*$J85</f>
        <v>1861.7352801840107</v>
      </c>
      <c r="M85" s="753">
        <f t="shared" si="69"/>
        <v>821.26471981598934</v>
      </c>
      <c r="N85" s="753">
        <f>IF($C85="other",(1-$C$7)*L85,(1-(VLOOKUP($C85,'S3 - Screening Tool Metrics'!$C$3:$G$17,5,FALSE)/100))*L85)</f>
        <v>372.34705603680203</v>
      </c>
      <c r="O85" s="753">
        <f>IF($C85="other",$C$7*L85,(VLOOKUP($C85,'S3 - Screening Tool Metrics'!$C$3:$G$17,5,FALSE)/100)*L85)</f>
        <v>1489.3882241472086</v>
      </c>
      <c r="P85" s="753">
        <f t="shared" si="70"/>
        <v>55.512047116929132</v>
      </c>
      <c r="Q85" s="776">
        <f t="shared" si="60"/>
        <v>1049194.7333333334</v>
      </c>
      <c r="R85" s="753">
        <f>VLOOKUP("*"&amp;$B85&amp;"*",'S4 - Summ PRS Characteristics'!$C$21:$Q$28,12,FALSE)*$J85</f>
        <v>989.8439020399129</v>
      </c>
      <c r="S85" s="753">
        <f t="shared" si="71"/>
        <v>1693.1560979600872</v>
      </c>
      <c r="T85" s="753">
        <f>IF($C85="other",(1-$C72)*R85,(1-(VLOOKUP($C85,'S3 - Screening Tool Metrics'!$C$3:$G$17,5,FALSE)/100))*R85)</f>
        <v>197.96878040798254</v>
      </c>
      <c r="U85" s="753">
        <f>IF($C85="other",$C72*R85,(VLOOKUP($C85,'S3 - Screening Tool Metrics'!$C$3:$G$17,5,FALSE)/100)*R85)</f>
        <v>791.87512163193037</v>
      </c>
      <c r="V85" s="777">
        <f t="shared" si="61"/>
        <v>29.514540500631025</v>
      </c>
      <c r="W85" s="753">
        <f t="shared" si="62"/>
        <v>524597.3666666667</v>
      </c>
      <c r="X85" s="753">
        <f>VLOOKUP("*"&amp;$B85&amp;"*",'S4 - Summ PRS Characteristics'!$C$21:$Q$28,13,FALSE)*$J85</f>
        <v>588.33845887001939</v>
      </c>
      <c r="Y85" s="753">
        <f t="shared" si="72"/>
        <v>2094.6615411299808</v>
      </c>
      <c r="Z85" s="753">
        <f>IF($C85="other",(1-$C72)*X85,(1-(VLOOKUP($C85,'S3 - Screening Tool Metrics'!$C$3:$G$17,5,FALSE)/100))*X85)</f>
        <v>117.66769177400386</v>
      </c>
      <c r="AA85" s="753">
        <f>IF($C85="other",$C72*X85,(VLOOKUP($C85,'S3 - Screening Tool Metrics'!$C$3:$G$17,5,FALSE)/100)*X85)</f>
        <v>470.67076709601554</v>
      </c>
      <c r="AB85" s="777">
        <f t="shared" si="63"/>
        <v>17.54270469981422</v>
      </c>
      <c r="AC85" s="776">
        <f t="shared" si="64"/>
        <v>262298.68333333335</v>
      </c>
      <c r="AD85" s="753">
        <f>VLOOKUP("*"&amp;$B85&amp;"*",'S4 - Summ PRS Characteristics'!$C$21:$Q$28,14,FALSE)*$J85</f>
        <v>342.2909926465457</v>
      </c>
      <c r="AE85" s="753">
        <f t="shared" si="74"/>
        <v>2340.7090073534541</v>
      </c>
      <c r="AF85" s="753">
        <f>IF($C85="other",(1-$C72)*AD85,(1-(VLOOKUP($C85,'S3 - Screening Tool Metrics'!$C$3:$G$17,5,FALSE)/100))*AD85)</f>
        <v>68.458198529309129</v>
      </c>
      <c r="AG85" s="753">
        <f>IF($C85="other",$C72*AD85,(VLOOKUP($C85,'S3 - Screening Tool Metrics'!$C$3:$G$17,5,FALSE)/100)*AD85)</f>
        <v>273.83279411723657</v>
      </c>
      <c r="AH85" s="777">
        <f t="shared" si="65"/>
        <v>10.206216702096034</v>
      </c>
      <c r="AI85" s="776">
        <f t="shared" si="66"/>
        <v>52459.736666666671</v>
      </c>
      <c r="AJ85" s="753">
        <f>VLOOKUP("*"&amp;$B85&amp;"*",'S4 - Summ PRS Characteristics'!$C$21:$Q$28,15,FALSE)*$J85</f>
        <v>92.360682247019255</v>
      </c>
      <c r="AK85" s="753">
        <f t="shared" si="73"/>
        <v>2590.6393177529808</v>
      </c>
      <c r="AL85" s="753">
        <f>IF($C85="other",(1-$C72)*AJ85,(1-(VLOOKUP($C85,'S3 - Screening Tool Metrics'!$C$3:$G$17,5,FALSE)/100))*AJ85)</f>
        <v>18.472136449403848</v>
      </c>
      <c r="AM85" s="753">
        <f>IF($C85="other",$C72*AJ85,(VLOOKUP($C85,'S3 - Screening Tool Metrics'!$C$3:$G$17,5,FALSE)/100)*AJ85)</f>
        <v>73.888545797615407</v>
      </c>
      <c r="AN85" s="778">
        <f t="shared" si="67"/>
        <v>2.7539525082972571</v>
      </c>
    </row>
    <row r="86" spans="2:40" x14ac:dyDescent="0.2">
      <c r="B86" s="768" t="s">
        <v>13</v>
      </c>
      <c r="C86" s="779" t="str">
        <f>$C73</f>
        <v>Other</v>
      </c>
      <c r="D86" s="780" t="s">
        <v>204</v>
      </c>
      <c r="E86" s="781">
        <f>VLOOKUP($B86&amp;"_"&amp;$D86,'App5 - CRUK Inci Rates'!C:H,6,FALSE)</f>
        <v>0</v>
      </c>
      <c r="F86" s="782">
        <f>VLOOKUP($B86&amp;"_"&amp;$D86,'App5 - CRUK Inci Rates'!C:H,3,FALSE)</f>
        <v>36.978998402462771</v>
      </c>
      <c r="G86" s="783">
        <f>VLOOKUP($B86&amp;"_"&amp;$D86,'App5 - CRUK Inci Rates'!C:J,8,FALSE)</f>
        <v>15281647</v>
      </c>
      <c r="H86" s="784">
        <f>VLOOKUP($B86&amp;"_"&amp;$D86,'App5 - CRUK Inci Rates'!C:J,7,FALSE)</f>
        <v>0</v>
      </c>
      <c r="I86" s="784">
        <f>VLOOKUP($B86&amp;"_"&amp;$D86,'App5 - CRUK Inci Rates'!C:J,4,FALSE)</f>
        <v>15281647</v>
      </c>
      <c r="J86" s="778">
        <f>VLOOKUP($B86&amp;"_"&amp;$D86,'App5 - CRUK Inci Rates'!C:K,9,FALSE)</f>
        <v>5651</v>
      </c>
      <c r="K86" s="753">
        <f t="shared" si="68"/>
        <v>7640823.5</v>
      </c>
      <c r="L86" s="753">
        <f>VLOOKUP("*"&amp;$B86&amp;"*",'S4 - Summ PRS Characteristics'!$C$21:$Q$28,11,FALSE)*$J86</f>
        <v>3921.2322282220812</v>
      </c>
      <c r="M86" s="753">
        <f t="shared" si="69"/>
        <v>1729.7677717779188</v>
      </c>
      <c r="N86" s="753">
        <f>IF($C86="other",(1-$C$7)*L86,(1-(VLOOKUP($C86,'S3 - Screening Tool Metrics'!$C$3:$G$17,5,FALSE)/100))*L86)</f>
        <v>784.2464456444161</v>
      </c>
      <c r="O86" s="753">
        <f>IF($C86="other",$C$7*L86,(VLOOKUP($C86,'S3 - Screening Tool Metrics'!$C$3:$G$17,5,FALSE)/100)*L86)</f>
        <v>3136.9857825776653</v>
      </c>
      <c r="P86" s="753">
        <f t="shared" si="70"/>
        <v>55.512047116929132</v>
      </c>
      <c r="Q86" s="776">
        <f t="shared" si="60"/>
        <v>3056329.4000000004</v>
      </c>
      <c r="R86" s="753">
        <f>VLOOKUP("*"&amp;$B86&amp;"*",'S4 - Summ PRS Characteristics'!$C$21:$Q$28,12,FALSE)*$J86</f>
        <v>2084.833354613324</v>
      </c>
      <c r="S86" s="753">
        <f t="shared" si="71"/>
        <v>3566.166645386676</v>
      </c>
      <c r="T86" s="753">
        <f>IF($C86="other",(1-$C72)*R86,(1-(VLOOKUP($C86,'S3 - Screening Tool Metrics'!$C$3:$G$17,5,FALSE)/100))*R86)</f>
        <v>416.96667092266472</v>
      </c>
      <c r="U86" s="753">
        <f>IF($C86="other",$C72*R86,(VLOOKUP($C86,'S3 - Screening Tool Metrics'!$C$3:$G$17,5,FALSE)/100)*R86)</f>
        <v>1667.8666836906593</v>
      </c>
      <c r="V86" s="777">
        <f t="shared" si="61"/>
        <v>29.514540500631025</v>
      </c>
      <c r="W86" s="753">
        <f t="shared" si="62"/>
        <v>1528164.7000000002</v>
      </c>
      <c r="X86" s="753">
        <f>VLOOKUP("*"&amp;$B86&amp;"*",'S4 - Summ PRS Characteristics'!$C$21:$Q$28,13,FALSE)*$J86</f>
        <v>1239.1728032331271</v>
      </c>
      <c r="Y86" s="753">
        <f t="shared" si="72"/>
        <v>4411.8271967668734</v>
      </c>
      <c r="Z86" s="753">
        <f>IF($C86="other",(1-$C72)*X86,(1-(VLOOKUP($C86,'S3 - Screening Tool Metrics'!$C$3:$G$17,5,FALSE)/100))*X86)</f>
        <v>247.83456064662536</v>
      </c>
      <c r="AA86" s="753">
        <f>IF($C86="other",$C72*X86,(VLOOKUP($C86,'S3 - Screening Tool Metrics'!$C$3:$G$17,5,FALSE)/100)*X86)</f>
        <v>991.33824258650168</v>
      </c>
      <c r="AB86" s="777">
        <f t="shared" si="63"/>
        <v>17.54270469981422</v>
      </c>
      <c r="AC86" s="776">
        <f t="shared" si="64"/>
        <v>764082.35000000009</v>
      </c>
      <c r="AD86" s="753">
        <f>VLOOKUP("*"&amp;$B86&amp;"*",'S4 - Summ PRS Characteristics'!$C$21:$Q$28,14,FALSE)*$J86</f>
        <v>720.94163229430853</v>
      </c>
      <c r="AE86" s="753">
        <f t="shared" si="74"/>
        <v>4930.0583677056911</v>
      </c>
      <c r="AF86" s="753">
        <f>IF($C86="other",(1-$C72)*AD86,(1-(VLOOKUP($C86,'S3 - Screening Tool Metrics'!$C$3:$G$17,5,FALSE)/100))*AD86)</f>
        <v>144.18832645886167</v>
      </c>
      <c r="AG86" s="753">
        <f>IF($C86="other",$C72*AD86,(VLOOKUP($C86,'S3 - Screening Tool Metrics'!$C$3:$G$17,5,FALSE)/100)*AD86)</f>
        <v>576.75330583544689</v>
      </c>
      <c r="AH86" s="777">
        <f t="shared" si="65"/>
        <v>10.206216702096034</v>
      </c>
      <c r="AI86" s="776">
        <f t="shared" si="66"/>
        <v>152816.47</v>
      </c>
      <c r="AJ86" s="753">
        <f>VLOOKUP("*"&amp;$B86&amp;"*",'S4 - Summ PRS Characteristics'!$C$21:$Q$28,15,FALSE)*$J86</f>
        <v>194.5323203048475</v>
      </c>
      <c r="AK86" s="753">
        <f t="shared" si="73"/>
        <v>5456.4676796951526</v>
      </c>
      <c r="AL86" s="753">
        <f>IF($C86="other",(1-$C72)*AJ86,(1-(VLOOKUP($C86,'S3 - Screening Tool Metrics'!$C$3:$G$17,5,FALSE)/100))*AJ86)</f>
        <v>38.906464060969491</v>
      </c>
      <c r="AM86" s="753">
        <f>IF($C86="other",$C72*AJ86,(VLOOKUP($C86,'S3 - Screening Tool Metrics'!$C$3:$G$17,5,FALSE)/100)*AJ86)</f>
        <v>155.62585624387802</v>
      </c>
      <c r="AN86" s="778">
        <f t="shared" si="67"/>
        <v>2.7539525082972576</v>
      </c>
    </row>
    <row r="87" spans="2:40" ht="17" thickBot="1" x14ac:dyDescent="0.25">
      <c r="B87" s="785" t="s">
        <v>13</v>
      </c>
      <c r="C87" s="786" t="str">
        <f>$C73</f>
        <v>Other</v>
      </c>
      <c r="D87" s="787" t="s">
        <v>205</v>
      </c>
      <c r="E87" s="788">
        <f>VLOOKUP($B87&amp;"_"&amp;$D87,'App5 - CRUK Inci Rates'!C:H,6,FALSE)</f>
        <v>0</v>
      </c>
      <c r="F87" s="789">
        <f>VLOOKUP($B87&amp;"_"&amp;$D87,'App5 - CRUK Inci Rates'!C:H,3,FALSE)</f>
        <v>22.8</v>
      </c>
      <c r="G87" s="790">
        <f>VLOOKUP($B87&amp;"_"&amp;$D87,'App5 - CRUK Inci Rates'!C:J,8,FALSE)</f>
        <v>33458051.999999996</v>
      </c>
      <c r="H87" s="791">
        <f>VLOOKUP($B87&amp;"_"&amp;$D87,'App5 - CRUK Inci Rates'!C:J,7,FALSE)</f>
        <v>0</v>
      </c>
      <c r="I87" s="791">
        <f>VLOOKUP($B87&amp;"_"&amp;$D87,'App5 - CRUK Inci Rates'!C:J,4,FALSE)</f>
        <v>33458051.999999996</v>
      </c>
      <c r="J87" s="778">
        <f>VLOOKUP($B87&amp;"_"&amp;$D87,'App5 - CRUK Inci Rates'!C:K,9,FALSE)</f>
        <v>7495</v>
      </c>
      <c r="K87" s="792"/>
      <c r="L87" s="792"/>
      <c r="M87" s="792"/>
      <c r="N87" s="792"/>
      <c r="O87" s="792"/>
      <c r="P87" s="792"/>
      <c r="Q87" s="793"/>
      <c r="R87" s="794"/>
      <c r="S87" s="794"/>
      <c r="T87" s="794"/>
      <c r="U87" s="794"/>
      <c r="V87" s="795"/>
      <c r="W87" s="794"/>
      <c r="X87" s="794"/>
      <c r="Y87" s="794"/>
      <c r="Z87" s="794"/>
      <c r="AA87" s="794"/>
      <c r="AB87" s="795"/>
      <c r="AC87" s="793"/>
      <c r="AD87" s="794"/>
      <c r="AE87" s="794"/>
      <c r="AF87" s="794"/>
      <c r="AG87" s="794"/>
      <c r="AH87" s="795"/>
      <c r="AI87" s="793"/>
      <c r="AJ87" s="794"/>
      <c r="AK87" s="794"/>
      <c r="AL87" s="794"/>
      <c r="AM87" s="794"/>
      <c r="AN87" s="796"/>
    </row>
    <row r="88" spans="2:40" ht="21" customHeight="1" thickBot="1" x14ac:dyDescent="0.25">
      <c r="B88" s="754" t="s">
        <v>14</v>
      </c>
      <c r="C88" s="755">
        <v>0.8</v>
      </c>
      <c r="D88" s="756"/>
      <c r="E88" s="757"/>
      <c r="F88" s="758"/>
      <c r="G88" s="759"/>
      <c r="H88" s="760"/>
      <c r="I88" s="760"/>
      <c r="J88" s="761"/>
      <c r="K88" s="762"/>
      <c r="L88" s="762"/>
      <c r="M88" s="762"/>
      <c r="N88" s="762"/>
      <c r="O88" s="762"/>
      <c r="P88" s="762"/>
      <c r="Q88" s="763"/>
      <c r="R88" s="764"/>
      <c r="S88" s="764"/>
      <c r="T88" s="764"/>
      <c r="U88" s="764"/>
      <c r="V88" s="765"/>
      <c r="W88" s="764"/>
      <c r="X88" s="764"/>
      <c r="Y88" s="764"/>
      <c r="Z88" s="764"/>
      <c r="AA88" s="764"/>
      <c r="AB88" s="765"/>
      <c r="AC88" s="763"/>
      <c r="AD88" s="764"/>
      <c r="AE88" s="764"/>
      <c r="AF88" s="764"/>
      <c r="AG88" s="764"/>
      <c r="AH88" s="765"/>
      <c r="AI88" s="763"/>
      <c r="AJ88" s="764"/>
      <c r="AK88" s="764"/>
      <c r="AL88" s="764"/>
      <c r="AM88" s="764"/>
      <c r="AN88" s="767"/>
    </row>
    <row r="89" spans="2:40" x14ac:dyDescent="0.2">
      <c r="B89" s="768" t="s">
        <v>14</v>
      </c>
      <c r="C89" s="769" t="s">
        <v>180</v>
      </c>
      <c r="D89" s="770" t="s">
        <v>192</v>
      </c>
      <c r="E89" s="771">
        <f>VLOOKUP($B89&amp;"_"&amp;$D89,'App5 - CRUK Inci Rates'!C:H,6,FALSE)</f>
        <v>10.1</v>
      </c>
      <c r="F89" s="772">
        <f>VLOOKUP($B89&amp;"_"&amp;$D89,'App5 - CRUK Inci Rates'!C:H,3,FALSE)</f>
        <v>5</v>
      </c>
      <c r="G89" s="773">
        <f>VLOOKUP($B89&amp;"_"&amp;$D89,'App5 - CRUK Inci Rates'!C:J,8,FALSE)</f>
        <v>4075608</v>
      </c>
      <c r="H89" s="774">
        <f>VLOOKUP($B89&amp;"_"&amp;$D89,'App5 - CRUK Inci Rates'!C:J,7,FALSE)</f>
        <v>2021384.6666666667</v>
      </c>
      <c r="I89" s="774">
        <f>VLOOKUP($B89&amp;"_"&amp;$D89,'App5 - CRUK Inci Rates'!C:J,4,FALSE)</f>
        <v>2054223.3333333333</v>
      </c>
      <c r="J89" s="775">
        <f>VLOOKUP($B89&amp;"_"&amp;$D89,'App5 - CRUK Inci Rates'!C:K,9,FALSE)</f>
        <v>307</v>
      </c>
      <c r="K89" s="753">
        <f t="shared" si="68"/>
        <v>2037804</v>
      </c>
      <c r="L89" s="753">
        <f>VLOOKUP("*"&amp;$B89&amp;"*",'S4 - Summ PRS Characteristics'!$C$21:$Q$28,11,FALSE)*$J89</f>
        <v>236.64771935857385</v>
      </c>
      <c r="M89" s="753">
        <f t="shared" si="69"/>
        <v>70.352280641426148</v>
      </c>
      <c r="N89" s="753">
        <f>IF($C89="other",(1-$C$7)*L89,(1-(VLOOKUP($C89,'S3 - Screening Tool Metrics'!$C$3:$G$17,5,FALSE)/100))*L89)</f>
        <v>47.329543871714762</v>
      </c>
      <c r="O89" s="753">
        <f>IF($C89="other",$C$7*L89,(VLOOKUP($C89,'S3 - Screening Tool Metrics'!$C$3:$G$17,5,FALSE)/100)*L89)</f>
        <v>189.3181754868591</v>
      </c>
      <c r="P89" s="753">
        <f t="shared" si="70"/>
        <v>61.667158139042058</v>
      </c>
      <c r="Q89" s="776">
        <f t="shared" ref="Q89:Q102" si="75">$G89*Q$3</f>
        <v>815121.60000000009</v>
      </c>
      <c r="R89" s="753">
        <f>VLOOKUP("*"&amp;$B89&amp;"*",'S4 - Summ PRS Characteristics'!$C$21:$Q$28,12,FALSE)*$J89</f>
        <v>141.27201109481621</v>
      </c>
      <c r="S89" s="753">
        <f>$J89-R89</f>
        <v>165.72798890518379</v>
      </c>
      <c r="T89" s="753">
        <f>IF($C89="other",(1-$C88)*R89,(1-(VLOOKUP($C89,'S3 - Screening Tool Metrics'!$C$3:$G$17,5,FALSE)/100))*R89)</f>
        <v>28.254402218963236</v>
      </c>
      <c r="U89" s="753">
        <f>IF($C89="other",$C88*R89,(VLOOKUP($C89,'S3 - Screening Tool Metrics'!$C$3:$G$17,5,FALSE)/100)*R89)</f>
        <v>113.01760887585297</v>
      </c>
      <c r="V89" s="777">
        <f t="shared" ref="V89:V102" si="76">U89/J89*100</f>
        <v>36.813553379756669</v>
      </c>
      <c r="W89" s="753">
        <f t="shared" ref="W89:W102" si="77">$G89*W$3</f>
        <v>407560.80000000005</v>
      </c>
      <c r="X89" s="753">
        <f>VLOOKUP("*"&amp;$B89&amp;"*",'S4 - Summ PRS Characteristics'!$C$21:$Q$28,13,FALSE)*$J89</f>
        <v>90.448387424824816</v>
      </c>
      <c r="Y89" s="753">
        <f>$J89-X89</f>
        <v>216.55161257517517</v>
      </c>
      <c r="Z89" s="753">
        <f>IF($C89="other",(1-$C88)*X89,(1-(VLOOKUP($C89,'S3 - Screening Tool Metrics'!$C$3:$G$17,5,FALSE)/100))*X89)</f>
        <v>18.089677484964959</v>
      </c>
      <c r="AA89" s="753">
        <f>IF($C89="other",$C88*X89,(VLOOKUP($C89,'S3 - Screening Tool Metrics'!$C$3:$G$17,5,FALSE)/100)*X89)</f>
        <v>72.35870993985985</v>
      </c>
      <c r="AB89" s="777">
        <f t="shared" ref="AB89:AB102" si="78">$AA89/$J89*100</f>
        <v>23.569612358260535</v>
      </c>
      <c r="AC89" s="776">
        <f t="shared" ref="AC89:AC102" si="79">$G89*AC$3</f>
        <v>203780.40000000002</v>
      </c>
      <c r="AD89" s="753">
        <f>VLOOKUP("*"&amp;$B89&amp;"*",'S4 - Summ PRS Characteristics'!$C$21:$Q$28,14,FALSE)*$J89</f>
        <v>56.242231000351254</v>
      </c>
      <c r="AE89" s="753">
        <f>$J89-AD89</f>
        <v>250.75776899964876</v>
      </c>
      <c r="AF89" s="753">
        <f>IF($C89="other",(1-$C88)*AD89,(1-(VLOOKUP($C89,'S3 - Screening Tool Metrics'!$C$3:$G$17,5,FALSE)/100))*AD89)</f>
        <v>11.248446200070248</v>
      </c>
      <c r="AG89" s="753">
        <f>IF($C89="other",$C88*AD89,(VLOOKUP($C89,'S3 - Screening Tool Metrics'!$C$3:$G$17,5,FALSE)/100)*AD89)</f>
        <v>44.993784800281006</v>
      </c>
      <c r="AH89" s="777">
        <f t="shared" ref="AH89:AH102" si="80">$AG89/$J89*100</f>
        <v>14.655955961003587</v>
      </c>
      <c r="AI89" s="776">
        <f t="shared" ref="AI89:AI102" si="81">$G89*AI$3</f>
        <v>40756.080000000002</v>
      </c>
      <c r="AJ89" s="753">
        <f>VLOOKUP("*"&amp;$B89&amp;"*",'S4 - Summ PRS Characteristics'!$C$21:$Q$28,15,FALSE)*$J89</f>
        <v>17.349626723264048</v>
      </c>
      <c r="AK89" s="753">
        <f>$J89-AJ89</f>
        <v>289.65037327673593</v>
      </c>
      <c r="AL89" s="753">
        <f>IF($C89="other",(1-$C88)*AJ89,(1-(VLOOKUP($C89,'S3 - Screening Tool Metrics'!$C$3:$G$17,5,FALSE)/100))*AJ89)</f>
        <v>3.4699253446528089</v>
      </c>
      <c r="AM89" s="753">
        <f>IF($C89="other",$C88*AJ89,(VLOOKUP($C89,'S3 - Screening Tool Metrics'!$C$3:$G$17,5,FALSE)/100)*AJ89)</f>
        <v>13.879701378611239</v>
      </c>
      <c r="AN89" s="778">
        <f t="shared" ref="AN89:AN102" si="82">$AM89/$J89*100</f>
        <v>4.5210753676258104</v>
      </c>
    </row>
    <row r="90" spans="2:40" x14ac:dyDescent="0.2">
      <c r="B90" s="768" t="s">
        <v>14</v>
      </c>
      <c r="C90" s="779" t="str">
        <f>$C89</f>
        <v>Other</v>
      </c>
      <c r="D90" s="780" t="s">
        <v>193</v>
      </c>
      <c r="E90" s="781">
        <f>VLOOKUP($B90&amp;"_"&amp;$D90,'App5 - CRUK Inci Rates'!C:H,6,FALSE)</f>
        <v>17.7</v>
      </c>
      <c r="F90" s="782">
        <f>VLOOKUP($B90&amp;"_"&amp;$D90,'App5 - CRUK Inci Rates'!C:H,3,FALSE)</f>
        <v>7.8</v>
      </c>
      <c r="G90" s="783">
        <f>VLOOKUP($B90&amp;"_"&amp;$D90,'App5 - CRUK Inci Rates'!C:J,8,FALSE)</f>
        <v>4567159.333333334</v>
      </c>
      <c r="H90" s="784">
        <f>VLOOKUP($B90&amp;"_"&amp;$D90,'App5 - CRUK Inci Rates'!C:J,7,FALSE)</f>
        <v>2251680</v>
      </c>
      <c r="I90" s="784">
        <f>VLOOKUP($B90&amp;"_"&amp;$D90,'App5 - CRUK Inci Rates'!C:J,4,FALSE)</f>
        <v>2315479.3333333335</v>
      </c>
      <c r="J90" s="778">
        <f>VLOOKUP($B90&amp;"_"&amp;$D90,'App5 - CRUK Inci Rates'!C:K,9,FALSE)</f>
        <v>580</v>
      </c>
      <c r="K90" s="753">
        <f t="shared" si="68"/>
        <v>2283579.666666667</v>
      </c>
      <c r="L90" s="753">
        <f>VLOOKUP("*"&amp;$B90&amp;"*",'S4 - Summ PRS Characteristics'!$C$21:$Q$28,11,FALSE)*$J90</f>
        <v>447.08689650805479</v>
      </c>
      <c r="M90" s="753">
        <f t="shared" si="69"/>
        <v>132.91310349194521</v>
      </c>
      <c r="N90" s="753">
        <f>IF($C90="other",(1-$C$7)*L90,(1-(VLOOKUP($C90,'S3 - Screening Tool Metrics'!$C$3:$G$17,5,FALSE)/100))*L90)</f>
        <v>89.417379301610936</v>
      </c>
      <c r="O90" s="753">
        <f>IF($C90="other",$C$7*L90,(VLOOKUP($C90,'S3 - Screening Tool Metrics'!$C$3:$G$17,5,FALSE)/100)*L90)</f>
        <v>357.66951720644386</v>
      </c>
      <c r="P90" s="753">
        <f t="shared" si="70"/>
        <v>61.667158139042044</v>
      </c>
      <c r="Q90" s="776">
        <f t="shared" si="75"/>
        <v>913431.86666666681</v>
      </c>
      <c r="R90" s="753">
        <f>VLOOKUP("*"&amp;$B90&amp;"*",'S4 - Summ PRS Characteristics'!$C$21:$Q$28,12,FALSE)*$J90</f>
        <v>266.89826200323586</v>
      </c>
      <c r="S90" s="753">
        <f t="shared" ref="S90:S102" si="83">$J90-R90</f>
        <v>313.10173799676414</v>
      </c>
      <c r="T90" s="753">
        <f>IF($C90="other",(1-$C88)*R90,(1-(VLOOKUP($C90,'S3 - Screening Tool Metrics'!$C$3:$G$17,5,FALSE)/100))*R90)</f>
        <v>53.37965240064716</v>
      </c>
      <c r="U90" s="753">
        <f>IF($C90="other",$C88*R90,(VLOOKUP($C90,'S3 - Screening Tool Metrics'!$C$3:$G$17,5,FALSE)/100)*R90)</f>
        <v>213.5186096025887</v>
      </c>
      <c r="V90" s="777">
        <f t="shared" si="76"/>
        <v>36.813553379756669</v>
      </c>
      <c r="W90" s="753">
        <f t="shared" si="77"/>
        <v>456715.93333333341</v>
      </c>
      <c r="X90" s="753">
        <f>VLOOKUP("*"&amp;$B90&amp;"*",'S4 - Summ PRS Characteristics'!$C$21:$Q$28,13,FALSE)*$J90</f>
        <v>170.8796895973889</v>
      </c>
      <c r="Y90" s="753">
        <f t="shared" ref="Y90:Y102" si="84">$J90-X90</f>
        <v>409.1203104026111</v>
      </c>
      <c r="Z90" s="753">
        <f>IF($C90="other",(1-$C88)*X90,(1-(VLOOKUP($C90,'S3 - Screening Tool Metrics'!$C$3:$G$17,5,FALSE)/100))*X90)</f>
        <v>34.175937919477775</v>
      </c>
      <c r="AA90" s="753">
        <f>IF($C90="other",$C88*X90,(VLOOKUP($C90,'S3 - Screening Tool Metrics'!$C$3:$G$17,5,FALSE)/100)*X90)</f>
        <v>136.70375167791113</v>
      </c>
      <c r="AB90" s="777">
        <f t="shared" si="78"/>
        <v>23.569612358260539</v>
      </c>
      <c r="AC90" s="776">
        <f t="shared" si="79"/>
        <v>228357.9666666667</v>
      </c>
      <c r="AD90" s="753">
        <f>VLOOKUP("*"&amp;$B90&amp;"*",'S4 - Summ PRS Characteristics'!$C$21:$Q$28,14,FALSE)*$J90</f>
        <v>106.25568071727598</v>
      </c>
      <c r="AE90" s="753">
        <f>$J90-AD90</f>
        <v>473.74431928272401</v>
      </c>
      <c r="AF90" s="753">
        <f>IF($C90="other",(1-$C88)*AD90,(1-(VLOOKUP($C90,'S3 - Screening Tool Metrics'!$C$3:$G$17,5,FALSE)/100))*AD90)</f>
        <v>21.251136143455192</v>
      </c>
      <c r="AG90" s="753">
        <f>IF($C90="other",$C88*AD90,(VLOOKUP($C90,'S3 - Screening Tool Metrics'!$C$3:$G$17,5,FALSE)/100)*AD90)</f>
        <v>85.004544573820795</v>
      </c>
      <c r="AH90" s="777">
        <f t="shared" si="80"/>
        <v>14.655955961003587</v>
      </c>
      <c r="AI90" s="776">
        <f t="shared" si="81"/>
        <v>45671.593333333338</v>
      </c>
      <c r="AJ90" s="753">
        <f>VLOOKUP("*"&amp;$B90&amp;"*",'S4 - Summ PRS Characteristics'!$C$21:$Q$28,15,FALSE)*$J90</f>
        <v>32.777796415287128</v>
      </c>
      <c r="AK90" s="753">
        <f t="shared" ref="AK90:AK102" si="85">$J90-AJ90</f>
        <v>547.22220358471282</v>
      </c>
      <c r="AL90" s="753">
        <f>IF($C90="other",(1-$C88)*AJ90,(1-(VLOOKUP($C90,'S3 - Screening Tool Metrics'!$C$3:$G$17,5,FALSE)/100))*AJ90)</f>
        <v>6.5555592830574243</v>
      </c>
      <c r="AM90" s="753">
        <f>IF($C90="other",$C88*AJ90,(VLOOKUP($C90,'S3 - Screening Tool Metrics'!$C$3:$G$17,5,FALSE)/100)*AJ90)</f>
        <v>26.222237132229704</v>
      </c>
      <c r="AN90" s="778">
        <f t="shared" si="82"/>
        <v>4.5210753676258113</v>
      </c>
    </row>
    <row r="91" spans="2:40" x14ac:dyDescent="0.2">
      <c r="B91" s="768" t="s">
        <v>14</v>
      </c>
      <c r="C91" s="779" t="str">
        <f>$C89</f>
        <v>Other</v>
      </c>
      <c r="D91" s="780" t="s">
        <v>194</v>
      </c>
      <c r="E91" s="781">
        <f>VLOOKUP($B91&amp;"_"&amp;$D91,'App5 - CRUK Inci Rates'!C:H,6,FALSE)</f>
        <v>26.8</v>
      </c>
      <c r="F91" s="782">
        <f>VLOOKUP($B91&amp;"_"&amp;$D91,'App5 - CRUK Inci Rates'!C:H,3,FALSE)</f>
        <v>12.7</v>
      </c>
      <c r="G91" s="783">
        <f>VLOOKUP($B91&amp;"_"&amp;$D91,'App5 - CRUK Inci Rates'!C:J,8,FALSE)</f>
        <v>4658110.666666666</v>
      </c>
      <c r="H91" s="784">
        <f>VLOOKUP($B91&amp;"_"&amp;$D91,'App5 - CRUK Inci Rates'!C:J,7,FALSE)</f>
        <v>2293472.6666666665</v>
      </c>
      <c r="I91" s="784">
        <f>VLOOKUP($B91&amp;"_"&amp;$D91,'App5 - CRUK Inci Rates'!C:J,4,FALSE)</f>
        <v>2364638</v>
      </c>
      <c r="J91" s="778">
        <f>VLOOKUP($B91&amp;"_"&amp;$D91,'App5 - CRUK Inci Rates'!C:K,9,FALSE)</f>
        <v>915</v>
      </c>
      <c r="K91" s="753">
        <f t="shared" si="68"/>
        <v>2329055.333333333</v>
      </c>
      <c r="L91" s="753">
        <f>VLOOKUP("*"&amp;$B91&amp;"*",'S4 - Summ PRS Characteristics'!$C$21:$Q$28,11,FALSE)*$J91</f>
        <v>705.31812121529333</v>
      </c>
      <c r="M91" s="753">
        <f t="shared" si="69"/>
        <v>209.68187878470667</v>
      </c>
      <c r="N91" s="753">
        <f>IF($C91="other",(1-$C$7)*L91,(1-(VLOOKUP($C91,'S3 - Screening Tool Metrics'!$C$3:$G$17,5,FALSE)/100))*L91)</f>
        <v>141.06362424305863</v>
      </c>
      <c r="O91" s="753">
        <f>IF($C91="other",$C$7*L91,(VLOOKUP($C91,'S3 - Screening Tool Metrics'!$C$3:$G$17,5,FALSE)/100)*L91)</f>
        <v>564.25449697223473</v>
      </c>
      <c r="P91" s="753">
        <f t="shared" si="70"/>
        <v>61.667158139042044</v>
      </c>
      <c r="Q91" s="776">
        <f t="shared" si="75"/>
        <v>931622.1333333333</v>
      </c>
      <c r="R91" s="753">
        <f>VLOOKUP("*"&amp;$B91&amp;"*",'S4 - Summ PRS Characteristics'!$C$21:$Q$28,12,FALSE)*$J91</f>
        <v>421.05501678096692</v>
      </c>
      <c r="S91" s="753">
        <f t="shared" si="83"/>
        <v>493.94498321903308</v>
      </c>
      <c r="T91" s="753">
        <f>IF($C91="other",(1-$C88)*R91,(1-(VLOOKUP($C91,'S3 - Screening Tool Metrics'!$C$3:$G$17,5,FALSE)/100))*R91)</f>
        <v>84.211003356193359</v>
      </c>
      <c r="U91" s="753">
        <f>IF($C91="other",$C88*R91,(VLOOKUP($C91,'S3 - Screening Tool Metrics'!$C$3:$G$17,5,FALSE)/100)*R91)</f>
        <v>336.84401342477355</v>
      </c>
      <c r="V91" s="777">
        <f t="shared" si="76"/>
        <v>36.813553379756669</v>
      </c>
      <c r="W91" s="753">
        <f t="shared" si="77"/>
        <v>465811.06666666665</v>
      </c>
      <c r="X91" s="753">
        <f>VLOOKUP("*"&amp;$B91&amp;"*",'S4 - Summ PRS Characteristics'!$C$21:$Q$28,13,FALSE)*$J91</f>
        <v>269.57744134760492</v>
      </c>
      <c r="Y91" s="753">
        <f t="shared" si="84"/>
        <v>645.42255865239508</v>
      </c>
      <c r="Z91" s="753">
        <f>IF($C91="other",(1-$C88)*X91,(1-(VLOOKUP($C91,'S3 - Screening Tool Metrics'!$C$3:$G$17,5,FALSE)/100))*X91)</f>
        <v>53.915488269520971</v>
      </c>
      <c r="AA91" s="753">
        <f>IF($C91="other",$C88*X91,(VLOOKUP($C91,'S3 - Screening Tool Metrics'!$C$3:$G$17,5,FALSE)/100)*X91)</f>
        <v>215.66195307808394</v>
      </c>
      <c r="AB91" s="777">
        <f t="shared" si="78"/>
        <v>23.569612358260539</v>
      </c>
      <c r="AC91" s="776">
        <f t="shared" si="79"/>
        <v>232905.53333333333</v>
      </c>
      <c r="AD91" s="753">
        <f>VLOOKUP("*"&amp;$B91&amp;"*",'S4 - Summ PRS Characteristics'!$C$21:$Q$28,14,FALSE)*$J91</f>
        <v>167.62749630397849</v>
      </c>
      <c r="AE91" s="753">
        <f t="shared" ref="AE91:AE102" si="86">$J91-AD91</f>
        <v>747.37250369602157</v>
      </c>
      <c r="AF91" s="753">
        <f>IF($C91="other",(1-$C88)*AD91,(1-(VLOOKUP($C91,'S3 - Screening Tool Metrics'!$C$3:$G$17,5,FALSE)/100))*AD91)</f>
        <v>33.525499260795691</v>
      </c>
      <c r="AG91" s="753">
        <f>IF($C91="other",$C88*AD91,(VLOOKUP($C91,'S3 - Screening Tool Metrics'!$C$3:$G$17,5,FALSE)/100)*AD91)</f>
        <v>134.10199704318279</v>
      </c>
      <c r="AH91" s="777">
        <f t="shared" si="80"/>
        <v>14.655955961003583</v>
      </c>
      <c r="AI91" s="776">
        <f t="shared" si="81"/>
        <v>46581.106666666659</v>
      </c>
      <c r="AJ91" s="753">
        <f>VLOOKUP("*"&amp;$B91&amp;"*",'S4 - Summ PRS Characteristics'!$C$21:$Q$28,15,FALSE)*$J91</f>
        <v>51.709799517220212</v>
      </c>
      <c r="AK91" s="753">
        <f t="shared" si="85"/>
        <v>863.29020048277982</v>
      </c>
      <c r="AL91" s="753">
        <f>IF($C91="other",(1-$C88)*AJ91,(1-(VLOOKUP($C91,'S3 - Screening Tool Metrics'!$C$3:$G$17,5,FALSE)/100))*AJ91)</f>
        <v>10.341959903444041</v>
      </c>
      <c r="AM91" s="753">
        <f>IF($C91="other",$C88*AJ91,(VLOOKUP($C91,'S3 - Screening Tool Metrics'!$C$3:$G$17,5,FALSE)/100)*AJ91)</f>
        <v>41.367839613776169</v>
      </c>
      <c r="AN91" s="778">
        <f t="shared" si="82"/>
        <v>4.5210753676258113</v>
      </c>
    </row>
    <row r="92" spans="2:40" x14ac:dyDescent="0.2">
      <c r="B92" s="768" t="s">
        <v>14</v>
      </c>
      <c r="C92" s="779" t="str">
        <f>$C89</f>
        <v>Other</v>
      </c>
      <c r="D92" s="780" t="s">
        <v>195</v>
      </c>
      <c r="E92" s="781">
        <f>VLOOKUP($B92&amp;"_"&amp;$D92,'App5 - CRUK Inci Rates'!C:H,6,FALSE)</f>
        <v>37.1</v>
      </c>
      <c r="F92" s="782">
        <f>VLOOKUP($B92&amp;"_"&amp;$D92,'App5 - CRUK Inci Rates'!C:H,3,FALSE)</f>
        <v>18.600000000000001</v>
      </c>
      <c r="G92" s="783">
        <f>VLOOKUP($B92&amp;"_"&amp;$D92,'App5 - CRUK Inci Rates'!C:J,8,FALSE)</f>
        <v>4181606</v>
      </c>
      <c r="H92" s="784">
        <f>VLOOKUP($B92&amp;"_"&amp;$D92,'App5 - CRUK Inci Rates'!C:J,7,FALSE)</f>
        <v>2061918.6666666667</v>
      </c>
      <c r="I92" s="784">
        <f>VLOOKUP($B92&amp;"_"&amp;$D92,'App5 - CRUK Inci Rates'!C:J,4,FALSE)</f>
        <v>2119687.3333333335</v>
      </c>
      <c r="J92" s="778">
        <f>VLOOKUP($B92&amp;"_"&amp;$D92,'App5 - CRUK Inci Rates'!C:K,9,FALSE)</f>
        <v>1160</v>
      </c>
      <c r="K92" s="753">
        <f t="shared" si="68"/>
        <v>2090803</v>
      </c>
      <c r="L92" s="753">
        <f>VLOOKUP("*"&amp;$B92&amp;"*",'S4 - Summ PRS Characteristics'!$C$21:$Q$28,11,FALSE)*$J92</f>
        <v>894.17379301610958</v>
      </c>
      <c r="M92" s="753">
        <f t="shared" si="69"/>
        <v>265.82620698389042</v>
      </c>
      <c r="N92" s="753">
        <f>IF($C92="other",(1-$C$7)*L92,(1-(VLOOKUP($C92,'S3 - Screening Tool Metrics'!$C$3:$G$17,5,FALSE)/100))*L92)</f>
        <v>178.83475860322187</v>
      </c>
      <c r="O92" s="753">
        <f>IF($C92="other",$C$7*L92,(VLOOKUP($C92,'S3 - Screening Tool Metrics'!$C$3:$G$17,5,FALSE)/100)*L92)</f>
        <v>715.33903441288771</v>
      </c>
      <c r="P92" s="753">
        <f t="shared" si="70"/>
        <v>61.667158139042044</v>
      </c>
      <c r="Q92" s="776">
        <f t="shared" si="75"/>
        <v>836321.20000000007</v>
      </c>
      <c r="R92" s="753">
        <f>VLOOKUP("*"&amp;$B92&amp;"*",'S4 - Summ PRS Characteristics'!$C$21:$Q$28,12,FALSE)*$J92</f>
        <v>533.79652400647171</v>
      </c>
      <c r="S92" s="753">
        <f t="shared" si="83"/>
        <v>626.20347599352829</v>
      </c>
      <c r="T92" s="753">
        <f>IF($C92="other",(1-$C88)*R92,(1-(VLOOKUP($C92,'S3 - Screening Tool Metrics'!$C$3:$G$17,5,FALSE)/100))*R92)</f>
        <v>106.75930480129432</v>
      </c>
      <c r="U92" s="753">
        <f>IF($C92="other",$C88*R92,(VLOOKUP($C92,'S3 - Screening Tool Metrics'!$C$3:$G$17,5,FALSE)/100)*R92)</f>
        <v>427.03721920517739</v>
      </c>
      <c r="V92" s="777">
        <f t="shared" si="76"/>
        <v>36.813553379756669</v>
      </c>
      <c r="W92" s="753">
        <f t="shared" si="77"/>
        <v>418160.60000000003</v>
      </c>
      <c r="X92" s="753">
        <f>VLOOKUP("*"&amp;$B92&amp;"*",'S4 - Summ PRS Characteristics'!$C$21:$Q$28,13,FALSE)*$J92</f>
        <v>341.75937919477781</v>
      </c>
      <c r="Y92" s="753">
        <f t="shared" si="84"/>
        <v>818.24062080522219</v>
      </c>
      <c r="Z92" s="753">
        <f>IF($C92="other",(1-$C88)*X92,(1-(VLOOKUP($C92,'S3 - Screening Tool Metrics'!$C$3:$G$17,5,FALSE)/100))*X92)</f>
        <v>68.35187583895555</v>
      </c>
      <c r="AA92" s="753">
        <f>IF($C92="other",$C88*X92,(VLOOKUP($C92,'S3 - Screening Tool Metrics'!$C$3:$G$17,5,FALSE)/100)*X92)</f>
        <v>273.40750335582226</v>
      </c>
      <c r="AB92" s="777">
        <f t="shared" si="78"/>
        <v>23.569612358260539</v>
      </c>
      <c r="AC92" s="776">
        <f t="shared" si="79"/>
        <v>209080.30000000002</v>
      </c>
      <c r="AD92" s="753">
        <f>VLOOKUP("*"&amp;$B92&amp;"*",'S4 - Summ PRS Characteristics'!$C$21:$Q$28,14,FALSE)*$J92</f>
        <v>212.51136143455196</v>
      </c>
      <c r="AE92" s="753">
        <f t="shared" si="86"/>
        <v>947.48863856544801</v>
      </c>
      <c r="AF92" s="753">
        <f>IF($C92="other",(1-$C88)*AD92,(1-(VLOOKUP($C92,'S3 - Screening Tool Metrics'!$C$3:$G$17,5,FALSE)/100))*AD92)</f>
        <v>42.502272286910383</v>
      </c>
      <c r="AG92" s="753">
        <f>IF($C92="other",$C88*AD92,(VLOOKUP($C92,'S3 - Screening Tool Metrics'!$C$3:$G$17,5,FALSE)/100)*AD92)</f>
        <v>170.00908914764159</v>
      </c>
      <c r="AH92" s="777">
        <f t="shared" si="80"/>
        <v>14.655955961003587</v>
      </c>
      <c r="AI92" s="776">
        <f t="shared" si="81"/>
        <v>41816.06</v>
      </c>
      <c r="AJ92" s="753">
        <f>VLOOKUP("*"&amp;$B92&amp;"*",'S4 - Summ PRS Characteristics'!$C$21:$Q$28,15,FALSE)*$J92</f>
        <v>65.555592830574255</v>
      </c>
      <c r="AK92" s="753">
        <f t="shared" si="85"/>
        <v>1094.4444071694256</v>
      </c>
      <c r="AL92" s="753">
        <f>IF($C92="other",(1-$C88)*AJ92,(1-(VLOOKUP($C92,'S3 - Screening Tool Metrics'!$C$3:$G$17,5,FALSE)/100))*AJ92)</f>
        <v>13.111118566114849</v>
      </c>
      <c r="AM92" s="753">
        <f>IF($C92="other",$C88*AJ92,(VLOOKUP($C92,'S3 - Screening Tool Metrics'!$C$3:$G$17,5,FALSE)/100)*AJ92)</f>
        <v>52.444474264459409</v>
      </c>
      <c r="AN92" s="778">
        <f t="shared" si="82"/>
        <v>4.5210753676258113</v>
      </c>
    </row>
    <row r="93" spans="2:40" x14ac:dyDescent="0.2">
      <c r="B93" s="768" t="s">
        <v>14</v>
      </c>
      <c r="C93" s="779" t="str">
        <f>$C89</f>
        <v>Other</v>
      </c>
      <c r="D93" s="780" t="s">
        <v>196</v>
      </c>
      <c r="E93" s="781">
        <f>VLOOKUP($B93&amp;"_"&amp;$D93,'App5 - CRUK Inci Rates'!C:H,6,FALSE)</f>
        <v>53.7</v>
      </c>
      <c r="F93" s="782">
        <f>VLOOKUP($B93&amp;"_"&amp;$D93,'App5 - CRUK Inci Rates'!C:H,3,FALSE)</f>
        <v>26.2</v>
      </c>
      <c r="G93" s="783">
        <f>VLOOKUP($B93&amp;"_"&amp;$D93,'App5 - CRUK Inci Rates'!C:J,8,FALSE)</f>
        <v>3602002</v>
      </c>
      <c r="H93" s="784">
        <f>VLOOKUP($B93&amp;"_"&amp;$D93,'App5 - CRUK Inci Rates'!C:J,7,FALSE)</f>
        <v>1764828</v>
      </c>
      <c r="I93" s="784">
        <f>VLOOKUP($B93&amp;"_"&amp;$D93,'App5 - CRUK Inci Rates'!C:J,4,FALSE)</f>
        <v>1837174</v>
      </c>
      <c r="J93" s="778">
        <f>VLOOKUP($B93&amp;"_"&amp;$D93,'App5 - CRUK Inci Rates'!C:K,9,FALSE)</f>
        <v>1429</v>
      </c>
      <c r="K93" s="753">
        <f t="shared" si="68"/>
        <v>1801001</v>
      </c>
      <c r="L93" s="753">
        <f>VLOOKUP("*"&amp;$B93&amp;"*",'S4 - Summ PRS Characteristics'!$C$21:$Q$28,11,FALSE)*$J93</f>
        <v>1101.5296122586385</v>
      </c>
      <c r="M93" s="753">
        <f t="shared" si="69"/>
        <v>327.47038774136149</v>
      </c>
      <c r="N93" s="753">
        <f>IF($C93="other",(1-$C$7)*L93,(1-(VLOOKUP($C93,'S3 - Screening Tool Metrics'!$C$3:$G$17,5,FALSE)/100))*L93)</f>
        <v>220.30592245172764</v>
      </c>
      <c r="O93" s="753">
        <f>IF($C93="other",$C$7*L93,(VLOOKUP($C93,'S3 - Screening Tool Metrics'!$C$3:$G$17,5,FALSE)/100)*L93)</f>
        <v>881.2236898069109</v>
      </c>
      <c r="P93" s="753">
        <f t="shared" si="70"/>
        <v>61.667158139042058</v>
      </c>
      <c r="Q93" s="776">
        <f t="shared" si="75"/>
        <v>720400.4</v>
      </c>
      <c r="R93" s="753">
        <f>VLOOKUP("*"&amp;$B93&amp;"*",'S4 - Summ PRS Characteristics'!$C$21:$Q$28,12,FALSE)*$J93</f>
        <v>657.58209724590347</v>
      </c>
      <c r="S93" s="753">
        <f t="shared" si="83"/>
        <v>771.41790275409653</v>
      </c>
      <c r="T93" s="753">
        <f>IF($C93="other",(1-$C88)*R93,(1-(VLOOKUP($C93,'S3 - Screening Tool Metrics'!$C$3:$G$17,5,FALSE)/100))*R93)</f>
        <v>131.51641944918066</v>
      </c>
      <c r="U93" s="753">
        <f>IF($C93="other",$C88*R93,(VLOOKUP($C93,'S3 - Screening Tool Metrics'!$C$3:$G$17,5,FALSE)/100)*R93)</f>
        <v>526.06567779672275</v>
      </c>
      <c r="V93" s="777">
        <f t="shared" si="76"/>
        <v>36.813553379756662</v>
      </c>
      <c r="W93" s="753">
        <f t="shared" si="77"/>
        <v>360200.2</v>
      </c>
      <c r="X93" s="753">
        <f>VLOOKUP("*"&amp;$B93&amp;"*",'S4 - Summ PRS Characteristics'!$C$21:$Q$28,13,FALSE)*$J93</f>
        <v>421.01220074942887</v>
      </c>
      <c r="Y93" s="753">
        <f t="shared" si="84"/>
        <v>1007.9877992505711</v>
      </c>
      <c r="Z93" s="753">
        <f>IF($C93="other",(1-$C88)*X93,(1-(VLOOKUP($C93,'S3 - Screening Tool Metrics'!$C$3:$G$17,5,FALSE)/100))*X93)</f>
        <v>84.20244014988576</v>
      </c>
      <c r="AA93" s="753">
        <f>IF($C93="other",$C88*X93,(VLOOKUP($C93,'S3 - Screening Tool Metrics'!$C$3:$G$17,5,FALSE)/100)*X93)</f>
        <v>336.8097605995431</v>
      </c>
      <c r="AB93" s="777">
        <f t="shared" si="78"/>
        <v>23.569612358260539</v>
      </c>
      <c r="AC93" s="776">
        <f t="shared" si="79"/>
        <v>180100.1</v>
      </c>
      <c r="AD93" s="753">
        <f>VLOOKUP("*"&amp;$B93&amp;"*",'S4 - Summ PRS Characteristics'!$C$21:$Q$28,14,FALSE)*$J93</f>
        <v>261.79201335342651</v>
      </c>
      <c r="AE93" s="753">
        <f t="shared" si="86"/>
        <v>1167.2079866465735</v>
      </c>
      <c r="AF93" s="753">
        <f>IF($C93="other",(1-$C88)*AD93,(1-(VLOOKUP($C93,'S3 - Screening Tool Metrics'!$C$3:$G$17,5,FALSE)/100))*AD93)</f>
        <v>52.358402670685294</v>
      </c>
      <c r="AG93" s="753">
        <f>IF($C93="other",$C88*AD93,(VLOOKUP($C93,'S3 - Screening Tool Metrics'!$C$3:$G$17,5,FALSE)/100)*AD93)</f>
        <v>209.43361068274123</v>
      </c>
      <c r="AH93" s="777">
        <f t="shared" si="80"/>
        <v>14.655955961003587</v>
      </c>
      <c r="AI93" s="776">
        <f t="shared" si="81"/>
        <v>36020.020000000004</v>
      </c>
      <c r="AJ93" s="753">
        <f>VLOOKUP("*"&amp;$B93&amp;"*",'S4 - Summ PRS Characteristics'!$C$21:$Q$28,15,FALSE)*$J93</f>
        <v>80.75770875421604</v>
      </c>
      <c r="AK93" s="753">
        <f t="shared" si="85"/>
        <v>1348.2422912457839</v>
      </c>
      <c r="AL93" s="753">
        <f>IF($C93="other",(1-$C88)*AJ93,(1-(VLOOKUP($C93,'S3 - Screening Tool Metrics'!$C$3:$G$17,5,FALSE)/100))*AJ93)</f>
        <v>16.151541750843204</v>
      </c>
      <c r="AM93" s="753">
        <f>IF($C93="other",$C88*AJ93,(VLOOKUP($C93,'S3 - Screening Tool Metrics'!$C$3:$G$17,5,FALSE)/100)*AJ93)</f>
        <v>64.606167003372832</v>
      </c>
      <c r="AN93" s="778">
        <f t="shared" si="82"/>
        <v>4.5210753676258104</v>
      </c>
    </row>
    <row r="94" spans="2:40" x14ac:dyDescent="0.2">
      <c r="B94" s="768" t="s">
        <v>14</v>
      </c>
      <c r="C94" s="779" t="str">
        <f>$C89</f>
        <v>Other</v>
      </c>
      <c r="D94" s="780" t="s">
        <v>197</v>
      </c>
      <c r="E94" s="781">
        <f>VLOOKUP($B94&amp;"_"&amp;$D94,'App5 - CRUK Inci Rates'!C:H,6,FALSE)</f>
        <v>73.900000000000006</v>
      </c>
      <c r="F94" s="782">
        <f>VLOOKUP($B94&amp;"_"&amp;$D94,'App5 - CRUK Inci Rates'!C:H,3,FALSE)</f>
        <v>36.4</v>
      </c>
      <c r="G94" s="783">
        <f>VLOOKUP($B94&amp;"_"&amp;$D94,'App5 - CRUK Inci Rates'!C:J,8,FALSE)</f>
        <v>3502183.333333333</v>
      </c>
      <c r="H94" s="784">
        <f>VLOOKUP($B94&amp;"_"&amp;$D94,'App5 - CRUK Inci Rates'!C:J,7,FALSE)</f>
        <v>1696993.3333333333</v>
      </c>
      <c r="I94" s="784">
        <f>VLOOKUP($B94&amp;"_"&amp;$D94,'App5 - CRUK Inci Rates'!C:J,4,FALSE)</f>
        <v>1805190</v>
      </c>
      <c r="J94" s="778">
        <f>VLOOKUP($B94&amp;"_"&amp;$D94,'App5 - CRUK Inci Rates'!C:K,9,FALSE)</f>
        <v>1911</v>
      </c>
      <c r="K94" s="753">
        <f t="shared" si="68"/>
        <v>1751091.6666666665</v>
      </c>
      <c r="L94" s="753">
        <f>VLOOKUP("*"&amp;$B94&amp;"*",'S4 - Summ PRS Characteristics'!$C$21:$Q$28,11,FALSE)*$J94</f>
        <v>1473.0742400463669</v>
      </c>
      <c r="M94" s="753">
        <f t="shared" si="69"/>
        <v>437.92575995363313</v>
      </c>
      <c r="N94" s="753">
        <f>IF($C94="other",(1-$C$7)*L94,(1-(VLOOKUP($C94,'S3 - Screening Tool Metrics'!$C$3:$G$17,5,FALSE)/100))*L94)</f>
        <v>294.61484800927332</v>
      </c>
      <c r="O94" s="753">
        <f>IF($C94="other",$C$7*L94,(VLOOKUP($C94,'S3 - Screening Tool Metrics'!$C$3:$G$17,5,FALSE)/100)*L94)</f>
        <v>1178.4593920370935</v>
      </c>
      <c r="P94" s="753">
        <f t="shared" si="70"/>
        <v>61.667158139042044</v>
      </c>
      <c r="Q94" s="776">
        <f t="shared" si="75"/>
        <v>700436.66666666663</v>
      </c>
      <c r="R94" s="753">
        <f>VLOOKUP("*"&amp;$B94&amp;"*",'S4 - Summ PRS Characteristics'!$C$21:$Q$28,12,FALSE)*$J94</f>
        <v>879.38375635893749</v>
      </c>
      <c r="S94" s="753">
        <f t="shared" si="83"/>
        <v>1031.6162436410625</v>
      </c>
      <c r="T94" s="753">
        <f>IF($C94="other",(1-$C88)*R94,(1-(VLOOKUP($C94,'S3 - Screening Tool Metrics'!$C$3:$G$17,5,FALSE)/100))*R94)</f>
        <v>175.87675127178747</v>
      </c>
      <c r="U94" s="753">
        <f>IF($C94="other",$C88*R94,(VLOOKUP($C94,'S3 - Screening Tool Metrics'!$C$3:$G$17,5,FALSE)/100)*R94)</f>
        <v>703.50700508714999</v>
      </c>
      <c r="V94" s="777">
        <f t="shared" si="76"/>
        <v>36.813553379756669</v>
      </c>
      <c r="W94" s="753">
        <f t="shared" si="77"/>
        <v>350218.33333333331</v>
      </c>
      <c r="X94" s="753">
        <f>VLOOKUP("*"&amp;$B94&amp;"*",'S4 - Summ PRS Characteristics'!$C$21:$Q$28,13,FALSE)*$J94</f>
        <v>563.01911520794863</v>
      </c>
      <c r="Y94" s="753">
        <f t="shared" si="84"/>
        <v>1347.9808847920513</v>
      </c>
      <c r="Z94" s="753">
        <f>IF($C94="other",(1-$C88)*X94,(1-(VLOOKUP($C94,'S3 - Screening Tool Metrics'!$C$3:$G$17,5,FALSE)/100))*X94)</f>
        <v>112.60382304158971</v>
      </c>
      <c r="AA94" s="753">
        <f>IF($C94="other",$C88*X94,(VLOOKUP($C94,'S3 - Screening Tool Metrics'!$C$3:$G$17,5,FALSE)/100)*X94)</f>
        <v>450.41529216635894</v>
      </c>
      <c r="AB94" s="777">
        <f t="shared" si="78"/>
        <v>23.569612358260542</v>
      </c>
      <c r="AC94" s="776">
        <f t="shared" si="79"/>
        <v>175109.16666666666</v>
      </c>
      <c r="AD94" s="753">
        <f>VLOOKUP("*"&amp;$B94&amp;"*",'S4 - Summ PRS Characteristics'!$C$21:$Q$28,14,FALSE)*$J94</f>
        <v>350.09414801847311</v>
      </c>
      <c r="AE94" s="753">
        <f t="shared" si="86"/>
        <v>1560.9058519815269</v>
      </c>
      <c r="AF94" s="753">
        <f>IF($C94="other",(1-$C88)*AD94,(1-(VLOOKUP($C94,'S3 - Screening Tool Metrics'!$C$3:$G$17,5,FALSE)/100))*AD94)</f>
        <v>70.018829603694613</v>
      </c>
      <c r="AG94" s="753">
        <f>IF($C94="other",$C88*AD94,(VLOOKUP($C94,'S3 - Screening Tool Metrics'!$C$3:$G$17,5,FALSE)/100)*AD94)</f>
        <v>280.07531841477851</v>
      </c>
      <c r="AH94" s="777">
        <f t="shared" si="80"/>
        <v>14.655955961003587</v>
      </c>
      <c r="AI94" s="776">
        <f t="shared" si="81"/>
        <v>35021.833333333328</v>
      </c>
      <c r="AJ94" s="753">
        <f>VLOOKUP("*"&amp;$B94&amp;"*",'S4 - Summ PRS Characteristics'!$C$21:$Q$28,15,FALSE)*$J94</f>
        <v>107.99718784416156</v>
      </c>
      <c r="AK94" s="753">
        <f t="shared" si="85"/>
        <v>1803.0028121558385</v>
      </c>
      <c r="AL94" s="753">
        <f>IF($C94="other",(1-$C88)*AJ94,(1-(VLOOKUP($C94,'S3 - Screening Tool Metrics'!$C$3:$G$17,5,FALSE)/100))*AJ94)</f>
        <v>21.599437568832307</v>
      </c>
      <c r="AM94" s="753">
        <f>IF($C94="other",$C88*AJ94,(VLOOKUP($C94,'S3 - Screening Tool Metrics'!$C$3:$G$17,5,FALSE)/100)*AJ94)</f>
        <v>86.397750275329258</v>
      </c>
      <c r="AN94" s="778">
        <f t="shared" si="82"/>
        <v>4.5210753676258122</v>
      </c>
    </row>
    <row r="95" spans="2:40" x14ac:dyDescent="0.2">
      <c r="B95" s="768" t="s">
        <v>14</v>
      </c>
      <c r="C95" s="779" t="str">
        <f>$C89</f>
        <v>Other</v>
      </c>
      <c r="D95" s="780" t="s">
        <v>198</v>
      </c>
      <c r="E95" s="781">
        <f>VLOOKUP($B95&amp;"_"&amp;$D95,'App5 - CRUK Inci Rates'!C:H,6,FALSE)</f>
        <v>91.2</v>
      </c>
      <c r="F95" s="782">
        <f>VLOOKUP($B95&amp;"_"&amp;$D95,'App5 - CRUK Inci Rates'!C:H,3,FALSE)</f>
        <v>45.1</v>
      </c>
      <c r="G95" s="783">
        <f>VLOOKUP($B95&amp;"_"&amp;$D95,'App5 - CRUK Inci Rates'!C:J,8,FALSE)</f>
        <v>3071574.666666667</v>
      </c>
      <c r="H95" s="784">
        <f>VLOOKUP($B95&amp;"_"&amp;$D95,'App5 - CRUK Inci Rates'!C:J,7,FALSE)</f>
        <v>1467965</v>
      </c>
      <c r="I95" s="784">
        <f>VLOOKUP($B95&amp;"_"&amp;$D95,'App5 - CRUK Inci Rates'!C:J,4,FALSE)</f>
        <v>1603609.6666666667</v>
      </c>
      <c r="J95" s="778">
        <f>VLOOKUP($B95&amp;"_"&amp;$D95,'App5 - CRUK Inci Rates'!C:K,9,FALSE)</f>
        <v>2063</v>
      </c>
      <c r="K95" s="753">
        <f t="shared" si="68"/>
        <v>1535787.3333333335</v>
      </c>
      <c r="L95" s="753">
        <f>VLOOKUP("*"&amp;$B95&amp;"*",'S4 - Summ PRS Characteristics'!$C$21:$Q$28,11,FALSE)*$J95</f>
        <v>1590.2418405105468</v>
      </c>
      <c r="M95" s="753">
        <f t="shared" si="69"/>
        <v>472.75815948945319</v>
      </c>
      <c r="N95" s="753">
        <f>IF($C95="other",(1-$C$7)*L95,(1-(VLOOKUP($C95,'S3 - Screening Tool Metrics'!$C$3:$G$17,5,FALSE)/100))*L95)</f>
        <v>318.04836810210929</v>
      </c>
      <c r="O95" s="753">
        <f>IF($C95="other",$C$7*L95,(VLOOKUP($C95,'S3 - Screening Tool Metrics'!$C$3:$G$17,5,FALSE)/100)*L95)</f>
        <v>1272.1934724084376</v>
      </c>
      <c r="P95" s="753">
        <f t="shared" si="70"/>
        <v>61.667158139042058</v>
      </c>
      <c r="Q95" s="776">
        <f t="shared" si="75"/>
        <v>614314.93333333347</v>
      </c>
      <c r="R95" s="753">
        <f>VLOOKUP("*"&amp;$B95&amp;"*",'S4 - Summ PRS Characteristics'!$C$21:$Q$28,12,FALSE)*$J95</f>
        <v>949.32950778047507</v>
      </c>
      <c r="S95" s="753">
        <f t="shared" si="83"/>
        <v>1113.6704922195249</v>
      </c>
      <c r="T95" s="753">
        <f>IF($C95="other",(1-$C88)*R95,(1-(VLOOKUP($C95,'S3 - Screening Tool Metrics'!$C$3:$G$17,5,FALSE)/100))*R95)</f>
        <v>189.86590155609497</v>
      </c>
      <c r="U95" s="753">
        <f>IF($C95="other",$C88*R95,(VLOOKUP($C95,'S3 - Screening Tool Metrics'!$C$3:$G$17,5,FALSE)/100)*R95)</f>
        <v>759.4636062243801</v>
      </c>
      <c r="V95" s="777">
        <f t="shared" si="76"/>
        <v>36.813553379756669</v>
      </c>
      <c r="W95" s="753">
        <f t="shared" si="77"/>
        <v>307157.46666666673</v>
      </c>
      <c r="X95" s="753">
        <f>VLOOKUP("*"&amp;$B95&amp;"*",'S4 - Summ PRS Characteristics'!$C$21:$Q$28,13,FALSE)*$J95</f>
        <v>607.80137868864369</v>
      </c>
      <c r="Y95" s="753">
        <f t="shared" si="84"/>
        <v>1455.1986213113564</v>
      </c>
      <c r="Z95" s="753">
        <f>IF($C95="other",(1-$C88)*X95,(1-(VLOOKUP($C95,'S3 - Screening Tool Metrics'!$C$3:$G$17,5,FALSE)/100))*X95)</f>
        <v>121.56027573772872</v>
      </c>
      <c r="AA95" s="753">
        <f>IF($C95="other",$C88*X95,(VLOOKUP($C95,'S3 - Screening Tool Metrics'!$C$3:$G$17,5,FALSE)/100)*X95)</f>
        <v>486.24110295091498</v>
      </c>
      <c r="AB95" s="777">
        <f t="shared" si="78"/>
        <v>23.569612358260542</v>
      </c>
      <c r="AC95" s="776">
        <f t="shared" si="79"/>
        <v>153578.73333333337</v>
      </c>
      <c r="AD95" s="753">
        <f>VLOOKUP("*"&amp;$B95&amp;"*",'S4 - Summ PRS Characteristics'!$C$21:$Q$28,14,FALSE)*$J95</f>
        <v>377.9404643443799</v>
      </c>
      <c r="AE95" s="753">
        <f t="shared" si="86"/>
        <v>1685.05953565562</v>
      </c>
      <c r="AF95" s="753">
        <f>IF($C95="other",(1-$C88)*AD95,(1-(VLOOKUP($C95,'S3 - Screening Tool Metrics'!$C$3:$G$17,5,FALSE)/100))*AD95)</f>
        <v>75.588092868875961</v>
      </c>
      <c r="AG95" s="753">
        <f>IF($C95="other",$C88*AD95,(VLOOKUP($C95,'S3 - Screening Tool Metrics'!$C$3:$G$17,5,FALSE)/100)*AD95)</f>
        <v>302.35237147550396</v>
      </c>
      <c r="AH95" s="777">
        <f t="shared" si="80"/>
        <v>14.655955961003587</v>
      </c>
      <c r="AI95" s="776">
        <f t="shared" si="81"/>
        <v>30715.74666666667</v>
      </c>
      <c r="AJ95" s="753">
        <f>VLOOKUP("*"&amp;$B95&amp;"*",'S4 - Summ PRS Characteristics'!$C$21:$Q$28,15,FALSE)*$J95</f>
        <v>116.5872310426506</v>
      </c>
      <c r="AK95" s="753">
        <f t="shared" si="85"/>
        <v>1946.4127689573495</v>
      </c>
      <c r="AL95" s="753">
        <f>IF($C95="other",(1-$C88)*AJ95,(1-(VLOOKUP($C95,'S3 - Screening Tool Metrics'!$C$3:$G$17,5,FALSE)/100))*AJ95)</f>
        <v>23.317446208530114</v>
      </c>
      <c r="AM95" s="753">
        <f>IF($C95="other",$C88*AJ95,(VLOOKUP($C95,'S3 - Screening Tool Metrics'!$C$3:$G$17,5,FALSE)/100)*AJ95)</f>
        <v>93.269784834120486</v>
      </c>
      <c r="AN95" s="778">
        <f t="shared" si="82"/>
        <v>4.5210753676258113</v>
      </c>
    </row>
    <row r="96" spans="2:40" x14ac:dyDescent="0.2">
      <c r="B96" s="768" t="s">
        <v>14</v>
      </c>
      <c r="C96" s="779" t="str">
        <f>$C89</f>
        <v>Other</v>
      </c>
      <c r="D96" s="780" t="s">
        <v>199</v>
      </c>
      <c r="E96" s="781">
        <f>VLOOKUP($B96&amp;"_"&amp;$D96,'App5 - CRUK Inci Rates'!C:H,6,FALSE)</f>
        <v>110.1</v>
      </c>
      <c r="F96" s="782">
        <f>VLOOKUP($B96&amp;"_"&amp;$D96,'App5 - CRUK Inci Rates'!C:H,3,FALSE)</f>
        <v>57.2</v>
      </c>
      <c r="G96" s="783">
        <f>VLOOKUP($B96&amp;"_"&amp;$D96,'App5 - CRUK Inci Rates'!C:J,8,FALSE)</f>
        <v>2189010.6666666665</v>
      </c>
      <c r="H96" s="784">
        <f>VLOOKUP($B96&amp;"_"&amp;$D96,'App5 - CRUK Inci Rates'!C:J,7,FALSE)</f>
        <v>1007365.3333333334</v>
      </c>
      <c r="I96" s="784">
        <f>VLOOKUP($B96&amp;"_"&amp;$D96,'App5 - CRUK Inci Rates'!C:J,4,FALSE)</f>
        <v>1181645.3333333333</v>
      </c>
      <c r="J96" s="778">
        <f>VLOOKUP($B96&amp;"_"&amp;$D96,'App5 - CRUK Inci Rates'!C:K,9,FALSE)</f>
        <v>1785</v>
      </c>
      <c r="K96" s="753">
        <f t="shared" si="68"/>
        <v>1094505.3333333333</v>
      </c>
      <c r="L96" s="753">
        <f>VLOOKUP("*"&amp;$B96&amp;"*",'S4 - Summ PRS Characteristics'!$C$21:$Q$28,11,FALSE)*$J96</f>
        <v>1375.9484659773757</v>
      </c>
      <c r="M96" s="753">
        <f t="shared" si="69"/>
        <v>409.05153402262431</v>
      </c>
      <c r="N96" s="753">
        <f>IF($C96="other",(1-$C$7)*L96,(1-(VLOOKUP($C96,'S3 - Screening Tool Metrics'!$C$3:$G$17,5,FALSE)/100))*L96)</f>
        <v>275.18969319547506</v>
      </c>
      <c r="O96" s="753">
        <f>IF($C96="other",$C$7*L96,(VLOOKUP($C96,'S3 - Screening Tool Metrics'!$C$3:$G$17,5,FALSE)/100)*L96)</f>
        <v>1100.7587727819007</v>
      </c>
      <c r="P96" s="753">
        <f t="shared" si="70"/>
        <v>61.667158139042058</v>
      </c>
      <c r="Q96" s="776">
        <f t="shared" si="75"/>
        <v>437802.1333333333</v>
      </c>
      <c r="R96" s="753">
        <f>VLOOKUP("*"&amp;$B96&amp;"*",'S4 - Summ PRS Characteristics'!$C$21:$Q$28,12,FALSE)*$J96</f>
        <v>821.40240978582074</v>
      </c>
      <c r="S96" s="753">
        <f t="shared" si="83"/>
        <v>963.59759021417926</v>
      </c>
      <c r="T96" s="753">
        <f>IF($C96="other",(1-$C88)*R96,(1-(VLOOKUP($C96,'S3 - Screening Tool Metrics'!$C$3:$G$17,5,FALSE)/100))*R96)</f>
        <v>164.28048195716411</v>
      </c>
      <c r="U96" s="753">
        <f>IF($C96="other",$C88*R96,(VLOOKUP($C96,'S3 - Screening Tool Metrics'!$C$3:$G$17,5,FALSE)/100)*R96)</f>
        <v>657.12192782865668</v>
      </c>
      <c r="V96" s="777">
        <f t="shared" si="76"/>
        <v>36.813553379756677</v>
      </c>
      <c r="W96" s="753">
        <f t="shared" si="77"/>
        <v>218901.06666666665</v>
      </c>
      <c r="X96" s="753">
        <f>VLOOKUP("*"&amp;$B96&amp;"*",'S4 - Summ PRS Characteristics'!$C$21:$Q$28,13,FALSE)*$J96</f>
        <v>525.89697574368824</v>
      </c>
      <c r="Y96" s="753">
        <f t="shared" si="84"/>
        <v>1259.1030242563118</v>
      </c>
      <c r="Z96" s="753">
        <f>IF($C96="other",(1-$C88)*X96,(1-(VLOOKUP($C96,'S3 - Screening Tool Metrics'!$C$3:$G$17,5,FALSE)/100))*X96)</f>
        <v>105.17939514873763</v>
      </c>
      <c r="AA96" s="753">
        <f>IF($C96="other",$C88*X96,(VLOOKUP($C96,'S3 - Screening Tool Metrics'!$C$3:$G$17,5,FALSE)/100)*X96)</f>
        <v>420.71758059495062</v>
      </c>
      <c r="AB96" s="777">
        <f t="shared" si="78"/>
        <v>23.569612358260539</v>
      </c>
      <c r="AC96" s="776">
        <f t="shared" si="79"/>
        <v>109450.53333333333</v>
      </c>
      <c r="AD96" s="753">
        <f>VLOOKUP("*"&amp;$B96&amp;"*",'S4 - Summ PRS Characteristics'!$C$21:$Q$28,14,FALSE)*$J96</f>
        <v>327.01101737989245</v>
      </c>
      <c r="AE96" s="753">
        <f t="shared" si="86"/>
        <v>1457.9889826201074</v>
      </c>
      <c r="AF96" s="753">
        <f>IF($C96="other",(1-$C88)*AD96,(1-(VLOOKUP($C96,'S3 - Screening Tool Metrics'!$C$3:$G$17,5,FALSE)/100))*AD96)</f>
        <v>65.402203475978482</v>
      </c>
      <c r="AG96" s="753">
        <f>IF($C96="other",$C88*AD96,(VLOOKUP($C96,'S3 - Screening Tool Metrics'!$C$3:$G$17,5,FALSE)/100)*AD96)</f>
        <v>261.60881390391398</v>
      </c>
      <c r="AH96" s="777">
        <f t="shared" si="80"/>
        <v>14.655955961003583</v>
      </c>
      <c r="AI96" s="776">
        <f t="shared" si="81"/>
        <v>21890.106666666667</v>
      </c>
      <c r="AJ96" s="753">
        <f>VLOOKUP("*"&amp;$B96&amp;"*",'S4 - Summ PRS Characteristics'!$C$21:$Q$28,15,FALSE)*$J96</f>
        <v>100.87649414015091</v>
      </c>
      <c r="AK96" s="753">
        <f t="shared" si="85"/>
        <v>1684.123505859849</v>
      </c>
      <c r="AL96" s="753">
        <f>IF($C96="other",(1-$C88)*AJ96,(1-(VLOOKUP($C96,'S3 - Screening Tool Metrics'!$C$3:$G$17,5,FALSE)/100))*AJ96)</f>
        <v>20.175298828030179</v>
      </c>
      <c r="AM96" s="753">
        <f>IF($C96="other",$C88*AJ96,(VLOOKUP($C96,'S3 - Screening Tool Metrics'!$C$3:$G$17,5,FALSE)/100)*AJ96)</f>
        <v>80.701195312120731</v>
      </c>
      <c r="AN96" s="778">
        <f t="shared" si="82"/>
        <v>4.5210753676258113</v>
      </c>
    </row>
    <row r="97" spans="2:40" x14ac:dyDescent="0.2">
      <c r="B97" s="768" t="s">
        <v>14</v>
      </c>
      <c r="C97" s="779" t="str">
        <f>$C89</f>
        <v>Other</v>
      </c>
      <c r="D97" s="780" t="s">
        <v>200</v>
      </c>
      <c r="E97" s="781">
        <f>VLOOKUP($B97&amp;"_"&amp;$D97,'App5 - CRUK Inci Rates'!C:H,6,FALSE)</f>
        <v>34.622861697796182</v>
      </c>
      <c r="F97" s="782">
        <f>VLOOKUP($B97&amp;"_"&amp;$D97,'App5 - CRUK Inci Rates'!C:H,3,FALSE)</f>
        <v>16.932887508650499</v>
      </c>
      <c r="G97" s="783">
        <f>VLOOKUP($B97&amp;"_"&amp;$D97,'App5 - CRUK Inci Rates'!C:J,8,FALSE)</f>
        <v>24586669.333333336</v>
      </c>
      <c r="H97" s="784">
        <f>VLOOKUP($B97&amp;"_"&amp;$D97,'App5 - CRUK Inci Rates'!C:J,7,FALSE)</f>
        <v>12090277.333333334</v>
      </c>
      <c r="I97" s="784">
        <f>VLOOKUP($B97&amp;"_"&amp;$D97,'App5 - CRUK Inci Rates'!C:J,4,FALSE)</f>
        <v>12496392</v>
      </c>
      <c r="J97" s="778">
        <f>VLOOKUP($B97&amp;"_"&amp;$D97,'App5 - CRUK Inci Rates'!C:K,9,FALSE)</f>
        <v>6302</v>
      </c>
      <c r="K97" s="753">
        <f t="shared" si="68"/>
        <v>12293334.666666668</v>
      </c>
      <c r="L97" s="753">
        <f>VLOOKUP("*"&amp;$B97&amp;"*",'S4 - Summ PRS Characteristics'!$C$21:$Q$28,11,FALSE)*$J97</f>
        <v>4857.8303824030372</v>
      </c>
      <c r="M97" s="753">
        <f t="shared" si="69"/>
        <v>1444.1696175969628</v>
      </c>
      <c r="N97" s="753">
        <f>IF($C97="other",(1-$C$7)*L97,(1-(VLOOKUP($C97,'S3 - Screening Tool Metrics'!$C$3:$G$17,5,FALSE)/100))*L97)</f>
        <v>971.56607648060719</v>
      </c>
      <c r="O97" s="753">
        <f>IF($C97="other",$C$7*L97,(VLOOKUP($C97,'S3 - Screening Tool Metrics'!$C$3:$G$17,5,FALSE)/100)*L97)</f>
        <v>3886.2643059224301</v>
      </c>
      <c r="P97" s="753">
        <f t="shared" si="70"/>
        <v>61.667158139042058</v>
      </c>
      <c r="Q97" s="776">
        <f t="shared" si="75"/>
        <v>4917333.8666666672</v>
      </c>
      <c r="R97" s="753">
        <f>VLOOKUP("*"&amp;$B97&amp;"*",'S4 - Summ PRS Characteristics'!$C$21:$Q$28,12,FALSE)*$J97</f>
        <v>2899.9876674903317</v>
      </c>
      <c r="S97" s="753">
        <f t="shared" si="83"/>
        <v>3402.0123325096683</v>
      </c>
      <c r="T97" s="753">
        <f>IF($C97="other",(1-$C88)*R97,(1-(VLOOKUP($C97,'S3 - Screening Tool Metrics'!$C$3:$G$17,5,FALSE)/100))*R97)</f>
        <v>579.99753349806622</v>
      </c>
      <c r="U97" s="753">
        <f>IF($C97="other",$C88*R97,(VLOOKUP($C97,'S3 - Screening Tool Metrics'!$C$3:$G$17,5,FALSE)/100)*R97)</f>
        <v>2319.9901339922653</v>
      </c>
      <c r="V97" s="777">
        <f t="shared" si="76"/>
        <v>36.813553379756669</v>
      </c>
      <c r="W97" s="753">
        <f t="shared" si="77"/>
        <v>2458666.9333333336</v>
      </c>
      <c r="X97" s="753">
        <f>VLOOKUP("*"&amp;$B97&amp;"*",'S4 - Summ PRS Characteristics'!$C$21:$Q$28,13,FALSE)*$J97</f>
        <v>1856.696213521974</v>
      </c>
      <c r="Y97" s="753">
        <f t="shared" si="84"/>
        <v>4445.3037864780263</v>
      </c>
      <c r="Z97" s="753">
        <f>IF($C97="other",(1-$C88)*X97,(1-(VLOOKUP($C97,'S3 - Screening Tool Metrics'!$C$3:$G$17,5,FALSE)/100))*X97)</f>
        <v>371.33924270439474</v>
      </c>
      <c r="AA97" s="753">
        <f>IF($C97="other",$C88*X97,(VLOOKUP($C97,'S3 - Screening Tool Metrics'!$C$3:$G$17,5,FALSE)/100)*X97)</f>
        <v>1485.3569708175792</v>
      </c>
      <c r="AB97" s="777">
        <f t="shared" si="78"/>
        <v>23.569612358260539</v>
      </c>
      <c r="AC97" s="776">
        <f t="shared" si="79"/>
        <v>1229333.4666666668</v>
      </c>
      <c r="AD97" s="753">
        <f>VLOOKUP("*"&amp;$B97&amp;"*",'S4 - Summ PRS Characteristics'!$C$21:$Q$28,14,FALSE)*$J97</f>
        <v>1154.5229308280573</v>
      </c>
      <c r="AE97" s="753">
        <f t="shared" si="86"/>
        <v>5147.4770691719423</v>
      </c>
      <c r="AF97" s="753">
        <f>IF($C97="other",(1-$C88)*AD97,(1-(VLOOKUP($C97,'S3 - Screening Tool Metrics'!$C$3:$G$17,5,FALSE)/100))*AD97)</f>
        <v>230.90458616561139</v>
      </c>
      <c r="AG97" s="753">
        <f>IF($C97="other",$C88*AD97,(VLOOKUP($C97,'S3 - Screening Tool Metrics'!$C$3:$G$17,5,FALSE)/100)*AD97)</f>
        <v>923.61834466244591</v>
      </c>
      <c r="AH97" s="777">
        <f t="shared" si="80"/>
        <v>14.655955961003583</v>
      </c>
      <c r="AI97" s="776">
        <f t="shared" si="81"/>
        <v>245866.69333333336</v>
      </c>
      <c r="AJ97" s="753">
        <f>VLOOKUP("*"&amp;$B97&amp;"*",'S4 - Summ PRS Characteristics'!$C$21:$Q$28,15,FALSE)*$J97</f>
        <v>356.14771208472325</v>
      </c>
      <c r="AK97" s="753">
        <f t="shared" si="85"/>
        <v>5945.852287915277</v>
      </c>
      <c r="AL97" s="753">
        <f>IF($C97="other",(1-$C88)*AJ97,(1-(VLOOKUP($C97,'S3 - Screening Tool Metrics'!$C$3:$G$17,5,FALSE)/100))*AJ97)</f>
        <v>71.229542416944639</v>
      </c>
      <c r="AM97" s="753">
        <f>IF($C97="other",$C88*AJ97,(VLOOKUP($C97,'S3 - Screening Tool Metrics'!$C$3:$G$17,5,FALSE)/100)*AJ97)</f>
        <v>284.91816966777861</v>
      </c>
      <c r="AN97" s="778">
        <f t="shared" si="82"/>
        <v>4.5210753676258113</v>
      </c>
    </row>
    <row r="98" spans="2:40" x14ac:dyDescent="0.2">
      <c r="B98" s="768" t="s">
        <v>14</v>
      </c>
      <c r="C98" s="779" t="str">
        <f>$C89</f>
        <v>Other</v>
      </c>
      <c r="D98" s="780" t="s">
        <v>201</v>
      </c>
      <c r="E98" s="781">
        <f>VLOOKUP($B98&amp;"_"&amp;$D98,'App5 - CRUK Inci Rates'!C:H,6,FALSE)</f>
        <v>14.135054044739473</v>
      </c>
      <c r="F98" s="782">
        <f>VLOOKUP($B98&amp;"_"&amp;$D98,'App5 - CRUK Inci Rates'!C:H,3,FALSE)</f>
        <v>6.4764131930257953</v>
      </c>
      <c r="G98" s="783">
        <f>VLOOKUP($B98&amp;"_"&amp;$D98,'App5 - CRUK Inci Rates'!C:J,8,FALSE)</f>
        <v>8642767.333333334</v>
      </c>
      <c r="H98" s="784">
        <f>VLOOKUP($B98&amp;"_"&amp;$D98,'App5 - CRUK Inci Rates'!C:J,7,FALSE)</f>
        <v>4273064.666666667</v>
      </c>
      <c r="I98" s="784">
        <f>VLOOKUP($B98&amp;"_"&amp;$D98,'App5 - CRUK Inci Rates'!C:J,4,FALSE)</f>
        <v>4369702.666666667</v>
      </c>
      <c r="J98" s="778">
        <f>VLOOKUP($B98&amp;"_"&amp;$D98,'App5 - CRUK Inci Rates'!C:K,9,FALSE)</f>
        <v>887</v>
      </c>
      <c r="K98" s="753">
        <f t="shared" si="68"/>
        <v>4321383.666666667</v>
      </c>
      <c r="L98" s="753">
        <f>VLOOKUP("*"&amp;$B98&amp;"*",'S4 - Summ PRS Characteristics'!$C$21:$Q$28,11,FALSE)*$J98</f>
        <v>683.7346158666287</v>
      </c>
      <c r="M98" s="753">
        <f t="shared" si="69"/>
        <v>203.2653841333713</v>
      </c>
      <c r="N98" s="753">
        <f>IF($C98="other",(1-$C$7)*L98,(1-(VLOOKUP($C98,'S3 - Screening Tool Metrics'!$C$3:$G$17,5,FALSE)/100))*L98)</f>
        <v>136.74692317332571</v>
      </c>
      <c r="O98" s="753">
        <f>IF($C98="other",$C$7*L98,(VLOOKUP($C98,'S3 - Screening Tool Metrics'!$C$3:$G$17,5,FALSE)/100)*L98)</f>
        <v>546.98769269330296</v>
      </c>
      <c r="P98" s="753">
        <f t="shared" si="70"/>
        <v>61.667158139042044</v>
      </c>
      <c r="Q98" s="776">
        <f t="shared" si="75"/>
        <v>1728553.4666666668</v>
      </c>
      <c r="R98" s="753">
        <f>VLOOKUP("*"&amp;$B98&amp;"*",'S4 - Summ PRS Characteristics'!$C$21:$Q$28,12,FALSE)*$J98</f>
        <v>408.17027309805206</v>
      </c>
      <c r="S98" s="753">
        <f t="shared" si="83"/>
        <v>478.82972690194794</v>
      </c>
      <c r="T98" s="753">
        <f>IF($C98="other",(1-$C88)*R98,(1-(VLOOKUP($C98,'S3 - Screening Tool Metrics'!$C$3:$G$17,5,FALSE)/100))*R98)</f>
        <v>81.634054619610396</v>
      </c>
      <c r="U98" s="753">
        <f>IF($C98="other",$C88*R98,(VLOOKUP($C98,'S3 - Screening Tool Metrics'!$C$3:$G$17,5,FALSE)/100)*R98)</f>
        <v>326.5362184784417</v>
      </c>
      <c r="V98" s="777">
        <f t="shared" si="76"/>
        <v>36.813553379756677</v>
      </c>
      <c r="W98" s="753">
        <f t="shared" si="77"/>
        <v>864276.7333333334</v>
      </c>
      <c r="X98" s="753">
        <f>VLOOKUP("*"&amp;$B98&amp;"*",'S4 - Summ PRS Characteristics'!$C$21:$Q$28,13,FALSE)*$J98</f>
        <v>261.32807702221373</v>
      </c>
      <c r="Y98" s="753">
        <f t="shared" si="84"/>
        <v>625.67192297778627</v>
      </c>
      <c r="Z98" s="753">
        <f>IF($C98="other",(1-$C88)*X98,(1-(VLOOKUP($C98,'S3 - Screening Tool Metrics'!$C$3:$G$17,5,FALSE)/100))*X98)</f>
        <v>52.265615404442734</v>
      </c>
      <c r="AA98" s="753">
        <f>IF($C98="other",$C88*X98,(VLOOKUP($C98,'S3 - Screening Tool Metrics'!$C$3:$G$17,5,FALSE)/100)*X98)</f>
        <v>209.06246161777099</v>
      </c>
      <c r="AB98" s="777">
        <f t="shared" si="78"/>
        <v>23.569612358260542</v>
      </c>
      <c r="AC98" s="776">
        <f t="shared" si="79"/>
        <v>432138.3666666667</v>
      </c>
      <c r="AD98" s="753">
        <f>VLOOKUP("*"&amp;$B98&amp;"*",'S4 - Summ PRS Characteristics'!$C$21:$Q$28,14,FALSE)*$J98</f>
        <v>162.49791171762723</v>
      </c>
      <c r="AE98" s="753">
        <f t="shared" si="86"/>
        <v>724.50208828237282</v>
      </c>
      <c r="AF98" s="753">
        <f>IF($C98="other",(1-$C88)*AD98,(1-(VLOOKUP($C98,'S3 - Screening Tool Metrics'!$C$3:$G$17,5,FALSE)/100))*AD98)</f>
        <v>32.499582343525439</v>
      </c>
      <c r="AG98" s="753">
        <f>IF($C98="other",$C88*AD98,(VLOOKUP($C98,'S3 - Screening Tool Metrics'!$C$3:$G$17,5,FALSE)/100)*AD98)</f>
        <v>129.99832937410179</v>
      </c>
      <c r="AH98" s="777">
        <f t="shared" si="80"/>
        <v>14.655955961003583</v>
      </c>
      <c r="AI98" s="776">
        <f t="shared" si="81"/>
        <v>86427.67333333334</v>
      </c>
      <c r="AJ98" s="753">
        <f>VLOOKUP("*"&amp;$B98&amp;"*",'S4 - Summ PRS Characteristics'!$C$21:$Q$28,15,FALSE)*$J98</f>
        <v>50.12742313855118</v>
      </c>
      <c r="AK98" s="753">
        <f t="shared" si="85"/>
        <v>836.87257686144881</v>
      </c>
      <c r="AL98" s="753">
        <f>IF($C98="other",(1-$C88)*AJ98,(1-(VLOOKUP($C98,'S3 - Screening Tool Metrics'!$C$3:$G$17,5,FALSE)/100))*AJ98)</f>
        <v>10.025484627710235</v>
      </c>
      <c r="AM98" s="753">
        <f>IF($C98="other",$C88*AJ98,(VLOOKUP($C98,'S3 - Screening Tool Metrics'!$C$3:$G$17,5,FALSE)/100)*AJ98)</f>
        <v>40.101938510840945</v>
      </c>
      <c r="AN98" s="778">
        <f t="shared" si="82"/>
        <v>4.5210753676258113</v>
      </c>
    </row>
    <row r="99" spans="2:40" x14ac:dyDescent="0.2">
      <c r="B99" s="768" t="s">
        <v>14</v>
      </c>
      <c r="C99" s="779" t="str">
        <f>$C89</f>
        <v>Other</v>
      </c>
      <c r="D99" s="780" t="s">
        <v>202</v>
      </c>
      <c r="E99" s="781">
        <f>VLOOKUP($B99&amp;"_"&amp;$D99,'App5 - CRUK Inci Rates'!C:H,6,FALSE)</f>
        <v>31.661908068880759</v>
      </c>
      <c r="F99" s="782">
        <f>VLOOKUP($B99&amp;"_"&amp;$D99,'App5 - CRUK Inci Rates'!C:H,3,FALSE)</f>
        <v>15.520729391028421</v>
      </c>
      <c r="G99" s="783">
        <f>VLOOKUP($B99&amp;"_"&amp;$D99,'App5 - CRUK Inci Rates'!C:J,8,FALSE)</f>
        <v>8839716.6666666679</v>
      </c>
      <c r="H99" s="784">
        <f>VLOOKUP($B99&amp;"_"&amp;$D99,'App5 - CRUK Inci Rates'!C:J,7,FALSE)</f>
        <v>4355391.333333333</v>
      </c>
      <c r="I99" s="784">
        <f>VLOOKUP($B99&amp;"_"&amp;$D99,'App5 - CRUK Inci Rates'!C:J,4,FALSE)</f>
        <v>4484325.333333334</v>
      </c>
      <c r="J99" s="778">
        <f>VLOOKUP($B99&amp;"_"&amp;$D99,'App5 - CRUK Inci Rates'!C:K,9,FALSE)</f>
        <v>2075</v>
      </c>
      <c r="K99" s="753">
        <f t="shared" si="68"/>
        <v>4419858.333333334</v>
      </c>
      <c r="L99" s="753">
        <f>VLOOKUP("*"&amp;$B99&amp;"*",'S4 - Summ PRS Characteristics'!$C$21:$Q$28,11,FALSE)*$J99</f>
        <v>1599.4919142314029</v>
      </c>
      <c r="M99" s="753">
        <f t="shared" si="69"/>
        <v>475.50808576859708</v>
      </c>
      <c r="N99" s="753">
        <f>IF($C99="other",(1-$C$7)*L99,(1-(VLOOKUP($C99,'S3 - Screening Tool Metrics'!$C$3:$G$17,5,FALSE)/100))*L99)</f>
        <v>319.89838284628053</v>
      </c>
      <c r="O99" s="753">
        <f>IF($C99="other",$C$7*L99,(VLOOKUP($C99,'S3 - Screening Tool Metrics'!$C$3:$G$17,5,FALSE)/100)*L99)</f>
        <v>1279.5935313851223</v>
      </c>
      <c r="P99" s="753">
        <f t="shared" si="70"/>
        <v>61.667158139042044</v>
      </c>
      <c r="Q99" s="776">
        <f t="shared" si="75"/>
        <v>1767943.3333333337</v>
      </c>
      <c r="R99" s="753">
        <f>VLOOKUP("*"&amp;$B99&amp;"*",'S4 - Summ PRS Characteristics'!$C$21:$Q$28,12,FALSE)*$J99</f>
        <v>954.85154078743858</v>
      </c>
      <c r="S99" s="753">
        <f t="shared" si="83"/>
        <v>1120.1484592125614</v>
      </c>
      <c r="T99" s="753">
        <f>IF($C99="other",(1-$C88)*R99,(1-(VLOOKUP($C99,'S3 - Screening Tool Metrics'!$C$3:$G$17,5,FALSE)/100))*R99)</f>
        <v>190.97030815748766</v>
      </c>
      <c r="U99" s="753">
        <f>IF($C99="other",$C88*R99,(VLOOKUP($C99,'S3 - Screening Tool Metrics'!$C$3:$G$17,5,FALSE)/100)*R99)</f>
        <v>763.88123262995089</v>
      </c>
      <c r="V99" s="777">
        <f t="shared" si="76"/>
        <v>36.813553379756669</v>
      </c>
      <c r="W99" s="753">
        <f t="shared" si="77"/>
        <v>883971.66666666686</v>
      </c>
      <c r="X99" s="753">
        <f>VLOOKUP("*"&amp;$B99&amp;"*",'S4 - Summ PRS Characteristics'!$C$21:$Q$28,13,FALSE)*$J99</f>
        <v>611.33682054238272</v>
      </c>
      <c r="Y99" s="753">
        <f t="shared" si="84"/>
        <v>1463.6631794576174</v>
      </c>
      <c r="Z99" s="753">
        <f>IF($C99="other",(1-$C88)*X99,(1-(VLOOKUP($C99,'S3 - Screening Tool Metrics'!$C$3:$G$17,5,FALSE)/100))*X99)</f>
        <v>122.26736410847651</v>
      </c>
      <c r="AA99" s="753">
        <f>IF($C99="other",$C88*X99,(VLOOKUP($C99,'S3 - Screening Tool Metrics'!$C$3:$G$17,5,FALSE)/100)*X99)</f>
        <v>489.06945643390623</v>
      </c>
      <c r="AB99" s="777">
        <f t="shared" si="78"/>
        <v>23.569612358260542</v>
      </c>
      <c r="AC99" s="776">
        <f t="shared" si="79"/>
        <v>441985.83333333343</v>
      </c>
      <c r="AD99" s="753">
        <f>VLOOKUP("*"&amp;$B99&amp;"*",'S4 - Summ PRS Characteristics'!$C$21:$Q$28,14,FALSE)*$J99</f>
        <v>380.13885773853048</v>
      </c>
      <c r="AE99" s="753">
        <f t="shared" si="86"/>
        <v>1694.8611422614695</v>
      </c>
      <c r="AF99" s="753">
        <f>IF($C99="other",(1-$C88)*AD99,(1-(VLOOKUP($C99,'S3 - Screening Tool Metrics'!$C$3:$G$17,5,FALSE)/100))*AD99)</f>
        <v>76.027771547706081</v>
      </c>
      <c r="AG99" s="753">
        <f>IF($C99="other",$C88*AD99,(VLOOKUP($C99,'S3 - Screening Tool Metrics'!$C$3:$G$17,5,FALSE)/100)*AD99)</f>
        <v>304.11108619082438</v>
      </c>
      <c r="AH99" s="777">
        <f t="shared" si="80"/>
        <v>14.655955961003583</v>
      </c>
      <c r="AI99" s="776">
        <f t="shared" si="81"/>
        <v>88397.166666666686</v>
      </c>
      <c r="AJ99" s="753">
        <f>VLOOKUP("*"&amp;$B99&amp;"*",'S4 - Summ PRS Characteristics'!$C$21:$Q$28,15,FALSE)*$J99</f>
        <v>117.26539234779447</v>
      </c>
      <c r="AK99" s="753">
        <f t="shared" si="85"/>
        <v>1957.7346076522056</v>
      </c>
      <c r="AL99" s="753">
        <f>IF($C99="other",(1-$C88)*AJ99,(1-(VLOOKUP($C99,'S3 - Screening Tool Metrics'!$C$3:$G$17,5,FALSE)/100))*AJ99)</f>
        <v>23.453078469558889</v>
      </c>
      <c r="AM99" s="753">
        <f>IF($C99="other",$C88*AJ99,(VLOOKUP($C99,'S3 - Screening Tool Metrics'!$C$3:$G$17,5,FALSE)/100)*AJ99)</f>
        <v>93.812313878235585</v>
      </c>
      <c r="AN99" s="778">
        <f t="shared" si="82"/>
        <v>4.5210753676258113</v>
      </c>
    </row>
    <row r="100" spans="2:40" x14ac:dyDescent="0.2">
      <c r="B100" s="768" t="s">
        <v>14</v>
      </c>
      <c r="C100" s="779" t="str">
        <f>$C89</f>
        <v>Other</v>
      </c>
      <c r="D100" s="780" t="s">
        <v>203</v>
      </c>
      <c r="E100" s="781">
        <f>VLOOKUP($B100&amp;"_"&amp;$D100,'App5 - CRUK Inci Rates'!C:H,6,FALSE)</f>
        <v>45.821959216665384</v>
      </c>
      <c r="F100" s="782">
        <f>VLOOKUP($B100&amp;"_"&amp;$D100,'App5 - CRUK Inci Rates'!C:H,3,FALSE)</f>
        <v>22.555310346140132</v>
      </c>
      <c r="G100" s="783">
        <f>VLOOKUP($B100&amp;"_"&amp;$D100,'App5 - CRUK Inci Rates'!C:J,8,FALSE)</f>
        <v>15943902</v>
      </c>
      <c r="H100" s="784">
        <f>VLOOKUP($B100&amp;"_"&amp;$D100,'App5 - CRUK Inci Rates'!C:J,7,FALSE)</f>
        <v>7817212.666666666</v>
      </c>
      <c r="I100" s="784">
        <f>VLOOKUP($B100&amp;"_"&amp;$D100,'App5 - CRUK Inci Rates'!C:J,4,FALSE)</f>
        <v>8126689.333333334</v>
      </c>
      <c r="J100" s="778">
        <f>VLOOKUP($B100&amp;"_"&amp;$D100,'App5 - CRUK Inci Rates'!C:K,9,FALSE)</f>
        <v>5415</v>
      </c>
      <c r="K100" s="753">
        <f t="shared" si="68"/>
        <v>7971951</v>
      </c>
      <c r="L100" s="753">
        <f>VLOOKUP("*"&amp;$B100&amp;"*",'S4 - Summ PRS Characteristics'!$C$21:$Q$28,11,FALSE)*$J100</f>
        <v>4174.0957665364085</v>
      </c>
      <c r="M100" s="753">
        <f t="shared" si="69"/>
        <v>1240.9042334635915</v>
      </c>
      <c r="N100" s="753">
        <f>IF($C100="other",(1-$C$7)*L100,(1-(VLOOKUP($C100,'S3 - Screening Tool Metrics'!$C$3:$G$17,5,FALSE)/100))*L100)</f>
        <v>834.81915330728157</v>
      </c>
      <c r="O100" s="753">
        <f>IF($C100="other",$C$7*L100,(VLOOKUP($C100,'S3 - Screening Tool Metrics'!$C$3:$G$17,5,FALSE)/100)*L100)</f>
        <v>3339.2766132291272</v>
      </c>
      <c r="P100" s="753">
        <f t="shared" si="70"/>
        <v>61.667158139042058</v>
      </c>
      <c r="Q100" s="776">
        <f t="shared" si="75"/>
        <v>3188780.4000000004</v>
      </c>
      <c r="R100" s="753">
        <f>VLOOKUP("*"&amp;$B100&amp;"*",'S4 - Summ PRS Characteristics'!$C$21:$Q$28,12,FALSE)*$J100</f>
        <v>2491.8173943922798</v>
      </c>
      <c r="S100" s="753">
        <f t="shared" si="83"/>
        <v>2923.1826056077202</v>
      </c>
      <c r="T100" s="753">
        <f>IF($C100="other",(1-$C88)*R100,(1-(VLOOKUP($C100,'S3 - Screening Tool Metrics'!$C$3:$G$17,5,FALSE)/100))*R100)</f>
        <v>498.36347887845585</v>
      </c>
      <c r="U100" s="753">
        <f>IF($C100="other",$C88*R100,(VLOOKUP($C100,'S3 - Screening Tool Metrics'!$C$3:$G$17,5,FALSE)/100)*R100)</f>
        <v>1993.4539155138239</v>
      </c>
      <c r="V100" s="777">
        <f t="shared" si="76"/>
        <v>36.813553379756677</v>
      </c>
      <c r="W100" s="753">
        <f t="shared" si="77"/>
        <v>1594390.2000000002</v>
      </c>
      <c r="X100" s="753">
        <f>VLOOKUP("*"&amp;$B100&amp;"*",'S4 - Summ PRS Characteristics'!$C$21:$Q$28,13,FALSE)*$J100</f>
        <v>1595.3681364997601</v>
      </c>
      <c r="Y100" s="753">
        <f t="shared" si="84"/>
        <v>3819.6318635002399</v>
      </c>
      <c r="Z100" s="753">
        <f>IF($C100="other",(1-$C88)*X100,(1-(VLOOKUP($C100,'S3 - Screening Tool Metrics'!$C$3:$G$17,5,FALSE)/100))*X100)</f>
        <v>319.07362729995197</v>
      </c>
      <c r="AA100" s="753">
        <f>IF($C100="other",$C88*X100,(VLOOKUP($C100,'S3 - Screening Tool Metrics'!$C$3:$G$17,5,FALSE)/100)*X100)</f>
        <v>1276.2945091998081</v>
      </c>
      <c r="AB100" s="777">
        <f t="shared" si="78"/>
        <v>23.569612358260535</v>
      </c>
      <c r="AC100" s="776">
        <f t="shared" si="79"/>
        <v>797195.10000000009</v>
      </c>
      <c r="AD100" s="753">
        <f>VLOOKUP("*"&amp;$B100&amp;"*",'S4 - Summ PRS Characteristics'!$C$21:$Q$28,14,FALSE)*$J100</f>
        <v>992.02501911043009</v>
      </c>
      <c r="AE100" s="753">
        <f t="shared" si="86"/>
        <v>4422.9749808895704</v>
      </c>
      <c r="AF100" s="753">
        <f>IF($C100="other",(1-$C88)*AD100,(1-(VLOOKUP($C100,'S3 - Screening Tool Metrics'!$C$3:$G$17,5,FALSE)/100))*AD100)</f>
        <v>198.40500382208597</v>
      </c>
      <c r="AG100" s="753">
        <f>IF($C100="other",$C88*AD100,(VLOOKUP($C100,'S3 - Screening Tool Metrics'!$C$3:$G$17,5,FALSE)/100)*AD100)</f>
        <v>793.62001528834412</v>
      </c>
      <c r="AH100" s="777">
        <f t="shared" si="80"/>
        <v>14.655955961003587</v>
      </c>
      <c r="AI100" s="776">
        <f t="shared" si="81"/>
        <v>159439.01999999999</v>
      </c>
      <c r="AJ100" s="753">
        <f>VLOOKUP("*"&amp;$B100&amp;"*",'S4 - Summ PRS Characteristics'!$C$21:$Q$28,15,FALSE)*$J100</f>
        <v>306.02028894617206</v>
      </c>
      <c r="AK100" s="753">
        <f t="shared" si="85"/>
        <v>5108.9797110538275</v>
      </c>
      <c r="AL100" s="753">
        <f>IF($C100="other",(1-$C88)*AJ100,(1-(VLOOKUP($C100,'S3 - Screening Tool Metrics'!$C$3:$G$17,5,FALSE)/100))*AJ100)</f>
        <v>61.204057789234398</v>
      </c>
      <c r="AM100" s="753">
        <f>IF($C100="other",$C88*AJ100,(VLOOKUP($C100,'S3 - Screening Tool Metrics'!$C$3:$G$17,5,FALSE)/100)*AJ100)</f>
        <v>244.81623115693765</v>
      </c>
      <c r="AN100" s="778">
        <f t="shared" si="82"/>
        <v>4.5210753676258104</v>
      </c>
    </row>
    <row r="101" spans="2:40" x14ac:dyDescent="0.2">
      <c r="B101" s="768" t="s">
        <v>14</v>
      </c>
      <c r="C101" s="779" t="str">
        <f>$C90</f>
        <v>Other</v>
      </c>
      <c r="D101" s="780" t="s">
        <v>292</v>
      </c>
      <c r="E101" s="781">
        <f>VLOOKUP($B101&amp;"_"&amp;$D101,'App5 - CRUK Inci Rates'!C:H,6,FALSE)</f>
        <v>71.848955725532122</v>
      </c>
      <c r="F101" s="782">
        <f>VLOOKUP($B101&amp;"_"&amp;$D101,'App5 - CRUK Inci Rates'!C:H,3,FALSE)</f>
        <v>35.474825423256348</v>
      </c>
      <c r="G101" s="783">
        <f>VLOOKUP($B101&amp;"_"&amp;$D101,'App5 - CRUK Inci Rates'!C:J,8,FALSE)</f>
        <v>8881256.9603638444</v>
      </c>
      <c r="H101" s="784">
        <f>VLOOKUP($B101&amp;"_"&amp;$D101,'App5 - CRUK Inci Rates'!C:J,7,FALSE)</f>
        <v>4929786.333333333</v>
      </c>
      <c r="I101" s="784">
        <f>VLOOKUP($B101&amp;"_"&amp;$D101,'App5 - CRUK Inci Rates'!C:J,4,FALSE)</f>
        <v>5245973.666666667</v>
      </c>
      <c r="J101" s="778">
        <f>VLOOKUP($B101&amp;"_"&amp;$D101,'App5 - CRUK Inci Rates'!C:K,9,FALSE)</f>
        <v>5403</v>
      </c>
      <c r="K101" s="753">
        <f t="shared" si="68"/>
        <v>4440628.4801819222</v>
      </c>
      <c r="L101" s="753">
        <f>VLOOKUP("*"&amp;$B101&amp;"*",'S4 - Summ PRS Characteristics'!$C$21:$Q$28,11,FALSE)*$J101</f>
        <v>4164.845692815552</v>
      </c>
      <c r="M101" s="753">
        <f t="shared" si="69"/>
        <v>1238.154307184448</v>
      </c>
      <c r="N101" s="753">
        <f>IF($C101="other",(1-$C$7)*L101,(1-(VLOOKUP($C101,'S3 - Screening Tool Metrics'!$C$3:$G$17,5,FALSE)/100))*L101)</f>
        <v>832.96913856311016</v>
      </c>
      <c r="O101" s="753">
        <f>IF($C101="other",$C$7*L101,(VLOOKUP($C101,'S3 - Screening Tool Metrics'!$C$3:$G$17,5,FALSE)/100)*L101)</f>
        <v>3331.8765542524416</v>
      </c>
      <c r="P101" s="753">
        <f t="shared" si="70"/>
        <v>61.667158139042044</v>
      </c>
      <c r="Q101" s="776">
        <f t="shared" si="75"/>
        <v>1776251.3920727689</v>
      </c>
      <c r="R101" s="753">
        <f>VLOOKUP("*"&amp;$B101&amp;"*",'S4 - Summ PRS Characteristics'!$C$21:$Q$28,12,FALSE)*$J101</f>
        <v>2486.295361385316</v>
      </c>
      <c r="S101" s="753">
        <f t="shared" si="83"/>
        <v>2916.704638614684</v>
      </c>
      <c r="T101" s="753">
        <f>IF($C101="other",(1-$C88)*R101,(1-(VLOOKUP($C101,'S3 - Screening Tool Metrics'!$C$3:$G$17,5,FALSE)/100))*R101)</f>
        <v>497.25907227706307</v>
      </c>
      <c r="U101" s="753">
        <f>IF($C101="other",$C88*R101,(VLOOKUP($C101,'S3 - Screening Tool Metrics'!$C$3:$G$17,5,FALSE)/100)*R101)</f>
        <v>1989.036289108253</v>
      </c>
      <c r="V101" s="777">
        <f t="shared" si="76"/>
        <v>36.813553379756669</v>
      </c>
      <c r="W101" s="753">
        <f t="shared" si="77"/>
        <v>888125.69603638444</v>
      </c>
      <c r="X101" s="753">
        <f>VLOOKUP("*"&amp;$B101&amp;"*",'S4 - Summ PRS Characteristics'!$C$21:$Q$28,13,FALSE)*$J101</f>
        <v>1591.8326946460211</v>
      </c>
      <c r="Y101" s="753">
        <f t="shared" si="84"/>
        <v>3811.1673053539789</v>
      </c>
      <c r="Z101" s="753">
        <f>IF($C101="other",(1-$C88)*X101,(1-(VLOOKUP($C101,'S3 - Screening Tool Metrics'!$C$3:$G$17,5,FALSE)/100))*X101)</f>
        <v>318.36653892920413</v>
      </c>
      <c r="AA101" s="753">
        <f>IF($C101="other",$C88*X101,(VLOOKUP($C101,'S3 - Screening Tool Metrics'!$C$3:$G$17,5,FALSE)/100)*X101)</f>
        <v>1273.466155716817</v>
      </c>
      <c r="AB101" s="777">
        <f t="shared" si="78"/>
        <v>23.569612358260539</v>
      </c>
      <c r="AC101" s="776">
        <f t="shared" si="79"/>
        <v>444062.84801819222</v>
      </c>
      <c r="AD101" s="753">
        <f>VLOOKUP("*"&amp;$B101&amp;"*",'S4 - Summ PRS Characteristics'!$C$21:$Q$28,14,FALSE)*$J101</f>
        <v>989.82662571627952</v>
      </c>
      <c r="AE101" s="753">
        <f t="shared" si="86"/>
        <v>4413.1733742837205</v>
      </c>
      <c r="AF101" s="753">
        <f>IF($C101="other",(1-$C88)*AD101,(1-(VLOOKUP($C101,'S3 - Screening Tool Metrics'!$C$3:$G$17,5,FALSE)/100))*AD101)</f>
        <v>197.96532514325585</v>
      </c>
      <c r="AG101" s="753">
        <f>IF($C101="other",$C88*AD101,(VLOOKUP($C101,'S3 - Screening Tool Metrics'!$C$3:$G$17,5,FALSE)/100)*AD101)</f>
        <v>791.86130057302364</v>
      </c>
      <c r="AH101" s="777">
        <f t="shared" si="80"/>
        <v>14.655955961003583</v>
      </c>
      <c r="AI101" s="776">
        <f t="shared" si="81"/>
        <v>88812.569603638447</v>
      </c>
      <c r="AJ101" s="753">
        <f>VLOOKUP("*"&amp;$B101&amp;"*",'S4 - Summ PRS Characteristics'!$C$21:$Q$28,15,FALSE)*$J101</f>
        <v>305.34212764102818</v>
      </c>
      <c r="AK101" s="753">
        <f t="shared" si="85"/>
        <v>5097.6578723589719</v>
      </c>
      <c r="AL101" s="753">
        <f>IF($C101="other",(1-$C88)*AJ101,(1-(VLOOKUP($C101,'S3 - Screening Tool Metrics'!$C$3:$G$17,5,FALSE)/100))*AJ101)</f>
        <v>61.068425528205623</v>
      </c>
      <c r="AM101" s="753">
        <f>IF($C101="other",$C88*AJ101,(VLOOKUP($C101,'S3 - Screening Tool Metrics'!$C$3:$G$17,5,FALSE)/100)*AJ101)</f>
        <v>244.27370211282255</v>
      </c>
      <c r="AN101" s="778">
        <f t="shared" si="82"/>
        <v>4.5210753676258104</v>
      </c>
    </row>
    <row r="102" spans="2:40" x14ac:dyDescent="0.2">
      <c r="B102" s="768" t="s">
        <v>14</v>
      </c>
      <c r="C102" s="779" t="str">
        <f>$C89</f>
        <v>Other</v>
      </c>
      <c r="D102" s="780" t="s">
        <v>204</v>
      </c>
      <c r="E102" s="781">
        <f>VLOOKUP($B102&amp;"_"&amp;$D102,'App5 - CRUK Inci Rates'!C:H,6,FALSE)</f>
        <v>45.545645274943674</v>
      </c>
      <c r="F102" s="782">
        <f>VLOOKUP($B102&amp;"_"&amp;$D102,'App5 - CRUK Inci Rates'!C:H,3,FALSE)</f>
        <v>23.007991219794569</v>
      </c>
      <c r="G102" s="783">
        <f>VLOOKUP($B102&amp;"_"&amp;$D102,'App5 - CRUK Inci Rates'!C:J,8,FALSE)</f>
        <v>29847254.666666668</v>
      </c>
      <c r="H102" s="784">
        <f>VLOOKUP($B102&amp;"_"&amp;$D102,'App5 - CRUK Inci Rates'!C:J,7,FALSE)</f>
        <v>14565607.666666668</v>
      </c>
      <c r="I102" s="784">
        <f>VLOOKUP($B102&amp;"_"&amp;$D102,'App5 - CRUK Inci Rates'!C:J,4,FALSE)</f>
        <v>15281647</v>
      </c>
      <c r="J102" s="778">
        <f>VLOOKUP($B102&amp;"_"&amp;$D102,'App5 - CRUK Inci Rates'!C:K,9,FALSE)</f>
        <v>10150</v>
      </c>
      <c r="K102" s="753">
        <f t="shared" si="68"/>
        <v>14923627.333333334</v>
      </c>
      <c r="L102" s="753">
        <f>VLOOKUP("*"&amp;$B102&amp;"*",'S4 - Summ PRS Characteristics'!$C$21:$Q$28,11,FALSE)*$J102</f>
        <v>7824.0206888909597</v>
      </c>
      <c r="M102" s="753">
        <f t="shared" si="69"/>
        <v>2325.9793111090403</v>
      </c>
      <c r="N102" s="753">
        <f>IF($C102="other",(1-$C$7)*L102,(1-(VLOOKUP($C102,'S3 - Screening Tool Metrics'!$C$3:$G$17,5,FALSE)/100))*L102)</f>
        <v>1564.8041377781915</v>
      </c>
      <c r="O102" s="753">
        <f>IF($C102="other",$C$7*L102,(VLOOKUP($C102,'S3 - Screening Tool Metrics'!$C$3:$G$17,5,FALSE)/100)*L102)</f>
        <v>6259.2165511127678</v>
      </c>
      <c r="P102" s="753">
        <f t="shared" si="70"/>
        <v>61.667158139042044</v>
      </c>
      <c r="Q102" s="776">
        <f t="shared" si="75"/>
        <v>5969450.9333333336</v>
      </c>
      <c r="R102" s="753">
        <f>VLOOKUP("*"&amp;$B102&amp;"*",'S4 - Summ PRS Characteristics'!$C$21:$Q$28,12,FALSE)*$J102</f>
        <v>4670.7195850566277</v>
      </c>
      <c r="S102" s="753">
        <f t="shared" si="83"/>
        <v>5479.2804149433723</v>
      </c>
      <c r="T102" s="753">
        <f>IF($C102="other",(1-$C88)*R102,(1-(VLOOKUP($C102,'S3 - Screening Tool Metrics'!$C$3:$G$17,5,FALSE)/100))*R102)</f>
        <v>934.14391701132536</v>
      </c>
      <c r="U102" s="753">
        <f>IF($C102="other",$C88*R102,(VLOOKUP($C102,'S3 - Screening Tool Metrics'!$C$3:$G$17,5,FALSE)/100)*R102)</f>
        <v>3736.5756680453023</v>
      </c>
      <c r="V102" s="777">
        <f t="shared" si="76"/>
        <v>36.813553379756677</v>
      </c>
      <c r="W102" s="753">
        <f t="shared" si="77"/>
        <v>2984725.4666666668</v>
      </c>
      <c r="X102" s="753">
        <f>VLOOKUP("*"&amp;$B102&amp;"*",'S4 - Summ PRS Characteristics'!$C$21:$Q$28,13,FALSE)*$J102</f>
        <v>2990.3945679543058</v>
      </c>
      <c r="Y102" s="753">
        <f t="shared" si="84"/>
        <v>7159.6054320456942</v>
      </c>
      <c r="Z102" s="753">
        <f>IF($C102="other",(1-$C88)*X102,(1-(VLOOKUP($C102,'S3 - Screening Tool Metrics'!$C$3:$G$17,5,FALSE)/100))*X102)</f>
        <v>598.07891359086102</v>
      </c>
      <c r="AA102" s="753">
        <f>IF($C102="other",$C88*X102,(VLOOKUP($C102,'S3 - Screening Tool Metrics'!$C$3:$G$17,5,FALSE)/100)*X102)</f>
        <v>2392.3156543634445</v>
      </c>
      <c r="AB102" s="777">
        <f t="shared" si="78"/>
        <v>23.569612358260535</v>
      </c>
      <c r="AC102" s="776">
        <f t="shared" si="79"/>
        <v>1492362.7333333334</v>
      </c>
      <c r="AD102" s="753">
        <f>VLOOKUP("*"&amp;$B102&amp;"*",'S4 - Summ PRS Characteristics'!$C$21:$Q$28,14,FALSE)*$J102</f>
        <v>1859.4744125523298</v>
      </c>
      <c r="AE102" s="753">
        <f t="shared" si="86"/>
        <v>8290.5255874476697</v>
      </c>
      <c r="AF102" s="753">
        <f>IF($C102="other",(1-$C88)*AD102,(1-(VLOOKUP($C102,'S3 - Screening Tool Metrics'!$C$3:$G$17,5,FALSE)/100))*AD102)</f>
        <v>371.89488251046589</v>
      </c>
      <c r="AG102" s="753">
        <f>IF($C102="other",$C88*AD102,(VLOOKUP($C102,'S3 - Screening Tool Metrics'!$C$3:$G$17,5,FALSE)/100)*AD102)</f>
        <v>1487.579530041864</v>
      </c>
      <c r="AH102" s="777">
        <f t="shared" si="80"/>
        <v>14.655955961003587</v>
      </c>
      <c r="AI102" s="776">
        <f t="shared" si="81"/>
        <v>298472.54666666669</v>
      </c>
      <c r="AJ102" s="753">
        <f>VLOOKUP("*"&amp;$B102&amp;"*",'S4 - Summ PRS Characteristics'!$C$21:$Q$28,15,FALSE)*$J102</f>
        <v>573.61143726752471</v>
      </c>
      <c r="AK102" s="753">
        <f t="shared" si="85"/>
        <v>9576.3885627324744</v>
      </c>
      <c r="AL102" s="753">
        <f>IF($C102="other",(1-$C88)*AJ102,(1-(VLOOKUP($C102,'S3 - Screening Tool Metrics'!$C$3:$G$17,5,FALSE)/100))*AJ102)</f>
        <v>114.72228745350492</v>
      </c>
      <c r="AM102" s="753">
        <f>IF($C102="other",$C88*AJ102,(VLOOKUP($C102,'S3 - Screening Tool Metrics'!$C$3:$G$17,5,FALSE)/100)*AJ102)</f>
        <v>458.88914981401979</v>
      </c>
      <c r="AN102" s="778">
        <f t="shared" si="82"/>
        <v>4.5210753676258104</v>
      </c>
    </row>
    <row r="103" spans="2:40" ht="17" thickBot="1" x14ac:dyDescent="0.25">
      <c r="B103" s="785" t="s">
        <v>14</v>
      </c>
      <c r="C103" s="786" t="str">
        <f>$C89</f>
        <v>Other</v>
      </c>
      <c r="D103" s="787" t="s">
        <v>205</v>
      </c>
      <c r="E103" s="788">
        <f>VLOOKUP($B103&amp;"_"&amp;$D103,'App5 - CRUK Inci Rates'!C:H,6,FALSE)</f>
        <v>29.2</v>
      </c>
      <c r="F103" s="789">
        <f>VLOOKUP($B103&amp;"_"&amp;$D103,'App5 - CRUK Inci Rates'!C:H,3,FALSE)</f>
        <v>14.8</v>
      </c>
      <c r="G103" s="790">
        <f>VLOOKUP($B103&amp;"_"&amp;$D103,'App5 - CRUK Inci Rates'!C:J,8,FALSE)</f>
        <v>66041277.666666664</v>
      </c>
      <c r="H103" s="791">
        <f>VLOOKUP($B103&amp;"_"&amp;$D103,'App5 - CRUK Inci Rates'!C:J,7,FALSE)</f>
        <v>32583225.666666668</v>
      </c>
      <c r="I103" s="791">
        <f>VLOOKUP($B103&amp;"_"&amp;$D103,'App5 - CRUK Inci Rates'!C:J,4,FALSE)</f>
        <v>33458051.999999996</v>
      </c>
      <c r="J103" s="778">
        <f>VLOOKUP($B103&amp;"_"&amp;$D103,'App5 - CRUK Inci Rates'!C:K,9,FALSE)</f>
        <v>13323</v>
      </c>
      <c r="K103" s="792"/>
      <c r="L103" s="792"/>
      <c r="M103" s="792"/>
      <c r="N103" s="792"/>
      <c r="O103" s="792"/>
      <c r="P103" s="792"/>
      <c r="Q103" s="793"/>
      <c r="R103" s="794"/>
      <c r="S103" s="794"/>
      <c r="T103" s="794"/>
      <c r="U103" s="794"/>
      <c r="V103" s="795"/>
      <c r="W103" s="794"/>
      <c r="X103" s="794"/>
      <c r="Y103" s="794"/>
      <c r="Z103" s="794"/>
      <c r="AA103" s="794"/>
      <c r="AB103" s="795"/>
      <c r="AC103" s="793"/>
      <c r="AD103" s="794"/>
      <c r="AE103" s="794"/>
      <c r="AF103" s="794"/>
      <c r="AG103" s="794"/>
      <c r="AH103" s="795"/>
      <c r="AI103" s="793"/>
      <c r="AJ103" s="794"/>
      <c r="AK103" s="794"/>
      <c r="AL103" s="794"/>
      <c r="AM103" s="794"/>
      <c r="AN103" s="796"/>
    </row>
    <row r="104" spans="2:40" ht="21" hidden="1" customHeight="1" x14ac:dyDescent="0.2">
      <c r="B104" s="754" t="s">
        <v>15</v>
      </c>
      <c r="C104" s="755">
        <v>0.8</v>
      </c>
      <c r="D104" s="756"/>
      <c r="E104" s="757"/>
      <c r="F104" s="758"/>
      <c r="G104" s="759"/>
      <c r="H104" s="760"/>
      <c r="I104" s="760"/>
      <c r="J104" s="761"/>
      <c r="K104" s="762">
        <f t="shared" si="68"/>
        <v>0</v>
      </c>
      <c r="L104" s="762" t="e">
        <f>VLOOKUP("*"&amp;$B104&amp;"*",'S4 - Summ PRS Characteristics'!$C$21:$Q$28,11,FALSE)*$J104</f>
        <v>#N/A</v>
      </c>
      <c r="M104" s="762" t="e">
        <f t="shared" si="69"/>
        <v>#N/A</v>
      </c>
      <c r="N104" s="762" t="e">
        <f>IF($C104="other",(1-$C$7)*L104,(1-(VLOOKUP($C104,'S3 - Screening Tool Metrics'!$C$3:$G$17,5,FALSE)/100))*L104)</f>
        <v>#N/A</v>
      </c>
      <c r="O104" s="762" t="e">
        <f>IF($C104="other",$C$7*L104,(VLOOKUP($C104,'S3 - Screening Tool Metrics'!$C$3:$G$17,5,FALSE)/100)*L104)</f>
        <v>#N/A</v>
      </c>
      <c r="P104" s="762" t="e">
        <f t="shared" si="70"/>
        <v>#N/A</v>
      </c>
      <c r="Q104" s="763"/>
      <c r="R104" s="764" t="e">
        <f>VLOOKUP("*"&amp;$B104&amp;"*",'S4 - Summ PRS Characteristics'!$C$21:$Q$28,12,FALSE)*$J104</f>
        <v>#N/A</v>
      </c>
      <c r="S104" s="764"/>
      <c r="T104" s="764"/>
      <c r="U104" s="764"/>
      <c r="V104" s="765"/>
      <c r="W104" s="764"/>
      <c r="X104" s="764" t="e">
        <f>VLOOKUP("*"&amp;$B104&amp;"*",'S4 - Summ PRS Characteristics'!$C$21:$Q$28,13,FALSE)*$J104</f>
        <v>#N/A</v>
      </c>
      <c r="Y104" s="764"/>
      <c r="Z104" s="764"/>
      <c r="AA104" s="764"/>
      <c r="AB104" s="765"/>
      <c r="AC104" s="763"/>
      <c r="AD104" s="764"/>
      <c r="AE104" s="764"/>
      <c r="AF104" s="764"/>
      <c r="AG104" s="764"/>
      <c r="AH104" s="765"/>
      <c r="AI104" s="763"/>
      <c r="AJ104" s="764"/>
      <c r="AK104" s="764"/>
      <c r="AL104" s="764"/>
      <c r="AM104" s="764"/>
      <c r="AN104" s="767"/>
    </row>
    <row r="105" spans="2:40" ht="17" hidden="1" thickBot="1" x14ac:dyDescent="0.25">
      <c r="B105" s="768" t="s">
        <v>15</v>
      </c>
      <c r="C105" s="769" t="s">
        <v>180</v>
      </c>
      <c r="D105" s="770" t="s">
        <v>192</v>
      </c>
      <c r="E105" s="771">
        <f>VLOOKUP($B105&amp;"_"&amp;$D105,'App5 - CRUK Inci Rates'!C:H,6,FALSE)</f>
        <v>1.3</v>
      </c>
      <c r="F105" s="772">
        <f>VLOOKUP($B105&amp;"_"&amp;$D105,'App5 - CRUK Inci Rates'!C:H,3,FALSE)</f>
        <v>0.6</v>
      </c>
      <c r="G105" s="773">
        <f>VLOOKUP($B105&amp;"_"&amp;$D105,'App5 - CRUK Inci Rates'!C:J,8,FALSE)</f>
        <v>4075608</v>
      </c>
      <c r="H105" s="774">
        <f>VLOOKUP($B105&amp;"_"&amp;$D105,'App5 - CRUK Inci Rates'!C:J,7,FALSE)</f>
        <v>2021384.6666666667</v>
      </c>
      <c r="I105" s="774">
        <f>VLOOKUP($B105&amp;"_"&amp;$D105,'App5 - CRUK Inci Rates'!C:J,4,FALSE)</f>
        <v>2054223.3333333333</v>
      </c>
      <c r="J105" s="775">
        <f>VLOOKUP($B105&amp;"_"&amp;$D105,'App5 - CRUK Inci Rates'!C:K,9,FALSE)</f>
        <v>39</v>
      </c>
      <c r="K105" s="753">
        <f t="shared" si="68"/>
        <v>2037804</v>
      </c>
      <c r="L105" s="753" t="e">
        <f>VLOOKUP("*"&amp;$B105&amp;"*",'S4 - Summ PRS Characteristics'!$C$21:$Q$28,11,FALSE)*$J105</f>
        <v>#N/A</v>
      </c>
      <c r="M105" s="753" t="e">
        <f t="shared" si="69"/>
        <v>#N/A</v>
      </c>
      <c r="N105" s="753" t="e">
        <f>IF($C105="other",(1-$C$7)*L105,(1-(VLOOKUP($C105,'S3 - Screening Tool Metrics'!$C$3:$G$17,5,FALSE)/100))*L105)</f>
        <v>#N/A</v>
      </c>
      <c r="O105" s="753" t="e">
        <f>IF($C105="other",$C$7*L105,(VLOOKUP($C105,'S3 - Screening Tool Metrics'!$C$3:$G$17,5,FALSE)/100)*L105)</f>
        <v>#N/A</v>
      </c>
      <c r="P105" s="753" t="e">
        <f t="shared" si="70"/>
        <v>#N/A</v>
      </c>
      <c r="Q105" s="776">
        <f t="shared" ref="Q105:Q118" si="87">$G105*Q$3</f>
        <v>815121.60000000009</v>
      </c>
      <c r="R105" s="753" t="e">
        <f>VLOOKUP("*"&amp;$B105&amp;"*",'S4 - Summ PRS Characteristics'!$C$21:$Q$28,12,FALSE)*$J105</f>
        <v>#N/A</v>
      </c>
      <c r="S105" s="753" t="e">
        <f>$J105-R105</f>
        <v>#N/A</v>
      </c>
      <c r="T105" s="753" t="e">
        <f>IF($C105="other",(1-$C104)*R105,(1-(VLOOKUP($C105,'S3 - Screening Tool Metrics'!$C$3:$G$17,5,FALSE)/100))*R105)</f>
        <v>#N/A</v>
      </c>
      <c r="U105" s="753" t="e">
        <f>IF($C105="other",$C104*R105,(VLOOKUP($C105,'S3 - Screening Tool Metrics'!$C$3:$G$17,5,FALSE)/100)*R105)</f>
        <v>#N/A</v>
      </c>
      <c r="V105" s="777" t="e">
        <f t="shared" ref="V105:V118" si="88">U105/J105*100</f>
        <v>#N/A</v>
      </c>
      <c r="W105" s="753">
        <f t="shared" ref="W105:W118" si="89">$G105*W$3</f>
        <v>407560.80000000005</v>
      </c>
      <c r="X105" s="753" t="e">
        <f>VLOOKUP("*"&amp;$B105&amp;"*",'S4 - Summ PRS Characteristics'!$C$21:$Q$28,13,FALSE)*$J105</f>
        <v>#N/A</v>
      </c>
      <c r="Y105" s="753" t="e">
        <f>$J105-X105</f>
        <v>#N/A</v>
      </c>
      <c r="Z105" s="753" t="e">
        <f>IF($C105="other",(1-$C104)*X105,(1-(VLOOKUP($C105,'S3 - Screening Tool Metrics'!$C$3:$G$17,5,FALSE)/100))*X105)</f>
        <v>#N/A</v>
      </c>
      <c r="AA105" s="753" t="e">
        <f>IF($C105="other",$C104*X105,(VLOOKUP($C105,'S3 - Screening Tool Metrics'!$C$3:$G$17,5,FALSE)/100)*X105)</f>
        <v>#N/A</v>
      </c>
      <c r="AB105" s="777" t="e">
        <f t="shared" ref="AB105:AB118" si="90">$AA105/$J105*100</f>
        <v>#N/A</v>
      </c>
      <c r="AC105" s="776">
        <f t="shared" ref="AC105:AC118" si="91">$G105*AC$3</f>
        <v>203780.40000000002</v>
      </c>
      <c r="AD105" s="753"/>
      <c r="AE105" s="753">
        <f>$J105-AD105</f>
        <v>39</v>
      </c>
      <c r="AF105" s="753">
        <f>IF($C105="other",(1-$C104)*AD105,(1-(VLOOKUP($C105,'S3 - Screening Tool Metrics'!$C$3:$G$17,5,FALSE)/100))*AD105)</f>
        <v>0</v>
      </c>
      <c r="AG105" s="753">
        <f>IF($C105="other",$C104*AD105,(VLOOKUP($C105,'S3 - Screening Tool Metrics'!$C$3:$G$17,5,FALSE)/100)*AD105)</f>
        <v>0</v>
      </c>
      <c r="AH105" s="777">
        <f t="shared" ref="AH105:AH118" si="92">$AG105/$J105*100</f>
        <v>0</v>
      </c>
      <c r="AI105" s="776">
        <f t="shared" ref="AI105:AI118" si="93">$G105*AI$3</f>
        <v>40756.080000000002</v>
      </c>
      <c r="AJ105" s="753"/>
      <c r="AK105" s="753">
        <f>$J105-AJ105</f>
        <v>39</v>
      </c>
      <c r="AL105" s="753">
        <f>IF($C105="other",(1-$C104)*AJ105,(1-(VLOOKUP($C105,'S3 - Screening Tool Metrics'!$C$3:$G$17,5,FALSE)/100))*AJ105)</f>
        <v>0</v>
      </c>
      <c r="AM105" s="753">
        <f>IF($C105="other",$C104*AJ105,(VLOOKUP($C105,'S3 - Screening Tool Metrics'!$C$3:$G$17,5,FALSE)/100)*AJ105)</f>
        <v>0</v>
      </c>
      <c r="AN105" s="778">
        <f t="shared" ref="AN105:AN118" si="94">$AM105/$J105*100</f>
        <v>0</v>
      </c>
    </row>
    <row r="106" spans="2:40" ht="17" hidden="1" thickBot="1" x14ac:dyDescent="0.25">
      <c r="B106" s="768" t="s">
        <v>15</v>
      </c>
      <c r="C106" s="779" t="str">
        <f>$C105</f>
        <v>Other</v>
      </c>
      <c r="D106" s="780" t="s">
        <v>193</v>
      </c>
      <c r="E106" s="781">
        <f>VLOOKUP($B106&amp;"_"&amp;$D106,'App5 - CRUK Inci Rates'!C:H,6,FALSE)</f>
        <v>2.6</v>
      </c>
      <c r="F106" s="782">
        <f>VLOOKUP($B106&amp;"_"&amp;$D106,'App5 - CRUK Inci Rates'!C:H,3,FALSE)</f>
        <v>1.2</v>
      </c>
      <c r="G106" s="783">
        <f>VLOOKUP($B106&amp;"_"&amp;$D106,'App5 - CRUK Inci Rates'!C:J,8,FALSE)</f>
        <v>4567159.333333334</v>
      </c>
      <c r="H106" s="784">
        <f>VLOOKUP($B106&amp;"_"&amp;$D106,'App5 - CRUK Inci Rates'!C:J,7,FALSE)</f>
        <v>2251680</v>
      </c>
      <c r="I106" s="784">
        <f>VLOOKUP($B106&amp;"_"&amp;$D106,'App5 - CRUK Inci Rates'!C:J,4,FALSE)</f>
        <v>2315479.3333333335</v>
      </c>
      <c r="J106" s="778">
        <f>VLOOKUP($B106&amp;"_"&amp;$D106,'App5 - CRUK Inci Rates'!C:K,9,FALSE)</f>
        <v>88</v>
      </c>
      <c r="K106" s="753">
        <f t="shared" si="68"/>
        <v>2283579.666666667</v>
      </c>
      <c r="L106" s="753" t="e">
        <f>VLOOKUP("*"&amp;$B106&amp;"*",'S4 - Summ PRS Characteristics'!$C$21:$Q$28,11,FALSE)*$J106</f>
        <v>#N/A</v>
      </c>
      <c r="M106" s="753" t="e">
        <f t="shared" si="69"/>
        <v>#N/A</v>
      </c>
      <c r="N106" s="753" t="e">
        <f>IF($C106="other",(1-$C$7)*L106,(1-(VLOOKUP($C106,'S3 - Screening Tool Metrics'!$C$3:$G$17,5,FALSE)/100))*L106)</f>
        <v>#N/A</v>
      </c>
      <c r="O106" s="753" t="e">
        <f>IF($C106="other",$C$7*L106,(VLOOKUP($C106,'S3 - Screening Tool Metrics'!$C$3:$G$17,5,FALSE)/100)*L106)</f>
        <v>#N/A</v>
      </c>
      <c r="P106" s="753" t="e">
        <f t="shared" si="70"/>
        <v>#N/A</v>
      </c>
      <c r="Q106" s="776">
        <f t="shared" si="87"/>
        <v>913431.86666666681</v>
      </c>
      <c r="R106" s="753" t="e">
        <f>VLOOKUP("*"&amp;$B106&amp;"*",'S4 - Summ PRS Characteristics'!$C$21:$Q$28,12,FALSE)*$J106</f>
        <v>#N/A</v>
      </c>
      <c r="S106" s="753" t="e">
        <f t="shared" ref="S106:S118" si="95">$J106-R106</f>
        <v>#N/A</v>
      </c>
      <c r="T106" s="753" t="e">
        <f>IF($C106="other",(1-$C104)*R106,(1-(VLOOKUP($C106,'S3 - Screening Tool Metrics'!$C$3:$G$17,5,FALSE)/100))*R106)</f>
        <v>#N/A</v>
      </c>
      <c r="U106" s="753" t="e">
        <f>IF($C106="other",$C104*R106,(VLOOKUP($C106,'S3 - Screening Tool Metrics'!$C$3:$G$17,5,FALSE)/100)*R106)</f>
        <v>#N/A</v>
      </c>
      <c r="V106" s="777" t="e">
        <f t="shared" si="88"/>
        <v>#N/A</v>
      </c>
      <c r="W106" s="753">
        <f t="shared" si="89"/>
        <v>456715.93333333341</v>
      </c>
      <c r="X106" s="753" t="e">
        <f>VLOOKUP("*"&amp;$B106&amp;"*",'S4 - Summ PRS Characteristics'!$C$21:$Q$28,13,FALSE)*$J106</f>
        <v>#N/A</v>
      </c>
      <c r="Y106" s="753" t="e">
        <f t="shared" ref="Y106:Y118" si="96">$J106-X106</f>
        <v>#N/A</v>
      </c>
      <c r="Z106" s="753" t="e">
        <f>IF($C106="other",(1-$C104)*X106,(1-(VLOOKUP($C106,'S3 - Screening Tool Metrics'!$C$3:$G$17,5,FALSE)/100))*X106)</f>
        <v>#N/A</v>
      </c>
      <c r="AA106" s="753" t="e">
        <f>IF($C106="other",$C104*X106,(VLOOKUP($C106,'S3 - Screening Tool Metrics'!$C$3:$G$17,5,FALSE)/100)*X106)</f>
        <v>#N/A</v>
      </c>
      <c r="AB106" s="777" t="e">
        <f t="shared" si="90"/>
        <v>#N/A</v>
      </c>
      <c r="AC106" s="776">
        <f t="shared" si="91"/>
        <v>228357.9666666667</v>
      </c>
      <c r="AD106" s="753"/>
      <c r="AE106" s="753">
        <f>$J106-AD106</f>
        <v>88</v>
      </c>
      <c r="AF106" s="753">
        <f>IF($C106="other",(1-$C104)*AD106,(1-(VLOOKUP($C106,'S3 - Screening Tool Metrics'!$C$3:$G$17,5,FALSE)/100))*AD106)</f>
        <v>0</v>
      </c>
      <c r="AG106" s="753">
        <f>IF($C106="other",$C104*AD106,(VLOOKUP($C106,'S3 - Screening Tool Metrics'!$C$3:$G$17,5,FALSE)/100)*AD106)</f>
        <v>0</v>
      </c>
      <c r="AH106" s="777">
        <f t="shared" si="92"/>
        <v>0</v>
      </c>
      <c r="AI106" s="776">
        <f t="shared" si="93"/>
        <v>45671.593333333338</v>
      </c>
      <c r="AJ106" s="753"/>
      <c r="AK106" s="753">
        <f t="shared" ref="AK106:AK118" si="97">$J106-AJ106</f>
        <v>88</v>
      </c>
      <c r="AL106" s="753">
        <f>IF($C106="other",(1-$C104)*AJ106,(1-(VLOOKUP($C106,'S3 - Screening Tool Metrics'!$C$3:$G$17,5,FALSE)/100))*AJ106)</f>
        <v>0</v>
      </c>
      <c r="AM106" s="753">
        <f>IF($C106="other",$C104*AJ106,(VLOOKUP($C106,'S3 - Screening Tool Metrics'!$C$3:$G$17,5,FALSE)/100)*AJ106)</f>
        <v>0</v>
      </c>
      <c r="AN106" s="778">
        <f t="shared" si="94"/>
        <v>0</v>
      </c>
    </row>
    <row r="107" spans="2:40" ht="17" hidden="1" thickBot="1" x14ac:dyDescent="0.25">
      <c r="B107" s="768" t="s">
        <v>15</v>
      </c>
      <c r="C107" s="779" t="str">
        <f>$C105</f>
        <v>Other</v>
      </c>
      <c r="D107" s="780" t="s">
        <v>194</v>
      </c>
      <c r="E107" s="781">
        <f>VLOOKUP($B107&amp;"_"&amp;$D107,'App5 - CRUK Inci Rates'!C:H,6,FALSE)</f>
        <v>5.5</v>
      </c>
      <c r="F107" s="782">
        <f>VLOOKUP($B107&amp;"_"&amp;$D107,'App5 - CRUK Inci Rates'!C:H,3,FALSE)</f>
        <v>2</v>
      </c>
      <c r="G107" s="783">
        <f>VLOOKUP($B107&amp;"_"&amp;$D107,'App5 - CRUK Inci Rates'!C:J,8,FALSE)</f>
        <v>4658110.666666666</v>
      </c>
      <c r="H107" s="784">
        <f>VLOOKUP($B107&amp;"_"&amp;$D107,'App5 - CRUK Inci Rates'!C:J,7,FALSE)</f>
        <v>2293472.6666666665</v>
      </c>
      <c r="I107" s="784">
        <f>VLOOKUP($B107&amp;"_"&amp;$D107,'App5 - CRUK Inci Rates'!C:J,4,FALSE)</f>
        <v>2364638</v>
      </c>
      <c r="J107" s="778">
        <f>VLOOKUP($B107&amp;"_"&amp;$D107,'App5 - CRUK Inci Rates'!C:K,9,FALSE)</f>
        <v>173</v>
      </c>
      <c r="K107" s="753">
        <f t="shared" si="68"/>
        <v>2329055.333333333</v>
      </c>
      <c r="L107" s="753" t="e">
        <f>VLOOKUP("*"&amp;$B107&amp;"*",'S4 - Summ PRS Characteristics'!$C$21:$Q$28,11,FALSE)*$J107</f>
        <v>#N/A</v>
      </c>
      <c r="M107" s="753" t="e">
        <f t="shared" si="69"/>
        <v>#N/A</v>
      </c>
      <c r="N107" s="753" t="e">
        <f>IF($C107="other",(1-$C$7)*L107,(1-(VLOOKUP($C107,'S3 - Screening Tool Metrics'!$C$3:$G$17,5,FALSE)/100))*L107)</f>
        <v>#N/A</v>
      </c>
      <c r="O107" s="753" t="e">
        <f>IF($C107="other",$C$7*L107,(VLOOKUP($C107,'S3 - Screening Tool Metrics'!$C$3:$G$17,5,FALSE)/100)*L107)</f>
        <v>#N/A</v>
      </c>
      <c r="P107" s="753" t="e">
        <f t="shared" si="70"/>
        <v>#N/A</v>
      </c>
      <c r="Q107" s="776">
        <f t="shared" si="87"/>
        <v>931622.1333333333</v>
      </c>
      <c r="R107" s="753" t="e">
        <f>VLOOKUP("*"&amp;$B107&amp;"*",'S4 - Summ PRS Characteristics'!$C$21:$Q$28,12,FALSE)*$J107</f>
        <v>#N/A</v>
      </c>
      <c r="S107" s="753" t="e">
        <f t="shared" si="95"/>
        <v>#N/A</v>
      </c>
      <c r="T107" s="753" t="e">
        <f>IF($C107="other",(1-$C104)*R107,(1-(VLOOKUP($C107,'S3 - Screening Tool Metrics'!$C$3:$G$17,5,FALSE)/100))*R107)</f>
        <v>#N/A</v>
      </c>
      <c r="U107" s="753" t="e">
        <f>IF($C107="other",$C104*R107,(VLOOKUP($C107,'S3 - Screening Tool Metrics'!$C$3:$G$17,5,FALSE)/100)*R107)</f>
        <v>#N/A</v>
      </c>
      <c r="V107" s="777" t="e">
        <f t="shared" si="88"/>
        <v>#N/A</v>
      </c>
      <c r="W107" s="753">
        <f t="shared" si="89"/>
        <v>465811.06666666665</v>
      </c>
      <c r="X107" s="753" t="e">
        <f>VLOOKUP("*"&amp;$B107&amp;"*",'S4 - Summ PRS Characteristics'!$C$21:$Q$28,13,FALSE)*$J107</f>
        <v>#N/A</v>
      </c>
      <c r="Y107" s="753" t="e">
        <f t="shared" si="96"/>
        <v>#N/A</v>
      </c>
      <c r="Z107" s="753" t="e">
        <f>IF($C107="other",(1-$C104)*X107,(1-(VLOOKUP($C107,'S3 - Screening Tool Metrics'!$C$3:$G$17,5,FALSE)/100))*X107)</f>
        <v>#N/A</v>
      </c>
      <c r="AA107" s="753" t="e">
        <f>IF($C107="other",$C104*X107,(VLOOKUP($C107,'S3 - Screening Tool Metrics'!$C$3:$G$17,5,FALSE)/100)*X107)</f>
        <v>#N/A</v>
      </c>
      <c r="AB107" s="777" t="e">
        <f t="shared" si="90"/>
        <v>#N/A</v>
      </c>
      <c r="AC107" s="776">
        <f t="shared" si="91"/>
        <v>232905.53333333333</v>
      </c>
      <c r="AD107" s="753"/>
      <c r="AE107" s="753">
        <f t="shared" ref="AE107:AE118" si="98">$J107-AD107</f>
        <v>173</v>
      </c>
      <c r="AF107" s="753">
        <f>IF($C107="other",(1-$C104)*AD107,(1-(VLOOKUP($C107,'S3 - Screening Tool Metrics'!$C$3:$G$17,5,FALSE)/100))*AD107)</f>
        <v>0</v>
      </c>
      <c r="AG107" s="753">
        <f>IF($C107="other",$C104*AD107,(VLOOKUP($C107,'S3 - Screening Tool Metrics'!$C$3:$G$17,5,FALSE)/100)*AD107)</f>
        <v>0</v>
      </c>
      <c r="AH107" s="777">
        <f t="shared" si="92"/>
        <v>0</v>
      </c>
      <c r="AI107" s="776">
        <f t="shared" si="93"/>
        <v>46581.106666666659</v>
      </c>
      <c r="AJ107" s="753"/>
      <c r="AK107" s="753">
        <f t="shared" si="97"/>
        <v>173</v>
      </c>
      <c r="AL107" s="753">
        <f>IF($C107="other",(1-$C104)*AJ107,(1-(VLOOKUP($C107,'S3 - Screening Tool Metrics'!$C$3:$G$17,5,FALSE)/100))*AJ107)</f>
        <v>0</v>
      </c>
      <c r="AM107" s="753">
        <f>IF($C107="other",$C104*AJ107,(VLOOKUP($C107,'S3 - Screening Tool Metrics'!$C$3:$G$17,5,FALSE)/100)*AJ107)</f>
        <v>0</v>
      </c>
      <c r="AN107" s="778">
        <f t="shared" si="94"/>
        <v>0</v>
      </c>
    </row>
    <row r="108" spans="2:40" ht="17" hidden="1" thickBot="1" x14ac:dyDescent="0.25">
      <c r="B108" s="768" t="s">
        <v>15</v>
      </c>
      <c r="C108" s="779" t="str">
        <f>$C105</f>
        <v>Other</v>
      </c>
      <c r="D108" s="780" t="s">
        <v>195</v>
      </c>
      <c r="E108" s="781">
        <f>VLOOKUP($B108&amp;"_"&amp;$D108,'App5 - CRUK Inci Rates'!C:H,6,FALSE)</f>
        <v>9.1999999999999993</v>
      </c>
      <c r="F108" s="782">
        <f>VLOOKUP($B108&amp;"_"&amp;$D108,'App5 - CRUK Inci Rates'!C:H,3,FALSE)</f>
        <v>4.0999999999999996</v>
      </c>
      <c r="G108" s="783">
        <f>VLOOKUP($B108&amp;"_"&amp;$D108,'App5 - CRUK Inci Rates'!C:J,8,FALSE)</f>
        <v>4181606</v>
      </c>
      <c r="H108" s="784">
        <f>VLOOKUP($B108&amp;"_"&amp;$D108,'App5 - CRUK Inci Rates'!C:J,7,FALSE)</f>
        <v>2061918.6666666667</v>
      </c>
      <c r="I108" s="784">
        <f>VLOOKUP($B108&amp;"_"&amp;$D108,'App5 - CRUK Inci Rates'!C:J,4,FALSE)</f>
        <v>2119687.3333333335</v>
      </c>
      <c r="J108" s="778">
        <f>VLOOKUP($B108&amp;"_"&amp;$D108,'App5 - CRUK Inci Rates'!C:K,9,FALSE)</f>
        <v>276</v>
      </c>
      <c r="K108" s="753">
        <f t="shared" si="68"/>
        <v>2090803</v>
      </c>
      <c r="L108" s="753" t="e">
        <f>VLOOKUP("*"&amp;$B108&amp;"*",'S4 - Summ PRS Characteristics'!$C$21:$Q$28,11,FALSE)*$J108</f>
        <v>#N/A</v>
      </c>
      <c r="M108" s="753" t="e">
        <f t="shared" si="69"/>
        <v>#N/A</v>
      </c>
      <c r="N108" s="753" t="e">
        <f>IF($C108="other",(1-$C$7)*L108,(1-(VLOOKUP($C108,'S3 - Screening Tool Metrics'!$C$3:$G$17,5,FALSE)/100))*L108)</f>
        <v>#N/A</v>
      </c>
      <c r="O108" s="753" t="e">
        <f>IF($C108="other",$C$7*L108,(VLOOKUP($C108,'S3 - Screening Tool Metrics'!$C$3:$G$17,5,FALSE)/100)*L108)</f>
        <v>#N/A</v>
      </c>
      <c r="P108" s="753" t="e">
        <f t="shared" si="70"/>
        <v>#N/A</v>
      </c>
      <c r="Q108" s="776">
        <f t="shared" si="87"/>
        <v>836321.20000000007</v>
      </c>
      <c r="R108" s="753" t="e">
        <f>VLOOKUP("*"&amp;$B108&amp;"*",'S4 - Summ PRS Characteristics'!$C$21:$Q$28,12,FALSE)*$J108</f>
        <v>#N/A</v>
      </c>
      <c r="S108" s="753" t="e">
        <f t="shared" si="95"/>
        <v>#N/A</v>
      </c>
      <c r="T108" s="753" t="e">
        <f>IF($C108="other",(1-$C104)*R108,(1-(VLOOKUP($C108,'S3 - Screening Tool Metrics'!$C$3:$G$17,5,FALSE)/100))*R108)</f>
        <v>#N/A</v>
      </c>
      <c r="U108" s="753" t="e">
        <f>IF($C108="other",$C104*R108,(VLOOKUP($C108,'S3 - Screening Tool Metrics'!$C$3:$G$17,5,FALSE)/100)*R108)</f>
        <v>#N/A</v>
      </c>
      <c r="V108" s="777" t="e">
        <f t="shared" si="88"/>
        <v>#N/A</v>
      </c>
      <c r="W108" s="753">
        <f t="shared" si="89"/>
        <v>418160.60000000003</v>
      </c>
      <c r="X108" s="753" t="e">
        <f>VLOOKUP("*"&amp;$B108&amp;"*",'S4 - Summ PRS Characteristics'!$C$21:$Q$28,13,FALSE)*$J108</f>
        <v>#N/A</v>
      </c>
      <c r="Y108" s="753" t="e">
        <f t="shared" si="96"/>
        <v>#N/A</v>
      </c>
      <c r="Z108" s="753" t="e">
        <f>IF($C108="other",(1-$C104)*X108,(1-(VLOOKUP($C108,'S3 - Screening Tool Metrics'!$C$3:$G$17,5,FALSE)/100))*X108)</f>
        <v>#N/A</v>
      </c>
      <c r="AA108" s="753" t="e">
        <f>IF($C108="other",$C104*X108,(VLOOKUP($C108,'S3 - Screening Tool Metrics'!$C$3:$G$17,5,FALSE)/100)*X108)</f>
        <v>#N/A</v>
      </c>
      <c r="AB108" s="777" t="e">
        <f t="shared" si="90"/>
        <v>#N/A</v>
      </c>
      <c r="AC108" s="776">
        <f t="shared" si="91"/>
        <v>209080.30000000002</v>
      </c>
      <c r="AD108" s="753"/>
      <c r="AE108" s="753">
        <f t="shared" si="98"/>
        <v>276</v>
      </c>
      <c r="AF108" s="753">
        <f>IF($C108="other",(1-$C104)*AD108,(1-(VLOOKUP($C108,'S3 - Screening Tool Metrics'!$C$3:$G$17,5,FALSE)/100))*AD108)</f>
        <v>0</v>
      </c>
      <c r="AG108" s="753">
        <f>IF($C108="other",$C104*AD108,(VLOOKUP($C108,'S3 - Screening Tool Metrics'!$C$3:$G$17,5,FALSE)/100)*AD108)</f>
        <v>0</v>
      </c>
      <c r="AH108" s="777">
        <f t="shared" si="92"/>
        <v>0</v>
      </c>
      <c r="AI108" s="776">
        <f t="shared" si="93"/>
        <v>41816.06</v>
      </c>
      <c r="AJ108" s="753"/>
      <c r="AK108" s="753">
        <f t="shared" si="97"/>
        <v>276</v>
      </c>
      <c r="AL108" s="753">
        <f>IF($C108="other",(1-$C104)*AJ108,(1-(VLOOKUP($C108,'S3 - Screening Tool Metrics'!$C$3:$G$17,5,FALSE)/100))*AJ108)</f>
        <v>0</v>
      </c>
      <c r="AM108" s="753">
        <f>IF($C108="other",$C104*AJ108,(VLOOKUP($C108,'S3 - Screening Tool Metrics'!$C$3:$G$17,5,FALSE)/100)*AJ108)</f>
        <v>0</v>
      </c>
      <c r="AN108" s="778">
        <f t="shared" si="94"/>
        <v>0</v>
      </c>
    </row>
    <row r="109" spans="2:40" ht="17" hidden="1" thickBot="1" x14ac:dyDescent="0.25">
      <c r="B109" s="768" t="s">
        <v>15</v>
      </c>
      <c r="C109" s="779" t="str">
        <f>$C105</f>
        <v>Other</v>
      </c>
      <c r="D109" s="780" t="s">
        <v>196</v>
      </c>
      <c r="E109" s="781">
        <f>VLOOKUP($B109&amp;"_"&amp;$D109,'App5 - CRUK Inci Rates'!C:H,6,FALSE)</f>
        <v>15</v>
      </c>
      <c r="F109" s="782">
        <f>VLOOKUP($B109&amp;"_"&amp;$D109,'App5 - CRUK Inci Rates'!C:H,3,FALSE)</f>
        <v>7.6</v>
      </c>
      <c r="G109" s="783">
        <f>VLOOKUP($B109&amp;"_"&amp;$D109,'App5 - CRUK Inci Rates'!C:J,8,FALSE)</f>
        <v>3602002</v>
      </c>
      <c r="H109" s="784">
        <f>VLOOKUP($B109&amp;"_"&amp;$D109,'App5 - CRUK Inci Rates'!C:J,7,FALSE)</f>
        <v>1764828</v>
      </c>
      <c r="I109" s="784">
        <f>VLOOKUP($B109&amp;"_"&amp;$D109,'App5 - CRUK Inci Rates'!C:J,4,FALSE)</f>
        <v>1837174</v>
      </c>
      <c r="J109" s="778">
        <f>VLOOKUP($B109&amp;"_"&amp;$D109,'App5 - CRUK Inci Rates'!C:K,9,FALSE)</f>
        <v>404</v>
      </c>
      <c r="K109" s="753">
        <f t="shared" si="68"/>
        <v>1801001</v>
      </c>
      <c r="L109" s="753" t="e">
        <f>VLOOKUP("*"&amp;$B109&amp;"*",'S4 - Summ PRS Characteristics'!$C$21:$Q$28,11,FALSE)*$J109</f>
        <v>#N/A</v>
      </c>
      <c r="M109" s="753" t="e">
        <f t="shared" si="69"/>
        <v>#N/A</v>
      </c>
      <c r="N109" s="753" t="e">
        <f>IF($C109="other",(1-$C$7)*L109,(1-(VLOOKUP($C109,'S3 - Screening Tool Metrics'!$C$3:$G$17,5,FALSE)/100))*L109)</f>
        <v>#N/A</v>
      </c>
      <c r="O109" s="753" t="e">
        <f>IF($C109="other",$C$7*L109,(VLOOKUP($C109,'S3 - Screening Tool Metrics'!$C$3:$G$17,5,FALSE)/100)*L109)</f>
        <v>#N/A</v>
      </c>
      <c r="P109" s="753" t="e">
        <f t="shared" si="70"/>
        <v>#N/A</v>
      </c>
      <c r="Q109" s="776">
        <f t="shared" si="87"/>
        <v>720400.4</v>
      </c>
      <c r="R109" s="753" t="e">
        <f>VLOOKUP("*"&amp;$B109&amp;"*",'S4 - Summ PRS Characteristics'!$C$21:$Q$28,12,FALSE)*$J109</f>
        <v>#N/A</v>
      </c>
      <c r="S109" s="753" t="e">
        <f t="shared" si="95"/>
        <v>#N/A</v>
      </c>
      <c r="T109" s="753" t="e">
        <f>IF($C109="other",(1-$C104)*R109,(1-(VLOOKUP($C109,'S3 - Screening Tool Metrics'!$C$3:$G$17,5,FALSE)/100))*R109)</f>
        <v>#N/A</v>
      </c>
      <c r="U109" s="753" t="e">
        <f>IF($C109="other",$C104*R109,(VLOOKUP($C109,'S3 - Screening Tool Metrics'!$C$3:$G$17,5,FALSE)/100)*R109)</f>
        <v>#N/A</v>
      </c>
      <c r="V109" s="777" t="e">
        <f t="shared" si="88"/>
        <v>#N/A</v>
      </c>
      <c r="W109" s="753">
        <f t="shared" si="89"/>
        <v>360200.2</v>
      </c>
      <c r="X109" s="753" t="e">
        <f>VLOOKUP("*"&amp;$B109&amp;"*",'S4 - Summ PRS Characteristics'!$C$21:$Q$28,13,FALSE)*$J109</f>
        <v>#N/A</v>
      </c>
      <c r="Y109" s="753" t="e">
        <f t="shared" si="96"/>
        <v>#N/A</v>
      </c>
      <c r="Z109" s="753" t="e">
        <f>IF($C109="other",(1-$C104)*X109,(1-(VLOOKUP($C109,'S3 - Screening Tool Metrics'!$C$3:$G$17,5,FALSE)/100))*X109)</f>
        <v>#N/A</v>
      </c>
      <c r="AA109" s="753" t="e">
        <f>IF($C109="other",$C104*X109,(VLOOKUP($C109,'S3 - Screening Tool Metrics'!$C$3:$G$17,5,FALSE)/100)*X109)</f>
        <v>#N/A</v>
      </c>
      <c r="AB109" s="777" t="e">
        <f t="shared" si="90"/>
        <v>#N/A</v>
      </c>
      <c r="AC109" s="776">
        <f t="shared" si="91"/>
        <v>180100.1</v>
      </c>
      <c r="AD109" s="753"/>
      <c r="AE109" s="753">
        <f t="shared" si="98"/>
        <v>404</v>
      </c>
      <c r="AF109" s="753">
        <f>IF($C109="other",(1-$C104)*AD109,(1-(VLOOKUP($C109,'S3 - Screening Tool Metrics'!$C$3:$G$17,5,FALSE)/100))*AD109)</f>
        <v>0</v>
      </c>
      <c r="AG109" s="753">
        <f>IF($C109="other",$C104*AD109,(VLOOKUP($C109,'S3 - Screening Tool Metrics'!$C$3:$G$17,5,FALSE)/100)*AD109)</f>
        <v>0</v>
      </c>
      <c r="AH109" s="777">
        <f t="shared" si="92"/>
        <v>0</v>
      </c>
      <c r="AI109" s="776">
        <f t="shared" si="93"/>
        <v>36020.020000000004</v>
      </c>
      <c r="AJ109" s="753"/>
      <c r="AK109" s="753">
        <f t="shared" si="97"/>
        <v>404</v>
      </c>
      <c r="AL109" s="753">
        <f>IF($C109="other",(1-$C104)*AJ109,(1-(VLOOKUP($C109,'S3 - Screening Tool Metrics'!$C$3:$G$17,5,FALSE)/100))*AJ109)</f>
        <v>0</v>
      </c>
      <c r="AM109" s="753">
        <f>IF($C109="other",$C104*AJ109,(VLOOKUP($C109,'S3 - Screening Tool Metrics'!$C$3:$G$17,5,FALSE)/100)*AJ109)</f>
        <v>0</v>
      </c>
      <c r="AN109" s="778">
        <f t="shared" si="94"/>
        <v>0</v>
      </c>
    </row>
    <row r="110" spans="2:40" ht="17" hidden="1" thickBot="1" x14ac:dyDescent="0.25">
      <c r="B110" s="768" t="s">
        <v>15</v>
      </c>
      <c r="C110" s="779" t="str">
        <f>$C105</f>
        <v>Other</v>
      </c>
      <c r="D110" s="780" t="s">
        <v>197</v>
      </c>
      <c r="E110" s="781">
        <f>VLOOKUP($B110&amp;"_"&amp;$D110,'App5 - CRUK Inci Rates'!C:H,6,FALSE)</f>
        <v>22.7</v>
      </c>
      <c r="F110" s="782">
        <f>VLOOKUP($B110&amp;"_"&amp;$D110,'App5 - CRUK Inci Rates'!C:H,3,FALSE)</f>
        <v>11.3</v>
      </c>
      <c r="G110" s="783">
        <f>VLOOKUP($B110&amp;"_"&amp;$D110,'App5 - CRUK Inci Rates'!C:J,8,FALSE)</f>
        <v>3502183.333333333</v>
      </c>
      <c r="H110" s="784">
        <f>VLOOKUP($B110&amp;"_"&amp;$D110,'App5 - CRUK Inci Rates'!C:J,7,FALSE)</f>
        <v>1696993.3333333333</v>
      </c>
      <c r="I110" s="784">
        <f>VLOOKUP($B110&amp;"_"&amp;$D110,'App5 - CRUK Inci Rates'!C:J,4,FALSE)</f>
        <v>1805190</v>
      </c>
      <c r="J110" s="778">
        <f>VLOOKUP($B110&amp;"_"&amp;$D110,'App5 - CRUK Inci Rates'!C:K,9,FALSE)</f>
        <v>589</v>
      </c>
      <c r="K110" s="753">
        <f t="shared" si="68"/>
        <v>1751091.6666666665</v>
      </c>
      <c r="L110" s="753" t="e">
        <f>VLOOKUP("*"&amp;$B110&amp;"*",'S4 - Summ PRS Characteristics'!$C$21:$Q$28,11,FALSE)*$J110</f>
        <v>#N/A</v>
      </c>
      <c r="M110" s="753" t="e">
        <f t="shared" si="69"/>
        <v>#N/A</v>
      </c>
      <c r="N110" s="753" t="e">
        <f>IF($C110="other",(1-$C$7)*L110,(1-(VLOOKUP($C110,'S3 - Screening Tool Metrics'!$C$3:$G$17,5,FALSE)/100))*L110)</f>
        <v>#N/A</v>
      </c>
      <c r="O110" s="753" t="e">
        <f>IF($C110="other",$C$7*L110,(VLOOKUP($C110,'S3 - Screening Tool Metrics'!$C$3:$G$17,5,FALSE)/100)*L110)</f>
        <v>#N/A</v>
      </c>
      <c r="P110" s="753" t="e">
        <f t="shared" si="70"/>
        <v>#N/A</v>
      </c>
      <c r="Q110" s="776">
        <f t="shared" si="87"/>
        <v>700436.66666666663</v>
      </c>
      <c r="R110" s="753" t="e">
        <f>VLOOKUP("*"&amp;$B110&amp;"*",'S4 - Summ PRS Characteristics'!$C$21:$Q$28,12,FALSE)*$J110</f>
        <v>#N/A</v>
      </c>
      <c r="S110" s="753" t="e">
        <f t="shared" si="95"/>
        <v>#N/A</v>
      </c>
      <c r="T110" s="753" t="e">
        <f>IF($C110="other",(1-$C104)*R110,(1-(VLOOKUP($C110,'S3 - Screening Tool Metrics'!$C$3:$G$17,5,FALSE)/100))*R110)</f>
        <v>#N/A</v>
      </c>
      <c r="U110" s="753" t="e">
        <f>IF($C110="other",$C104*R110,(VLOOKUP($C110,'S3 - Screening Tool Metrics'!$C$3:$G$17,5,FALSE)/100)*R110)</f>
        <v>#N/A</v>
      </c>
      <c r="V110" s="777" t="e">
        <f t="shared" si="88"/>
        <v>#N/A</v>
      </c>
      <c r="W110" s="753">
        <f t="shared" si="89"/>
        <v>350218.33333333331</v>
      </c>
      <c r="X110" s="753" t="e">
        <f>VLOOKUP("*"&amp;$B110&amp;"*",'S4 - Summ PRS Characteristics'!$C$21:$Q$28,13,FALSE)*$J110</f>
        <v>#N/A</v>
      </c>
      <c r="Y110" s="753" t="e">
        <f t="shared" si="96"/>
        <v>#N/A</v>
      </c>
      <c r="Z110" s="753" t="e">
        <f>IF($C110="other",(1-$C104)*X110,(1-(VLOOKUP($C110,'S3 - Screening Tool Metrics'!$C$3:$G$17,5,FALSE)/100))*X110)</f>
        <v>#N/A</v>
      </c>
      <c r="AA110" s="753" t="e">
        <f>IF($C110="other",$C104*X110,(VLOOKUP($C110,'S3 - Screening Tool Metrics'!$C$3:$G$17,5,FALSE)/100)*X110)</f>
        <v>#N/A</v>
      </c>
      <c r="AB110" s="777" t="e">
        <f t="shared" si="90"/>
        <v>#N/A</v>
      </c>
      <c r="AC110" s="776">
        <f t="shared" si="91"/>
        <v>175109.16666666666</v>
      </c>
      <c r="AD110" s="753"/>
      <c r="AE110" s="753">
        <f t="shared" si="98"/>
        <v>589</v>
      </c>
      <c r="AF110" s="753">
        <f>IF($C110="other",(1-$C104)*AD110,(1-(VLOOKUP($C110,'S3 - Screening Tool Metrics'!$C$3:$G$17,5,FALSE)/100))*AD110)</f>
        <v>0</v>
      </c>
      <c r="AG110" s="753">
        <f>IF($C110="other",$C104*AD110,(VLOOKUP($C110,'S3 - Screening Tool Metrics'!$C$3:$G$17,5,FALSE)/100)*AD110)</f>
        <v>0</v>
      </c>
      <c r="AH110" s="777">
        <f t="shared" si="92"/>
        <v>0</v>
      </c>
      <c r="AI110" s="776">
        <f t="shared" si="93"/>
        <v>35021.833333333328</v>
      </c>
      <c r="AJ110" s="753"/>
      <c r="AK110" s="753">
        <f t="shared" si="97"/>
        <v>589</v>
      </c>
      <c r="AL110" s="753">
        <f>IF($C110="other",(1-$C104)*AJ110,(1-(VLOOKUP($C110,'S3 - Screening Tool Metrics'!$C$3:$G$17,5,FALSE)/100))*AJ110)</f>
        <v>0</v>
      </c>
      <c r="AM110" s="753">
        <f>IF($C110="other",$C104*AJ110,(VLOOKUP($C110,'S3 - Screening Tool Metrics'!$C$3:$G$17,5,FALSE)/100)*AJ110)</f>
        <v>0</v>
      </c>
      <c r="AN110" s="778">
        <f t="shared" si="94"/>
        <v>0</v>
      </c>
    </row>
    <row r="111" spans="2:40" ht="17" hidden="1" thickBot="1" x14ac:dyDescent="0.25">
      <c r="B111" s="768" t="s">
        <v>15</v>
      </c>
      <c r="C111" s="779" t="str">
        <f>$C105</f>
        <v>Other</v>
      </c>
      <c r="D111" s="780" t="s">
        <v>198</v>
      </c>
      <c r="E111" s="781">
        <f>VLOOKUP($B111&amp;"_"&amp;$D111,'App5 - CRUK Inci Rates'!C:H,6,FALSE)</f>
        <v>29.2</v>
      </c>
      <c r="F111" s="782">
        <f>VLOOKUP($B111&amp;"_"&amp;$D111,'App5 - CRUK Inci Rates'!C:H,3,FALSE)</f>
        <v>15.3</v>
      </c>
      <c r="G111" s="783">
        <f>VLOOKUP($B111&amp;"_"&amp;$D111,'App5 - CRUK Inci Rates'!C:J,8,FALSE)</f>
        <v>3071574.666666667</v>
      </c>
      <c r="H111" s="784">
        <f>VLOOKUP($B111&amp;"_"&amp;$D111,'App5 - CRUK Inci Rates'!C:J,7,FALSE)</f>
        <v>1467965</v>
      </c>
      <c r="I111" s="784">
        <f>VLOOKUP($B111&amp;"_"&amp;$D111,'App5 - CRUK Inci Rates'!C:J,4,FALSE)</f>
        <v>1603609.6666666667</v>
      </c>
      <c r="J111" s="778">
        <f>VLOOKUP($B111&amp;"_"&amp;$D111,'App5 - CRUK Inci Rates'!C:K,9,FALSE)</f>
        <v>674</v>
      </c>
      <c r="K111" s="753">
        <f t="shared" si="68"/>
        <v>1535787.3333333335</v>
      </c>
      <c r="L111" s="753" t="e">
        <f>VLOOKUP("*"&amp;$B111&amp;"*",'S4 - Summ PRS Characteristics'!$C$21:$Q$28,11,FALSE)*$J111</f>
        <v>#N/A</v>
      </c>
      <c r="M111" s="753" t="e">
        <f t="shared" si="69"/>
        <v>#N/A</v>
      </c>
      <c r="N111" s="753" t="e">
        <f>IF($C111="other",(1-$C$7)*L111,(1-(VLOOKUP($C111,'S3 - Screening Tool Metrics'!$C$3:$G$17,5,FALSE)/100))*L111)</f>
        <v>#N/A</v>
      </c>
      <c r="O111" s="753" t="e">
        <f>IF($C111="other",$C$7*L111,(VLOOKUP($C111,'S3 - Screening Tool Metrics'!$C$3:$G$17,5,FALSE)/100)*L111)</f>
        <v>#N/A</v>
      </c>
      <c r="P111" s="753" t="e">
        <f t="shared" si="70"/>
        <v>#N/A</v>
      </c>
      <c r="Q111" s="776">
        <f t="shared" si="87"/>
        <v>614314.93333333347</v>
      </c>
      <c r="R111" s="753" t="e">
        <f>VLOOKUP("*"&amp;$B111&amp;"*",'S4 - Summ PRS Characteristics'!$C$21:$Q$28,12,FALSE)*$J111</f>
        <v>#N/A</v>
      </c>
      <c r="S111" s="753" t="e">
        <f t="shared" si="95"/>
        <v>#N/A</v>
      </c>
      <c r="T111" s="753" t="e">
        <f>IF($C111="other",(1-$C104)*R111,(1-(VLOOKUP($C111,'S3 - Screening Tool Metrics'!$C$3:$G$17,5,FALSE)/100))*R111)</f>
        <v>#N/A</v>
      </c>
      <c r="U111" s="753" t="e">
        <f>IF($C111="other",$C104*R111,(VLOOKUP($C111,'S3 - Screening Tool Metrics'!$C$3:$G$17,5,FALSE)/100)*R111)</f>
        <v>#N/A</v>
      </c>
      <c r="V111" s="777" t="e">
        <f t="shared" si="88"/>
        <v>#N/A</v>
      </c>
      <c r="W111" s="753">
        <f t="shared" si="89"/>
        <v>307157.46666666673</v>
      </c>
      <c r="X111" s="753" t="e">
        <f>VLOOKUP("*"&amp;$B111&amp;"*",'S4 - Summ PRS Characteristics'!$C$21:$Q$28,13,FALSE)*$J111</f>
        <v>#N/A</v>
      </c>
      <c r="Y111" s="753" t="e">
        <f t="shared" si="96"/>
        <v>#N/A</v>
      </c>
      <c r="Z111" s="753" t="e">
        <f>IF($C111="other",(1-$C104)*X111,(1-(VLOOKUP($C111,'S3 - Screening Tool Metrics'!$C$3:$G$17,5,FALSE)/100))*X111)</f>
        <v>#N/A</v>
      </c>
      <c r="AA111" s="753" t="e">
        <f>IF($C111="other",$C104*X111,(VLOOKUP($C111,'S3 - Screening Tool Metrics'!$C$3:$G$17,5,FALSE)/100)*X111)</f>
        <v>#N/A</v>
      </c>
      <c r="AB111" s="777" t="e">
        <f t="shared" si="90"/>
        <v>#N/A</v>
      </c>
      <c r="AC111" s="776">
        <f t="shared" si="91"/>
        <v>153578.73333333337</v>
      </c>
      <c r="AD111" s="753"/>
      <c r="AE111" s="753">
        <f t="shared" si="98"/>
        <v>674</v>
      </c>
      <c r="AF111" s="753">
        <f>IF($C111="other",(1-$C104)*AD111,(1-(VLOOKUP($C111,'S3 - Screening Tool Metrics'!$C$3:$G$17,5,FALSE)/100))*AD111)</f>
        <v>0</v>
      </c>
      <c r="AG111" s="753">
        <f>IF($C111="other",$C104*AD111,(VLOOKUP($C111,'S3 - Screening Tool Metrics'!$C$3:$G$17,5,FALSE)/100)*AD111)</f>
        <v>0</v>
      </c>
      <c r="AH111" s="777">
        <f t="shared" si="92"/>
        <v>0</v>
      </c>
      <c r="AI111" s="776">
        <f t="shared" si="93"/>
        <v>30715.74666666667</v>
      </c>
      <c r="AJ111" s="753"/>
      <c r="AK111" s="753">
        <f t="shared" si="97"/>
        <v>674</v>
      </c>
      <c r="AL111" s="753">
        <f>IF($C111="other",(1-$C104)*AJ111,(1-(VLOOKUP($C111,'S3 - Screening Tool Metrics'!$C$3:$G$17,5,FALSE)/100))*AJ111)</f>
        <v>0</v>
      </c>
      <c r="AM111" s="753">
        <f>IF($C111="other",$C104*AJ111,(VLOOKUP($C111,'S3 - Screening Tool Metrics'!$C$3:$G$17,5,FALSE)/100)*AJ111)</f>
        <v>0</v>
      </c>
      <c r="AN111" s="778">
        <f t="shared" si="94"/>
        <v>0</v>
      </c>
    </row>
    <row r="112" spans="2:40" ht="17" hidden="1" thickBot="1" x14ac:dyDescent="0.25">
      <c r="B112" s="768" t="s">
        <v>15</v>
      </c>
      <c r="C112" s="779" t="str">
        <f>$C105</f>
        <v>Other</v>
      </c>
      <c r="D112" s="780" t="s">
        <v>199</v>
      </c>
      <c r="E112" s="781">
        <f>VLOOKUP($B112&amp;"_"&amp;$D112,'App5 - CRUK Inci Rates'!C:H,6,FALSE)</f>
        <v>35.799999999999997</v>
      </c>
      <c r="F112" s="782">
        <f>VLOOKUP($B112&amp;"_"&amp;$D112,'App5 - CRUK Inci Rates'!C:H,3,FALSE)</f>
        <v>18.2</v>
      </c>
      <c r="G112" s="783">
        <f>VLOOKUP($B112&amp;"_"&amp;$D112,'App5 - CRUK Inci Rates'!C:J,8,FALSE)</f>
        <v>2189010.6666666665</v>
      </c>
      <c r="H112" s="784">
        <f>VLOOKUP($B112&amp;"_"&amp;$D112,'App5 - CRUK Inci Rates'!C:J,7,FALSE)</f>
        <v>1007365.3333333334</v>
      </c>
      <c r="I112" s="784">
        <f>VLOOKUP($B112&amp;"_"&amp;$D112,'App5 - CRUK Inci Rates'!C:J,4,FALSE)</f>
        <v>1181645.3333333333</v>
      </c>
      <c r="J112" s="778">
        <f>VLOOKUP($B112&amp;"_"&amp;$D112,'App5 - CRUK Inci Rates'!C:K,9,FALSE)</f>
        <v>576</v>
      </c>
      <c r="K112" s="753">
        <f t="shared" si="68"/>
        <v>1094505.3333333333</v>
      </c>
      <c r="L112" s="753" t="e">
        <f>VLOOKUP("*"&amp;$B112&amp;"*",'S4 - Summ PRS Characteristics'!$C$21:$Q$28,11,FALSE)*$J112</f>
        <v>#N/A</v>
      </c>
      <c r="M112" s="753" t="e">
        <f t="shared" si="69"/>
        <v>#N/A</v>
      </c>
      <c r="N112" s="753" t="e">
        <f>IF($C112="other",(1-$C$7)*L112,(1-(VLOOKUP($C112,'S3 - Screening Tool Metrics'!$C$3:$G$17,5,FALSE)/100))*L112)</f>
        <v>#N/A</v>
      </c>
      <c r="O112" s="753" t="e">
        <f>IF($C112="other",$C$7*L112,(VLOOKUP($C112,'S3 - Screening Tool Metrics'!$C$3:$G$17,5,FALSE)/100)*L112)</f>
        <v>#N/A</v>
      </c>
      <c r="P112" s="753" t="e">
        <f t="shared" si="70"/>
        <v>#N/A</v>
      </c>
      <c r="Q112" s="776">
        <f t="shared" si="87"/>
        <v>437802.1333333333</v>
      </c>
      <c r="R112" s="753" t="e">
        <f>VLOOKUP("*"&amp;$B112&amp;"*",'S4 - Summ PRS Characteristics'!$C$21:$Q$28,12,FALSE)*$J112</f>
        <v>#N/A</v>
      </c>
      <c r="S112" s="753" t="e">
        <f t="shared" si="95"/>
        <v>#N/A</v>
      </c>
      <c r="T112" s="753" t="e">
        <f>IF($C112="other",(1-$C104)*R112,(1-(VLOOKUP($C112,'S3 - Screening Tool Metrics'!$C$3:$G$17,5,FALSE)/100))*R112)</f>
        <v>#N/A</v>
      </c>
      <c r="U112" s="753" t="e">
        <f>IF($C112="other",$C104*R112,(VLOOKUP($C112,'S3 - Screening Tool Metrics'!$C$3:$G$17,5,FALSE)/100)*R112)</f>
        <v>#N/A</v>
      </c>
      <c r="V112" s="777" t="e">
        <f t="shared" si="88"/>
        <v>#N/A</v>
      </c>
      <c r="W112" s="753">
        <f t="shared" si="89"/>
        <v>218901.06666666665</v>
      </c>
      <c r="X112" s="753" t="e">
        <f>VLOOKUP("*"&amp;$B112&amp;"*",'S4 - Summ PRS Characteristics'!$C$21:$Q$28,13,FALSE)*$J112</f>
        <v>#N/A</v>
      </c>
      <c r="Y112" s="753" t="e">
        <f t="shared" si="96"/>
        <v>#N/A</v>
      </c>
      <c r="Z112" s="753" t="e">
        <f>IF($C112="other",(1-$C104)*X112,(1-(VLOOKUP($C112,'S3 - Screening Tool Metrics'!$C$3:$G$17,5,FALSE)/100))*X112)</f>
        <v>#N/A</v>
      </c>
      <c r="AA112" s="753" t="e">
        <f>IF($C112="other",$C104*X112,(VLOOKUP($C112,'S3 - Screening Tool Metrics'!$C$3:$G$17,5,FALSE)/100)*X112)</f>
        <v>#N/A</v>
      </c>
      <c r="AB112" s="777" t="e">
        <f t="shared" si="90"/>
        <v>#N/A</v>
      </c>
      <c r="AC112" s="776">
        <f t="shared" si="91"/>
        <v>109450.53333333333</v>
      </c>
      <c r="AD112" s="753"/>
      <c r="AE112" s="753">
        <f t="shared" si="98"/>
        <v>576</v>
      </c>
      <c r="AF112" s="753">
        <f>IF($C112="other",(1-$C104)*AD112,(1-(VLOOKUP($C112,'S3 - Screening Tool Metrics'!$C$3:$G$17,5,FALSE)/100))*AD112)</f>
        <v>0</v>
      </c>
      <c r="AG112" s="753">
        <f>IF($C112="other",$C104*AD112,(VLOOKUP($C112,'S3 - Screening Tool Metrics'!$C$3:$G$17,5,FALSE)/100)*AD112)</f>
        <v>0</v>
      </c>
      <c r="AH112" s="777">
        <f t="shared" si="92"/>
        <v>0</v>
      </c>
      <c r="AI112" s="776">
        <f t="shared" si="93"/>
        <v>21890.106666666667</v>
      </c>
      <c r="AJ112" s="753"/>
      <c r="AK112" s="753">
        <f t="shared" si="97"/>
        <v>576</v>
      </c>
      <c r="AL112" s="753">
        <f>IF($C112="other",(1-$C104)*AJ112,(1-(VLOOKUP($C112,'S3 - Screening Tool Metrics'!$C$3:$G$17,5,FALSE)/100))*AJ112)</f>
        <v>0</v>
      </c>
      <c r="AM112" s="753">
        <f>IF($C112="other",$C104*AJ112,(VLOOKUP($C112,'S3 - Screening Tool Metrics'!$C$3:$G$17,5,FALSE)/100)*AJ112)</f>
        <v>0</v>
      </c>
      <c r="AN112" s="778">
        <f t="shared" si="94"/>
        <v>0</v>
      </c>
    </row>
    <row r="113" spans="2:40" ht="17" hidden="1" thickBot="1" x14ac:dyDescent="0.25">
      <c r="B113" s="768" t="s">
        <v>15</v>
      </c>
      <c r="C113" s="779" t="str">
        <f>$C105</f>
        <v>Other</v>
      </c>
      <c r="D113" s="780" t="s">
        <v>200</v>
      </c>
      <c r="E113" s="781">
        <f>VLOOKUP($B113&amp;"_"&amp;$D113,'App5 - CRUK Inci Rates'!C:H,6,FALSE)</f>
        <v>8.7177487409166687</v>
      </c>
      <c r="F113" s="782">
        <f>VLOOKUP($B113&amp;"_"&amp;$D113,'App5 - CRUK Inci Rates'!C:H,3,FALSE)</f>
        <v>4.121189540148869</v>
      </c>
      <c r="G113" s="783">
        <f>VLOOKUP($B113&amp;"_"&amp;$D113,'App5 - CRUK Inci Rates'!C:J,8,FALSE)</f>
        <v>24586669.333333336</v>
      </c>
      <c r="H113" s="784">
        <f>VLOOKUP($B113&amp;"_"&amp;$D113,'App5 - CRUK Inci Rates'!C:J,7,FALSE)</f>
        <v>12090277.333333334</v>
      </c>
      <c r="I113" s="784">
        <f>VLOOKUP($B113&amp;"_"&amp;$D113,'App5 - CRUK Inci Rates'!C:J,4,FALSE)</f>
        <v>12496392</v>
      </c>
      <c r="J113" s="778">
        <f>VLOOKUP($B113&amp;"_"&amp;$D113,'App5 - CRUK Inci Rates'!C:K,9,FALSE)</f>
        <v>1569</v>
      </c>
      <c r="K113" s="753">
        <f t="shared" si="68"/>
        <v>12293334.666666668</v>
      </c>
      <c r="L113" s="753" t="e">
        <f>VLOOKUP("*"&amp;$B113&amp;"*",'S4 - Summ PRS Characteristics'!$C$21:$Q$28,11,FALSE)*$J113</f>
        <v>#N/A</v>
      </c>
      <c r="M113" s="753" t="e">
        <f t="shared" si="69"/>
        <v>#N/A</v>
      </c>
      <c r="N113" s="753" t="e">
        <f>IF($C113="other",(1-$C$7)*L113,(1-(VLOOKUP($C113,'S3 - Screening Tool Metrics'!$C$3:$G$17,5,FALSE)/100))*L113)</f>
        <v>#N/A</v>
      </c>
      <c r="O113" s="753" t="e">
        <f>IF($C113="other",$C$7*L113,(VLOOKUP($C113,'S3 - Screening Tool Metrics'!$C$3:$G$17,5,FALSE)/100)*L113)</f>
        <v>#N/A</v>
      </c>
      <c r="P113" s="753" t="e">
        <f t="shared" si="70"/>
        <v>#N/A</v>
      </c>
      <c r="Q113" s="776">
        <f t="shared" si="87"/>
        <v>4917333.8666666672</v>
      </c>
      <c r="R113" s="753" t="e">
        <f>VLOOKUP("*"&amp;$B113&amp;"*",'S4 - Summ PRS Characteristics'!$C$21:$Q$28,12,FALSE)*$J113</f>
        <v>#N/A</v>
      </c>
      <c r="S113" s="753" t="e">
        <f t="shared" si="95"/>
        <v>#N/A</v>
      </c>
      <c r="T113" s="753" t="e">
        <f>IF($C113="other",(1-$C104)*R113,(1-(VLOOKUP($C113,'S3 - Screening Tool Metrics'!$C$3:$G$17,5,FALSE)/100))*R113)</f>
        <v>#N/A</v>
      </c>
      <c r="U113" s="753" t="e">
        <f>IF($C113="other",$C104*R113,(VLOOKUP($C113,'S3 - Screening Tool Metrics'!$C$3:$G$17,5,FALSE)/100)*R113)</f>
        <v>#N/A</v>
      </c>
      <c r="V113" s="777" t="e">
        <f t="shared" si="88"/>
        <v>#N/A</v>
      </c>
      <c r="W113" s="753">
        <f t="shared" si="89"/>
        <v>2458666.9333333336</v>
      </c>
      <c r="X113" s="753" t="e">
        <f>VLOOKUP("*"&amp;$B113&amp;"*",'S4 - Summ PRS Characteristics'!$C$21:$Q$28,13,FALSE)*$J113</f>
        <v>#N/A</v>
      </c>
      <c r="Y113" s="753" t="e">
        <f t="shared" si="96"/>
        <v>#N/A</v>
      </c>
      <c r="Z113" s="753" t="e">
        <f>IF($C113="other",(1-$C104)*X113,(1-(VLOOKUP($C113,'S3 - Screening Tool Metrics'!$C$3:$G$17,5,FALSE)/100))*X113)</f>
        <v>#N/A</v>
      </c>
      <c r="AA113" s="753" t="e">
        <f>IF($C113="other",$C104*X113,(VLOOKUP($C113,'S3 - Screening Tool Metrics'!$C$3:$G$17,5,FALSE)/100)*X113)</f>
        <v>#N/A</v>
      </c>
      <c r="AB113" s="777" t="e">
        <f t="shared" si="90"/>
        <v>#N/A</v>
      </c>
      <c r="AC113" s="776">
        <f t="shared" si="91"/>
        <v>1229333.4666666668</v>
      </c>
      <c r="AD113" s="753"/>
      <c r="AE113" s="753">
        <f t="shared" si="98"/>
        <v>1569</v>
      </c>
      <c r="AF113" s="753">
        <f>IF($C113="other",(1-$C104)*AD113,(1-(VLOOKUP($C113,'S3 - Screening Tool Metrics'!$C$3:$G$17,5,FALSE)/100))*AD113)</f>
        <v>0</v>
      </c>
      <c r="AG113" s="753">
        <f>IF($C113="other",$C104*AD113,(VLOOKUP($C113,'S3 - Screening Tool Metrics'!$C$3:$G$17,5,FALSE)/100)*AD113)</f>
        <v>0</v>
      </c>
      <c r="AH113" s="777">
        <f t="shared" si="92"/>
        <v>0</v>
      </c>
      <c r="AI113" s="776">
        <f t="shared" si="93"/>
        <v>245866.69333333336</v>
      </c>
      <c r="AJ113" s="753"/>
      <c r="AK113" s="753">
        <f t="shared" si="97"/>
        <v>1569</v>
      </c>
      <c r="AL113" s="753">
        <f>IF($C113="other",(1-$C104)*AJ113,(1-(VLOOKUP($C113,'S3 - Screening Tool Metrics'!$C$3:$G$17,5,FALSE)/100))*AJ113)</f>
        <v>0</v>
      </c>
      <c r="AM113" s="753">
        <f>IF($C113="other",$C104*AJ113,(VLOOKUP($C113,'S3 - Screening Tool Metrics'!$C$3:$G$17,5,FALSE)/100)*AJ113)</f>
        <v>0</v>
      </c>
      <c r="AN113" s="778">
        <f t="shared" si="94"/>
        <v>0</v>
      </c>
    </row>
    <row r="114" spans="2:40" ht="17" hidden="1" thickBot="1" x14ac:dyDescent="0.25">
      <c r="B114" s="768" t="s">
        <v>15</v>
      </c>
      <c r="C114" s="779" t="str">
        <f>$C105</f>
        <v>Other</v>
      </c>
      <c r="D114" s="780" t="s">
        <v>201</v>
      </c>
      <c r="E114" s="781">
        <f>VLOOKUP($B114&amp;"_"&amp;$D114,'App5 - CRUK Inci Rates'!C:H,6,FALSE)</f>
        <v>2.0360094402190962</v>
      </c>
      <c r="F114" s="782">
        <f>VLOOKUP($B114&amp;"_"&amp;$D114,'App5 - CRUK Inci Rates'!C:H,3,FALSE)</f>
        <v>0.91539409088703805</v>
      </c>
      <c r="G114" s="783">
        <f>VLOOKUP($B114&amp;"_"&amp;$D114,'App5 - CRUK Inci Rates'!C:J,8,FALSE)</f>
        <v>8642767.333333334</v>
      </c>
      <c r="H114" s="784">
        <f>VLOOKUP($B114&amp;"_"&amp;$D114,'App5 - CRUK Inci Rates'!C:J,7,FALSE)</f>
        <v>4273064.666666667</v>
      </c>
      <c r="I114" s="784">
        <f>VLOOKUP($B114&amp;"_"&amp;$D114,'App5 - CRUK Inci Rates'!C:J,4,FALSE)</f>
        <v>4369702.666666667</v>
      </c>
      <c r="J114" s="778">
        <f>VLOOKUP($B114&amp;"_"&amp;$D114,'App5 - CRUK Inci Rates'!C:K,9,FALSE)</f>
        <v>127</v>
      </c>
      <c r="K114" s="753">
        <f t="shared" si="68"/>
        <v>4321383.666666667</v>
      </c>
      <c r="L114" s="753" t="e">
        <f>VLOOKUP("*"&amp;$B114&amp;"*",'S4 - Summ PRS Characteristics'!$C$21:$Q$28,11,FALSE)*$J114</f>
        <v>#N/A</v>
      </c>
      <c r="M114" s="753" t="e">
        <f t="shared" si="69"/>
        <v>#N/A</v>
      </c>
      <c r="N114" s="753" t="e">
        <f>IF($C114="other",(1-$C$7)*L114,(1-(VLOOKUP($C114,'S3 - Screening Tool Metrics'!$C$3:$G$17,5,FALSE)/100))*L114)</f>
        <v>#N/A</v>
      </c>
      <c r="O114" s="753" t="e">
        <f>IF($C114="other",$C$7*L114,(VLOOKUP($C114,'S3 - Screening Tool Metrics'!$C$3:$G$17,5,FALSE)/100)*L114)</f>
        <v>#N/A</v>
      </c>
      <c r="P114" s="753" t="e">
        <f t="shared" si="70"/>
        <v>#N/A</v>
      </c>
      <c r="Q114" s="776">
        <f t="shared" si="87"/>
        <v>1728553.4666666668</v>
      </c>
      <c r="R114" s="753" t="e">
        <f>VLOOKUP("*"&amp;$B114&amp;"*",'S4 - Summ PRS Characteristics'!$C$21:$Q$28,12,FALSE)*$J114</f>
        <v>#N/A</v>
      </c>
      <c r="S114" s="753" t="e">
        <f t="shared" si="95"/>
        <v>#N/A</v>
      </c>
      <c r="T114" s="753" t="e">
        <f>IF($C114="other",(1-$C104)*R114,(1-(VLOOKUP($C114,'S3 - Screening Tool Metrics'!$C$3:$G$17,5,FALSE)/100))*R114)</f>
        <v>#N/A</v>
      </c>
      <c r="U114" s="753" t="e">
        <f>IF($C114="other",$C104*R114,(VLOOKUP($C114,'S3 - Screening Tool Metrics'!$C$3:$G$17,5,FALSE)/100)*R114)</f>
        <v>#N/A</v>
      </c>
      <c r="V114" s="777" t="e">
        <f t="shared" si="88"/>
        <v>#N/A</v>
      </c>
      <c r="W114" s="753">
        <f t="shared" si="89"/>
        <v>864276.7333333334</v>
      </c>
      <c r="X114" s="753" t="e">
        <f>VLOOKUP("*"&amp;$B114&amp;"*",'S4 - Summ PRS Characteristics'!$C$21:$Q$28,13,FALSE)*$J114</f>
        <v>#N/A</v>
      </c>
      <c r="Y114" s="753" t="e">
        <f t="shared" si="96"/>
        <v>#N/A</v>
      </c>
      <c r="Z114" s="753" t="e">
        <f>IF($C114="other",(1-$C104)*X114,(1-(VLOOKUP($C114,'S3 - Screening Tool Metrics'!$C$3:$G$17,5,FALSE)/100))*X114)</f>
        <v>#N/A</v>
      </c>
      <c r="AA114" s="753" t="e">
        <f>IF($C114="other",$C104*X114,(VLOOKUP($C114,'S3 - Screening Tool Metrics'!$C$3:$G$17,5,FALSE)/100)*X114)</f>
        <v>#N/A</v>
      </c>
      <c r="AB114" s="777" t="e">
        <f t="shared" si="90"/>
        <v>#N/A</v>
      </c>
      <c r="AC114" s="776">
        <f t="shared" si="91"/>
        <v>432138.3666666667</v>
      </c>
      <c r="AD114" s="753"/>
      <c r="AE114" s="753">
        <f t="shared" si="98"/>
        <v>127</v>
      </c>
      <c r="AF114" s="753">
        <f>IF($C114="other",(1-$C104)*AD114,(1-(VLOOKUP($C114,'S3 - Screening Tool Metrics'!$C$3:$G$17,5,FALSE)/100))*AD114)</f>
        <v>0</v>
      </c>
      <c r="AG114" s="753">
        <f>IF($C114="other",$C104*AD114,(VLOOKUP($C114,'S3 - Screening Tool Metrics'!$C$3:$G$17,5,FALSE)/100)*AD114)</f>
        <v>0</v>
      </c>
      <c r="AH114" s="777">
        <f t="shared" si="92"/>
        <v>0</v>
      </c>
      <c r="AI114" s="776">
        <f t="shared" si="93"/>
        <v>86427.67333333334</v>
      </c>
      <c r="AJ114" s="753"/>
      <c r="AK114" s="753">
        <f t="shared" si="97"/>
        <v>127</v>
      </c>
      <c r="AL114" s="753">
        <f>IF($C114="other",(1-$C104)*AJ114,(1-(VLOOKUP($C114,'S3 - Screening Tool Metrics'!$C$3:$G$17,5,FALSE)/100))*AJ114)</f>
        <v>0</v>
      </c>
      <c r="AM114" s="753">
        <f>IF($C114="other",$C104*AJ114,(VLOOKUP($C114,'S3 - Screening Tool Metrics'!$C$3:$G$17,5,FALSE)/100)*AJ114)</f>
        <v>0</v>
      </c>
      <c r="AN114" s="778">
        <f t="shared" si="94"/>
        <v>0</v>
      </c>
    </row>
    <row r="115" spans="2:40" ht="17" hidden="1" thickBot="1" x14ac:dyDescent="0.25">
      <c r="B115" s="768" t="s">
        <v>15</v>
      </c>
      <c r="C115" s="779" t="str">
        <f>$C105</f>
        <v>Other</v>
      </c>
      <c r="D115" s="780" t="s">
        <v>202</v>
      </c>
      <c r="E115" s="781">
        <f>VLOOKUP($B115&amp;"_"&amp;$D115,'App5 - CRUK Inci Rates'!C:H,6,FALSE)</f>
        <v>7.2553755980901533</v>
      </c>
      <c r="F115" s="782">
        <f>VLOOKUP($B115&amp;"_"&amp;$D115,'App5 - CRUK Inci Rates'!C:H,3,FALSE)</f>
        <v>2.9658865071936495</v>
      </c>
      <c r="G115" s="783">
        <f>VLOOKUP($B115&amp;"_"&amp;$D115,'App5 - CRUK Inci Rates'!C:J,8,FALSE)</f>
        <v>8839716.6666666679</v>
      </c>
      <c r="H115" s="784">
        <f>VLOOKUP($B115&amp;"_"&amp;$D115,'App5 - CRUK Inci Rates'!C:J,7,FALSE)</f>
        <v>4355391.333333333</v>
      </c>
      <c r="I115" s="784">
        <f>VLOOKUP($B115&amp;"_"&amp;$D115,'App5 - CRUK Inci Rates'!C:J,4,FALSE)</f>
        <v>4484325.333333334</v>
      </c>
      <c r="J115" s="778">
        <f>VLOOKUP($B115&amp;"_"&amp;$D115,'App5 - CRUK Inci Rates'!C:K,9,FALSE)</f>
        <v>449</v>
      </c>
      <c r="K115" s="753">
        <f t="shared" si="68"/>
        <v>4419858.333333334</v>
      </c>
      <c r="L115" s="753" t="e">
        <f>VLOOKUP("*"&amp;$B115&amp;"*",'S4 - Summ PRS Characteristics'!$C$21:$Q$28,11,FALSE)*$J115</f>
        <v>#N/A</v>
      </c>
      <c r="M115" s="753" t="e">
        <f t="shared" si="69"/>
        <v>#N/A</v>
      </c>
      <c r="N115" s="753" t="e">
        <f>IF($C115="other",(1-$C$7)*L115,(1-(VLOOKUP($C115,'S3 - Screening Tool Metrics'!$C$3:$G$17,5,FALSE)/100))*L115)</f>
        <v>#N/A</v>
      </c>
      <c r="O115" s="753" t="e">
        <f>IF($C115="other",$C$7*L115,(VLOOKUP($C115,'S3 - Screening Tool Metrics'!$C$3:$G$17,5,FALSE)/100)*L115)</f>
        <v>#N/A</v>
      </c>
      <c r="P115" s="753" t="e">
        <f t="shared" si="70"/>
        <v>#N/A</v>
      </c>
      <c r="Q115" s="776">
        <f t="shared" si="87"/>
        <v>1767943.3333333337</v>
      </c>
      <c r="R115" s="753" t="e">
        <f>VLOOKUP("*"&amp;$B115&amp;"*",'S4 - Summ PRS Characteristics'!$C$21:$Q$28,12,FALSE)*$J115</f>
        <v>#N/A</v>
      </c>
      <c r="S115" s="753" t="e">
        <f t="shared" si="95"/>
        <v>#N/A</v>
      </c>
      <c r="T115" s="753" t="e">
        <f>IF($C115="other",(1-$C104)*R115,(1-(VLOOKUP($C115,'S3 - Screening Tool Metrics'!$C$3:$G$17,5,FALSE)/100))*R115)</f>
        <v>#N/A</v>
      </c>
      <c r="U115" s="753" t="e">
        <f>IF($C115="other",$C104*R115,(VLOOKUP($C115,'S3 - Screening Tool Metrics'!$C$3:$G$17,5,FALSE)/100)*R115)</f>
        <v>#N/A</v>
      </c>
      <c r="V115" s="777" t="e">
        <f t="shared" si="88"/>
        <v>#N/A</v>
      </c>
      <c r="W115" s="753">
        <f t="shared" si="89"/>
        <v>883971.66666666686</v>
      </c>
      <c r="X115" s="753" t="e">
        <f>VLOOKUP("*"&amp;$B115&amp;"*",'S4 - Summ PRS Characteristics'!$C$21:$Q$28,13,FALSE)*$J115</f>
        <v>#N/A</v>
      </c>
      <c r="Y115" s="753" t="e">
        <f t="shared" si="96"/>
        <v>#N/A</v>
      </c>
      <c r="Z115" s="753" t="e">
        <f>IF($C115="other",(1-$C104)*X115,(1-(VLOOKUP($C115,'S3 - Screening Tool Metrics'!$C$3:$G$17,5,FALSE)/100))*X115)</f>
        <v>#N/A</v>
      </c>
      <c r="AA115" s="753" t="e">
        <f>IF($C115="other",$C104*X115,(VLOOKUP($C115,'S3 - Screening Tool Metrics'!$C$3:$G$17,5,FALSE)/100)*X115)</f>
        <v>#N/A</v>
      </c>
      <c r="AB115" s="777" t="e">
        <f t="shared" si="90"/>
        <v>#N/A</v>
      </c>
      <c r="AC115" s="776">
        <f t="shared" si="91"/>
        <v>441985.83333333343</v>
      </c>
      <c r="AD115" s="753"/>
      <c r="AE115" s="753">
        <f t="shared" si="98"/>
        <v>449</v>
      </c>
      <c r="AF115" s="753">
        <f>IF($C115="other",(1-$C104)*AD115,(1-(VLOOKUP($C115,'S3 - Screening Tool Metrics'!$C$3:$G$17,5,FALSE)/100))*AD115)</f>
        <v>0</v>
      </c>
      <c r="AG115" s="753">
        <f>IF($C115="other",$C104*AD115,(VLOOKUP($C115,'S3 - Screening Tool Metrics'!$C$3:$G$17,5,FALSE)/100)*AD115)</f>
        <v>0</v>
      </c>
      <c r="AH115" s="777">
        <f t="shared" si="92"/>
        <v>0</v>
      </c>
      <c r="AI115" s="776">
        <f t="shared" si="93"/>
        <v>88397.166666666686</v>
      </c>
      <c r="AJ115" s="753"/>
      <c r="AK115" s="753">
        <f t="shared" si="97"/>
        <v>449</v>
      </c>
      <c r="AL115" s="753">
        <f>IF($C115="other",(1-$C104)*AJ115,(1-(VLOOKUP($C115,'S3 - Screening Tool Metrics'!$C$3:$G$17,5,FALSE)/100))*AJ115)</f>
        <v>0</v>
      </c>
      <c r="AM115" s="753">
        <f>IF($C115="other",$C104*AJ115,(VLOOKUP($C115,'S3 - Screening Tool Metrics'!$C$3:$G$17,5,FALSE)/100)*AJ115)</f>
        <v>0</v>
      </c>
      <c r="AN115" s="778">
        <f t="shared" si="94"/>
        <v>0</v>
      </c>
    </row>
    <row r="116" spans="2:40" ht="17" hidden="1" thickBot="1" x14ac:dyDescent="0.25">
      <c r="B116" s="768" t="s">
        <v>15</v>
      </c>
      <c r="C116" s="779" t="str">
        <f>$C105</f>
        <v>Other</v>
      </c>
      <c r="D116" s="780" t="s">
        <v>203</v>
      </c>
      <c r="E116" s="781">
        <f>VLOOKUP($B116&amp;"_"&amp;$D116,'App5 - CRUK Inci Rates'!C:H,6,FALSE)</f>
        <v>12.37013806882061</v>
      </c>
      <c r="F116" s="782">
        <f>VLOOKUP($B116&amp;"_"&amp;$D116,'App5 - CRUK Inci Rates'!C:H,3,FALSE)</f>
        <v>5.8449385785142187</v>
      </c>
      <c r="G116" s="783">
        <f>VLOOKUP($B116&amp;"_"&amp;$D116,'App5 - CRUK Inci Rates'!C:J,8,FALSE)</f>
        <v>15943902</v>
      </c>
      <c r="H116" s="784">
        <f>VLOOKUP($B116&amp;"_"&amp;$D116,'App5 - CRUK Inci Rates'!C:J,7,FALSE)</f>
        <v>7817212.666666666</v>
      </c>
      <c r="I116" s="784">
        <f>VLOOKUP($B116&amp;"_"&amp;$D116,'App5 - CRUK Inci Rates'!C:J,4,FALSE)</f>
        <v>8126689.333333334</v>
      </c>
      <c r="J116" s="778">
        <f>VLOOKUP($B116&amp;"_"&amp;$D116,'App5 - CRUK Inci Rates'!C:K,9,FALSE)</f>
        <v>1442</v>
      </c>
      <c r="K116" s="753">
        <f t="shared" si="68"/>
        <v>7971951</v>
      </c>
      <c r="L116" s="753" t="e">
        <f>VLOOKUP("*"&amp;$B116&amp;"*",'S4 - Summ PRS Characteristics'!$C$21:$Q$28,11,FALSE)*$J116</f>
        <v>#N/A</v>
      </c>
      <c r="M116" s="753" t="e">
        <f t="shared" si="69"/>
        <v>#N/A</v>
      </c>
      <c r="N116" s="753" t="e">
        <f>IF($C116="other",(1-$C$7)*L116,(1-(VLOOKUP($C116,'S3 - Screening Tool Metrics'!$C$3:$G$17,5,FALSE)/100))*L116)</f>
        <v>#N/A</v>
      </c>
      <c r="O116" s="753" t="e">
        <f>IF($C116="other",$C$7*L116,(VLOOKUP($C116,'S3 - Screening Tool Metrics'!$C$3:$G$17,5,FALSE)/100)*L116)</f>
        <v>#N/A</v>
      </c>
      <c r="P116" s="753" t="e">
        <f t="shared" si="70"/>
        <v>#N/A</v>
      </c>
      <c r="Q116" s="776">
        <f t="shared" si="87"/>
        <v>3188780.4000000004</v>
      </c>
      <c r="R116" s="753" t="e">
        <f>VLOOKUP("*"&amp;$B116&amp;"*",'S4 - Summ PRS Characteristics'!$C$21:$Q$28,12,FALSE)*$J116</f>
        <v>#N/A</v>
      </c>
      <c r="S116" s="753" t="e">
        <f t="shared" si="95"/>
        <v>#N/A</v>
      </c>
      <c r="T116" s="753" t="e">
        <f>IF($C116="other",(1-$C104)*R116,(1-(VLOOKUP($C116,'S3 - Screening Tool Metrics'!$C$3:$G$17,5,FALSE)/100))*R116)</f>
        <v>#N/A</v>
      </c>
      <c r="U116" s="753" t="e">
        <f>IF($C116="other",$C104*R116,(VLOOKUP($C116,'S3 - Screening Tool Metrics'!$C$3:$G$17,5,FALSE)/100)*R116)</f>
        <v>#N/A</v>
      </c>
      <c r="V116" s="777" t="e">
        <f t="shared" si="88"/>
        <v>#N/A</v>
      </c>
      <c r="W116" s="753">
        <f t="shared" si="89"/>
        <v>1594390.2000000002</v>
      </c>
      <c r="X116" s="753" t="e">
        <f>VLOOKUP("*"&amp;$B116&amp;"*",'S4 - Summ PRS Characteristics'!$C$21:$Q$28,13,FALSE)*$J116</f>
        <v>#N/A</v>
      </c>
      <c r="Y116" s="753" t="e">
        <f t="shared" si="96"/>
        <v>#N/A</v>
      </c>
      <c r="Z116" s="753" t="e">
        <f>IF($C116="other",(1-$C104)*X116,(1-(VLOOKUP($C116,'S3 - Screening Tool Metrics'!$C$3:$G$17,5,FALSE)/100))*X116)</f>
        <v>#N/A</v>
      </c>
      <c r="AA116" s="753" t="e">
        <f>IF($C116="other",$C104*X116,(VLOOKUP($C116,'S3 - Screening Tool Metrics'!$C$3:$G$17,5,FALSE)/100)*X116)</f>
        <v>#N/A</v>
      </c>
      <c r="AB116" s="777" t="e">
        <f t="shared" si="90"/>
        <v>#N/A</v>
      </c>
      <c r="AC116" s="776">
        <f t="shared" si="91"/>
        <v>797195.10000000009</v>
      </c>
      <c r="AD116" s="753"/>
      <c r="AE116" s="753">
        <f t="shared" si="98"/>
        <v>1442</v>
      </c>
      <c r="AF116" s="753">
        <f>IF($C116="other",(1-$C104)*AD116,(1-(VLOOKUP($C116,'S3 - Screening Tool Metrics'!$C$3:$G$17,5,FALSE)/100))*AD116)</f>
        <v>0</v>
      </c>
      <c r="AG116" s="753">
        <f>IF($C116="other",$C104*AD116,(VLOOKUP($C116,'S3 - Screening Tool Metrics'!$C$3:$G$17,5,FALSE)/100)*AD116)</f>
        <v>0</v>
      </c>
      <c r="AH116" s="777">
        <f t="shared" si="92"/>
        <v>0</v>
      </c>
      <c r="AI116" s="776">
        <f t="shared" si="93"/>
        <v>159439.01999999999</v>
      </c>
      <c r="AJ116" s="753"/>
      <c r="AK116" s="753">
        <f t="shared" si="97"/>
        <v>1442</v>
      </c>
      <c r="AL116" s="753">
        <f>IF($C116="other",(1-$C104)*AJ116,(1-(VLOOKUP($C116,'S3 - Screening Tool Metrics'!$C$3:$G$17,5,FALSE)/100))*AJ116)</f>
        <v>0</v>
      </c>
      <c r="AM116" s="753">
        <f>IF($C116="other",$C104*AJ116,(VLOOKUP($C116,'S3 - Screening Tool Metrics'!$C$3:$G$17,5,FALSE)/100)*AJ116)</f>
        <v>0</v>
      </c>
      <c r="AN116" s="778">
        <f t="shared" si="94"/>
        <v>0</v>
      </c>
    </row>
    <row r="117" spans="2:40" ht="17" hidden="1" thickBot="1" x14ac:dyDescent="0.25">
      <c r="B117" s="768" t="s">
        <v>15</v>
      </c>
      <c r="C117" s="779" t="str">
        <f>$C106</f>
        <v>Other</v>
      </c>
      <c r="D117" s="780" t="s">
        <v>292</v>
      </c>
      <c r="E117" s="781">
        <f>VLOOKUP($B117&amp;"_"&amp;$D117,'App5 - CRUK Inci Rates'!C:H,6,FALSE)</f>
        <v>21.887358336490447</v>
      </c>
      <c r="F117" s="782">
        <f>VLOOKUP($B117&amp;"_"&amp;$D117,'App5 - CRUK Inci Rates'!C:H,3,FALSE)</f>
        <v>11.208596103640371</v>
      </c>
      <c r="G117" s="783">
        <f>VLOOKUP($B117&amp;"_"&amp;$D117,'App5 - CRUK Inci Rates'!C:J,8,FALSE)</f>
        <v>8881256.9603638444</v>
      </c>
      <c r="H117" s="784">
        <f>VLOOKUP($B117&amp;"_"&amp;$D117,'App5 - CRUK Inci Rates'!C:J,7,FALSE)</f>
        <v>4929786.333333333</v>
      </c>
      <c r="I117" s="784">
        <f>VLOOKUP($B117&amp;"_"&amp;$D117,'App5 - CRUK Inci Rates'!C:J,4,FALSE)</f>
        <v>5245973.666666667</v>
      </c>
      <c r="J117" s="778">
        <f>VLOOKUP($B117&amp;"_"&amp;$D117,'App5 - CRUK Inci Rates'!C:K,9,FALSE)</f>
        <v>1667</v>
      </c>
      <c r="K117" s="753">
        <f t="shared" si="68"/>
        <v>4440628.4801819222</v>
      </c>
      <c r="L117" s="753" t="e">
        <f>VLOOKUP("*"&amp;$B117&amp;"*",'S4 - Summ PRS Characteristics'!$C$21:$Q$28,11,FALSE)*$J117</f>
        <v>#N/A</v>
      </c>
      <c r="M117" s="753" t="e">
        <f t="shared" si="69"/>
        <v>#N/A</v>
      </c>
      <c r="N117" s="753" t="e">
        <f>IF($C117="other",(1-$C$7)*L117,(1-(VLOOKUP($C117,'S3 - Screening Tool Metrics'!$C$3:$G$17,5,FALSE)/100))*L117)</f>
        <v>#N/A</v>
      </c>
      <c r="O117" s="753" t="e">
        <f>IF($C117="other",$C$7*L117,(VLOOKUP($C117,'S3 - Screening Tool Metrics'!$C$3:$G$17,5,FALSE)/100)*L117)</f>
        <v>#N/A</v>
      </c>
      <c r="P117" s="753" t="e">
        <f t="shared" si="70"/>
        <v>#N/A</v>
      </c>
      <c r="Q117" s="776">
        <f t="shared" si="87"/>
        <v>1776251.3920727689</v>
      </c>
      <c r="R117" s="753" t="e">
        <f>VLOOKUP("*"&amp;$B117&amp;"*",'S4 - Summ PRS Characteristics'!$C$21:$Q$28,12,FALSE)*$J117</f>
        <v>#N/A</v>
      </c>
      <c r="S117" s="753" t="e">
        <f t="shared" si="95"/>
        <v>#N/A</v>
      </c>
      <c r="T117" s="753" t="e">
        <f>IF($C117="other",(1-$C104)*R117,(1-(VLOOKUP($C117,'S3 - Screening Tool Metrics'!$C$3:$G$17,5,FALSE)/100))*R117)</f>
        <v>#N/A</v>
      </c>
      <c r="U117" s="753" t="e">
        <f>IF($C117="other",$C104*R117,(VLOOKUP($C117,'S3 - Screening Tool Metrics'!$C$3:$G$17,5,FALSE)/100)*R117)</f>
        <v>#N/A</v>
      </c>
      <c r="V117" s="777" t="e">
        <f t="shared" si="88"/>
        <v>#N/A</v>
      </c>
      <c r="W117" s="753">
        <f t="shared" si="89"/>
        <v>888125.69603638444</v>
      </c>
      <c r="X117" s="753" t="e">
        <f>VLOOKUP("*"&amp;$B117&amp;"*",'S4 - Summ PRS Characteristics'!$C$21:$Q$28,13,FALSE)*$J117</f>
        <v>#N/A</v>
      </c>
      <c r="Y117" s="753" t="e">
        <f t="shared" si="96"/>
        <v>#N/A</v>
      </c>
      <c r="Z117" s="753" t="e">
        <f>IF($C117="other",(1-$C104)*X117,(1-(VLOOKUP($C117,'S3 - Screening Tool Metrics'!$C$3:$G$17,5,FALSE)/100))*X117)</f>
        <v>#N/A</v>
      </c>
      <c r="AA117" s="753" t="e">
        <f>IF($C117="other",$C104*X117,(VLOOKUP($C117,'S3 - Screening Tool Metrics'!$C$3:$G$17,5,FALSE)/100)*X117)</f>
        <v>#N/A</v>
      </c>
      <c r="AB117" s="777" t="e">
        <f t="shared" si="90"/>
        <v>#N/A</v>
      </c>
      <c r="AC117" s="776">
        <f t="shared" si="91"/>
        <v>444062.84801819222</v>
      </c>
      <c r="AD117" s="753"/>
      <c r="AE117" s="753">
        <f t="shared" si="98"/>
        <v>1667</v>
      </c>
      <c r="AF117" s="753">
        <f>IF($C117="other",(1-$C104)*AD117,(1-(VLOOKUP($C117,'S3 - Screening Tool Metrics'!$C$3:$G$17,5,FALSE)/100))*AD117)</f>
        <v>0</v>
      </c>
      <c r="AG117" s="753">
        <f>IF($C117="other",$C104*AD117,(VLOOKUP($C117,'S3 - Screening Tool Metrics'!$C$3:$G$17,5,FALSE)/100)*AD117)</f>
        <v>0</v>
      </c>
      <c r="AH117" s="777">
        <f t="shared" si="92"/>
        <v>0</v>
      </c>
      <c r="AI117" s="776">
        <f t="shared" si="93"/>
        <v>88812.569603638447</v>
      </c>
      <c r="AJ117" s="753"/>
      <c r="AK117" s="753">
        <f t="shared" si="97"/>
        <v>1667</v>
      </c>
      <c r="AL117" s="753">
        <f>IF($C117="other",(1-$C104)*AJ117,(1-(VLOOKUP($C117,'S3 - Screening Tool Metrics'!$C$3:$G$17,5,FALSE)/100))*AJ117)</f>
        <v>0</v>
      </c>
      <c r="AM117" s="753">
        <f>IF($C117="other",$C104*AJ117,(VLOOKUP($C117,'S3 - Screening Tool Metrics'!$C$3:$G$17,5,FALSE)/100)*AJ117)</f>
        <v>0</v>
      </c>
      <c r="AN117" s="778">
        <f t="shared" si="94"/>
        <v>0</v>
      </c>
    </row>
    <row r="118" spans="2:40" ht="17" hidden="1" thickBot="1" x14ac:dyDescent="0.25">
      <c r="B118" s="768" t="s">
        <v>15</v>
      </c>
      <c r="C118" s="779" t="str">
        <f>$C105</f>
        <v>Other</v>
      </c>
      <c r="D118" s="780" t="s">
        <v>204</v>
      </c>
      <c r="E118" s="781">
        <f>VLOOKUP($B118&amp;"_"&amp;$D118,'App5 - CRUK Inci Rates'!C:H,6,FALSE)</f>
        <v>12.653093795857881</v>
      </c>
      <c r="F118" s="782">
        <f>VLOOKUP($B118&amp;"_"&amp;$D118,'App5 - CRUK Inci Rates'!C:H,3,FALSE)</f>
        <v>6.3867461406483219</v>
      </c>
      <c r="G118" s="783">
        <f>VLOOKUP($B118&amp;"_"&amp;$D118,'App5 - CRUK Inci Rates'!C:J,8,FALSE)</f>
        <v>29847254.666666668</v>
      </c>
      <c r="H118" s="784">
        <f>VLOOKUP($B118&amp;"_"&amp;$D118,'App5 - CRUK Inci Rates'!C:J,7,FALSE)</f>
        <v>14565607.666666668</v>
      </c>
      <c r="I118" s="784">
        <f>VLOOKUP($B118&amp;"_"&amp;$D118,'App5 - CRUK Inci Rates'!C:J,4,FALSE)</f>
        <v>15281647</v>
      </c>
      <c r="J118" s="778">
        <f>VLOOKUP($B118&amp;"_"&amp;$D118,'App5 - CRUK Inci Rates'!C:K,9,FALSE)</f>
        <v>2819</v>
      </c>
      <c r="K118" s="753">
        <f t="shared" si="68"/>
        <v>14923627.333333334</v>
      </c>
      <c r="L118" s="753" t="e">
        <f>VLOOKUP("*"&amp;$B118&amp;"*",'S4 - Summ PRS Characteristics'!$C$21:$Q$28,11,FALSE)*$J118</f>
        <v>#N/A</v>
      </c>
      <c r="M118" s="753" t="e">
        <f t="shared" si="69"/>
        <v>#N/A</v>
      </c>
      <c r="N118" s="753" t="e">
        <f>IF($C118="other",(1-$C$7)*L118,(1-(VLOOKUP($C118,'S3 - Screening Tool Metrics'!$C$3:$G$17,5,FALSE)/100))*L118)</f>
        <v>#N/A</v>
      </c>
      <c r="O118" s="753" t="e">
        <f>IF($C118="other",$C$7*L118,(VLOOKUP($C118,'S3 - Screening Tool Metrics'!$C$3:$G$17,5,FALSE)/100)*L118)</f>
        <v>#N/A</v>
      </c>
      <c r="P118" s="753" t="e">
        <f t="shared" si="70"/>
        <v>#N/A</v>
      </c>
      <c r="Q118" s="776">
        <f t="shared" si="87"/>
        <v>5969450.9333333336</v>
      </c>
      <c r="R118" s="753" t="e">
        <f>VLOOKUP("*"&amp;$B118&amp;"*",'S4 - Summ PRS Characteristics'!$C$21:$Q$28,12,FALSE)*$J118</f>
        <v>#N/A</v>
      </c>
      <c r="S118" s="753" t="e">
        <f t="shared" si="95"/>
        <v>#N/A</v>
      </c>
      <c r="T118" s="753" t="e">
        <f>IF($C118="other",(1-$C104)*R118,(1-(VLOOKUP($C118,'S3 - Screening Tool Metrics'!$C$3:$G$17,5,FALSE)/100))*R118)</f>
        <v>#N/A</v>
      </c>
      <c r="U118" s="753" t="e">
        <f>IF($C118="other",$C104*R118,(VLOOKUP($C118,'S3 - Screening Tool Metrics'!$C$3:$G$17,5,FALSE)/100)*R118)</f>
        <v>#N/A</v>
      </c>
      <c r="V118" s="777" t="e">
        <f t="shared" si="88"/>
        <v>#N/A</v>
      </c>
      <c r="W118" s="753">
        <f t="shared" si="89"/>
        <v>2984725.4666666668</v>
      </c>
      <c r="X118" s="753" t="e">
        <f>VLOOKUP("*"&amp;$B118&amp;"*",'S4 - Summ PRS Characteristics'!$C$21:$Q$28,13,FALSE)*$J118</f>
        <v>#N/A</v>
      </c>
      <c r="Y118" s="753" t="e">
        <f t="shared" si="96"/>
        <v>#N/A</v>
      </c>
      <c r="Z118" s="753" t="e">
        <f>IF($C118="other",(1-$C104)*X118,(1-(VLOOKUP($C118,'S3 - Screening Tool Metrics'!$C$3:$G$17,5,FALSE)/100))*X118)</f>
        <v>#N/A</v>
      </c>
      <c r="AA118" s="753" t="e">
        <f>IF($C118="other",$C104*X118,(VLOOKUP($C118,'S3 - Screening Tool Metrics'!$C$3:$G$17,5,FALSE)/100)*X118)</f>
        <v>#N/A</v>
      </c>
      <c r="AB118" s="777" t="e">
        <f t="shared" si="90"/>
        <v>#N/A</v>
      </c>
      <c r="AC118" s="776">
        <f t="shared" si="91"/>
        <v>1492362.7333333334</v>
      </c>
      <c r="AD118" s="753"/>
      <c r="AE118" s="753">
        <f t="shared" si="98"/>
        <v>2819</v>
      </c>
      <c r="AF118" s="753">
        <f>IF($C118="other",(1-$C104)*AD118,(1-(VLOOKUP($C118,'S3 - Screening Tool Metrics'!$C$3:$G$17,5,FALSE)/100))*AD118)</f>
        <v>0</v>
      </c>
      <c r="AG118" s="753">
        <f>IF($C118="other",$C104*AD118,(VLOOKUP($C118,'S3 - Screening Tool Metrics'!$C$3:$G$17,5,FALSE)/100)*AD118)</f>
        <v>0</v>
      </c>
      <c r="AH118" s="777">
        <f t="shared" si="92"/>
        <v>0</v>
      </c>
      <c r="AI118" s="776">
        <f t="shared" si="93"/>
        <v>298472.54666666669</v>
      </c>
      <c r="AJ118" s="753"/>
      <c r="AK118" s="753">
        <f t="shared" si="97"/>
        <v>2819</v>
      </c>
      <c r="AL118" s="753">
        <f>IF($C118="other",(1-$C104)*AJ118,(1-(VLOOKUP($C118,'S3 - Screening Tool Metrics'!$C$3:$G$17,5,FALSE)/100))*AJ118)</f>
        <v>0</v>
      </c>
      <c r="AM118" s="753">
        <f>IF($C118="other",$C104*AJ118,(VLOOKUP($C118,'S3 - Screening Tool Metrics'!$C$3:$G$17,5,FALSE)/100)*AJ118)</f>
        <v>0</v>
      </c>
      <c r="AN118" s="778">
        <f t="shared" si="94"/>
        <v>0</v>
      </c>
    </row>
    <row r="119" spans="2:40" ht="17" hidden="1" thickBot="1" x14ac:dyDescent="0.25">
      <c r="B119" s="785" t="s">
        <v>15</v>
      </c>
      <c r="C119" s="786" t="str">
        <f>$C105</f>
        <v>Other</v>
      </c>
      <c r="D119" s="787" t="s">
        <v>205</v>
      </c>
      <c r="E119" s="788">
        <f>VLOOKUP($B119&amp;"_"&amp;$D119,'App5 - CRUK Inci Rates'!C:H,6,FALSE)</f>
        <v>8.5</v>
      </c>
      <c r="F119" s="789">
        <f>VLOOKUP($B119&amp;"_"&amp;$D119,'App5 - CRUK Inci Rates'!C:H,3,FALSE)</f>
        <v>4.2</v>
      </c>
      <c r="G119" s="790">
        <f>VLOOKUP($B119&amp;"_"&amp;$D119,'App5 - CRUK Inci Rates'!C:J,8,FALSE)</f>
        <v>66041277.666666664</v>
      </c>
      <c r="H119" s="791">
        <f>VLOOKUP($B119&amp;"_"&amp;$D119,'App5 - CRUK Inci Rates'!C:J,7,FALSE)</f>
        <v>32583225.666666668</v>
      </c>
      <c r="I119" s="791">
        <f>VLOOKUP($B119&amp;"_"&amp;$D119,'App5 - CRUK Inci Rates'!C:J,4,FALSE)</f>
        <v>33458051.999999996</v>
      </c>
      <c r="J119" s="778">
        <f>VLOOKUP($B119&amp;"_"&amp;$D119,'App5 - CRUK Inci Rates'!C:K,9,FALSE)</f>
        <v>3803</v>
      </c>
      <c r="K119" s="753">
        <f t="shared" si="68"/>
        <v>33020638.833333332</v>
      </c>
      <c r="L119" s="753" t="e">
        <f>VLOOKUP("*"&amp;$B119&amp;"*",'S4 - Summ PRS Characteristics'!$C$21:$Q$28,11,FALSE)*$J119</f>
        <v>#N/A</v>
      </c>
      <c r="M119" s="753" t="e">
        <f t="shared" si="69"/>
        <v>#N/A</v>
      </c>
      <c r="N119" s="753" t="e">
        <f>IF($C119="other",(1-$C$7)*L119,(1-(VLOOKUP($C119,'S3 - Screening Tool Metrics'!$C$3:$G$17,5,FALSE)/100))*L119)</f>
        <v>#N/A</v>
      </c>
      <c r="O119" s="753" t="e">
        <f>IF($C119="other",$C$7*L119,(VLOOKUP($C119,'S3 - Screening Tool Metrics'!$C$3:$G$17,5,FALSE)/100)*L119)</f>
        <v>#N/A</v>
      </c>
      <c r="P119" s="753" t="e">
        <f t="shared" si="70"/>
        <v>#N/A</v>
      </c>
      <c r="Q119" s="793"/>
      <c r="R119" s="794" t="e">
        <f>VLOOKUP("*"&amp;$B119&amp;"*",'S4 - Summ PRS Characteristics'!$C$21:$Q$28,12,FALSE)*$J119</f>
        <v>#N/A</v>
      </c>
      <c r="S119" s="794"/>
      <c r="T119" s="794"/>
      <c r="U119" s="794"/>
      <c r="V119" s="795"/>
      <c r="W119" s="794"/>
      <c r="X119" s="794" t="e">
        <f>VLOOKUP("*"&amp;$B119&amp;"*",'S4 - Summ PRS Characteristics'!$C$21:$Q$28,13,FALSE)*$J119</f>
        <v>#N/A</v>
      </c>
      <c r="Y119" s="794"/>
      <c r="Z119" s="794"/>
      <c r="AA119" s="794"/>
      <c r="AB119" s="795"/>
      <c r="AC119" s="793"/>
      <c r="AD119" s="794"/>
      <c r="AE119" s="794"/>
      <c r="AF119" s="794"/>
      <c r="AG119" s="794"/>
      <c r="AH119" s="795"/>
      <c r="AI119" s="793"/>
      <c r="AJ119" s="794"/>
      <c r="AK119" s="794"/>
      <c r="AL119" s="794"/>
      <c r="AM119" s="794"/>
      <c r="AN119" s="796"/>
    </row>
    <row r="120" spans="2:40" ht="21" customHeight="1" thickBot="1" x14ac:dyDescent="0.25">
      <c r="B120" s="754" t="s">
        <v>32</v>
      </c>
      <c r="C120" s="755">
        <v>0.8</v>
      </c>
      <c r="D120" s="756"/>
      <c r="E120" s="757"/>
      <c r="F120" s="758"/>
      <c r="G120" s="759"/>
      <c r="H120" s="760"/>
      <c r="I120" s="760"/>
      <c r="J120" s="761"/>
      <c r="K120" s="762"/>
      <c r="L120" s="762"/>
      <c r="M120" s="762"/>
      <c r="N120" s="762"/>
      <c r="O120" s="762"/>
      <c r="P120" s="762"/>
      <c r="Q120" s="763"/>
      <c r="R120" s="764"/>
      <c r="S120" s="764"/>
      <c r="T120" s="764"/>
      <c r="U120" s="764"/>
      <c r="V120" s="765"/>
      <c r="W120" s="764"/>
      <c r="X120" s="764"/>
      <c r="Y120" s="764"/>
      <c r="Z120" s="764"/>
      <c r="AA120" s="764"/>
      <c r="AB120" s="765"/>
      <c r="AC120" s="763"/>
      <c r="AD120" s="764"/>
      <c r="AE120" s="764"/>
      <c r="AF120" s="764"/>
      <c r="AG120" s="764"/>
      <c r="AH120" s="765"/>
      <c r="AI120" s="763"/>
      <c r="AJ120" s="764"/>
      <c r="AK120" s="764"/>
      <c r="AL120" s="764"/>
      <c r="AM120" s="764"/>
      <c r="AN120" s="767"/>
    </row>
    <row r="121" spans="2:40" x14ac:dyDescent="0.2">
      <c r="B121" s="768" t="s">
        <v>32</v>
      </c>
      <c r="C121" s="769" t="s">
        <v>180</v>
      </c>
      <c r="D121" s="770" t="s">
        <v>192</v>
      </c>
      <c r="E121" s="771">
        <f>VLOOKUP($B121&amp;"_"&amp;$D121,'App5 - CRUK Inci Rates'!C:H,6,FALSE)</f>
        <v>6</v>
      </c>
      <c r="F121" s="772">
        <f>VLOOKUP($B121&amp;"_"&amp;$D121,'App5 - CRUK Inci Rates'!C:H,3,FALSE)</f>
        <v>5.8</v>
      </c>
      <c r="G121" s="773">
        <f>VLOOKUP($B121&amp;"_"&amp;$D121,'App5 - CRUK Inci Rates'!C:J,8,FALSE)</f>
        <v>4075608</v>
      </c>
      <c r="H121" s="774">
        <f>VLOOKUP($B121&amp;"_"&amp;$D121,'App5 - CRUK Inci Rates'!C:J,7,FALSE)</f>
        <v>2021384.6666666667</v>
      </c>
      <c r="I121" s="774">
        <f>VLOOKUP($B121&amp;"_"&amp;$D121,'App5 - CRUK Inci Rates'!C:J,4,FALSE)</f>
        <v>2054223.3333333333</v>
      </c>
      <c r="J121" s="775">
        <f>VLOOKUP($B121&amp;"_"&amp;$D121,'App5 - CRUK Inci Rates'!C:K,9,FALSE)</f>
        <v>240</v>
      </c>
      <c r="K121" s="753">
        <f t="shared" si="68"/>
        <v>2037804</v>
      </c>
      <c r="L121" s="753">
        <f>VLOOKUP("*"&amp;$B121&amp;"*",'S4 - Summ PRS Characteristics'!$C$21:$Q$28,11,FALSE)*$J121</f>
        <v>175.93732514632384</v>
      </c>
      <c r="M121" s="753">
        <f t="shared" si="69"/>
        <v>64.062674853676157</v>
      </c>
      <c r="N121" s="753">
        <f>IF($C121="other",(1-$C$7)*L121,(1-(VLOOKUP($C121,'S3 - Screening Tool Metrics'!$C$3:$G$17,5,FALSE)/100))*L121)</f>
        <v>35.187465029264764</v>
      </c>
      <c r="O121" s="753">
        <f>IF($C121="other",$C$7*L121,(VLOOKUP($C121,'S3 - Screening Tool Metrics'!$C$3:$G$17,5,FALSE)/100)*L121)</f>
        <v>140.74986011705909</v>
      </c>
      <c r="P121" s="753">
        <f t="shared" si="70"/>
        <v>58.645775048774617</v>
      </c>
      <c r="Q121" s="776">
        <f t="shared" ref="Q121:Q134" si="99">$G121*Q$3</f>
        <v>815121.60000000009</v>
      </c>
      <c r="R121" s="753">
        <f>VLOOKUP("*"&amp;$B121&amp;"*",'S4 - Summ PRS Characteristics'!$C$21:$Q$28,12,FALSE)*$J121</f>
        <v>99.152197862209945</v>
      </c>
      <c r="S121" s="753">
        <f>$J121-R121</f>
        <v>140.84780213779004</v>
      </c>
      <c r="T121" s="753">
        <f>IF($C121="other",(1-$C120)*R121,(1-(VLOOKUP($C121,'S3 - Screening Tool Metrics'!$C$3:$G$17,5,FALSE)/100))*R121)</f>
        <v>19.830439572441986</v>
      </c>
      <c r="U121" s="753">
        <f>IF($C121="other",$C120*R121,(VLOOKUP($C121,'S3 - Screening Tool Metrics'!$C$3:$G$17,5,FALSE)/100)*R121)</f>
        <v>79.321758289767956</v>
      </c>
      <c r="V121" s="777">
        <f t="shared" ref="V121:V134" si="100">U121/J121*100</f>
        <v>33.050732620736653</v>
      </c>
      <c r="W121" s="753">
        <f t="shared" ref="W121:W134" si="101">$G121*W$3</f>
        <v>407560.80000000005</v>
      </c>
      <c r="X121" s="753">
        <f>VLOOKUP("*"&amp;$B121&amp;"*",'S4 - Summ PRS Characteristics'!$C$21:$Q$28,13,FALSE)*$J121</f>
        <v>61.155101465710473</v>
      </c>
      <c r="Y121" s="753">
        <f>$J121-X121</f>
        <v>178.84489853428954</v>
      </c>
      <c r="Z121" s="753">
        <f>IF($C121="other",(1-$C120)*X121,(1-(VLOOKUP($C121,'S3 - Screening Tool Metrics'!$C$3:$G$17,5,FALSE)/100))*X121)</f>
        <v>12.231020293142091</v>
      </c>
      <c r="AA121" s="753">
        <f>IF($C121="other",$C120*X121,(VLOOKUP($C121,'S3 - Screening Tool Metrics'!$C$3:$G$17,5,FALSE)/100)*X121)</f>
        <v>48.924081172568378</v>
      </c>
      <c r="AB121" s="777">
        <f t="shared" ref="AB121:AB134" si="102">$AA121/$J121*100</f>
        <v>20.385033821903491</v>
      </c>
      <c r="AC121" s="776">
        <f t="shared" ref="AC121:AC134" si="103">$G121*AC$3</f>
        <v>203780.40000000002</v>
      </c>
      <c r="AD121" s="753">
        <f>VLOOKUP("*"&amp;$B121&amp;"*",'S4 - Summ PRS Characteristics'!$C$21:$Q$28,14,FALSE)*$J121</f>
        <v>36.772690565693573</v>
      </c>
      <c r="AE121" s="753">
        <f>$J121-AD121</f>
        <v>203.22730943430642</v>
      </c>
      <c r="AF121" s="753">
        <f>IF($C121="other",(1-$C120)*AD121,(1-(VLOOKUP($C121,'S3 - Screening Tool Metrics'!$C$3:$G$17,5,FALSE)/100))*AD121)</f>
        <v>7.3545381131387133</v>
      </c>
      <c r="AG121" s="753">
        <f>IF($C121="other",$C120*AD121,(VLOOKUP($C121,'S3 - Screening Tool Metrics'!$C$3:$G$17,5,FALSE)/100)*AD121)</f>
        <v>29.41815245255486</v>
      </c>
      <c r="AH121" s="777">
        <f t="shared" ref="AH121:AH134" si="104">$AG121/$J121*100</f>
        <v>12.257563521897859</v>
      </c>
      <c r="AI121" s="776">
        <f t="shared" ref="AI121:AI134" si="105">$G121*AI$3</f>
        <v>40756.080000000002</v>
      </c>
      <c r="AJ121" s="753">
        <f>VLOOKUP("*"&amp;$B121&amp;"*",'S4 - Summ PRS Characteristics'!$C$21:$Q$28,15,FALSE)*$J121</f>
        <v>10.600873049240464</v>
      </c>
      <c r="AK121" s="753">
        <f>$J121-AJ121</f>
        <v>229.39912695075952</v>
      </c>
      <c r="AL121" s="753">
        <f>IF($C121="other",(1-$C120)*AJ121,(1-(VLOOKUP($C121,'S3 - Screening Tool Metrics'!$C$3:$G$17,5,FALSE)/100))*AJ121)</f>
        <v>2.1201746098480925</v>
      </c>
      <c r="AM121" s="753">
        <f>IF($C121="other",$C120*AJ121,(VLOOKUP($C121,'S3 - Screening Tool Metrics'!$C$3:$G$17,5,FALSE)/100)*AJ121)</f>
        <v>8.4806984393923717</v>
      </c>
      <c r="AN121" s="778">
        <f t="shared" ref="AN121:AN134" si="106">$AM121/$J121*100</f>
        <v>3.5336243497468214</v>
      </c>
    </row>
    <row r="122" spans="2:40" x14ac:dyDescent="0.2">
      <c r="B122" s="768" t="s">
        <v>32</v>
      </c>
      <c r="C122" s="779" t="str">
        <f>$C121</f>
        <v>Other</v>
      </c>
      <c r="D122" s="780" t="s">
        <v>193</v>
      </c>
      <c r="E122" s="781">
        <f>VLOOKUP($B122&amp;"_"&amp;$D122,'App5 - CRUK Inci Rates'!C:H,6,FALSE)</f>
        <v>16.3</v>
      </c>
      <c r="F122" s="782">
        <f>VLOOKUP($B122&amp;"_"&amp;$D122,'App5 - CRUK Inci Rates'!C:H,3,FALSE)</f>
        <v>14.7</v>
      </c>
      <c r="G122" s="783">
        <f>VLOOKUP($B122&amp;"_"&amp;$D122,'App5 - CRUK Inci Rates'!C:J,8,FALSE)</f>
        <v>4567159.333333334</v>
      </c>
      <c r="H122" s="784">
        <f>VLOOKUP($B122&amp;"_"&amp;$D122,'App5 - CRUK Inci Rates'!C:J,7,FALSE)</f>
        <v>2251680</v>
      </c>
      <c r="I122" s="784">
        <f>VLOOKUP($B122&amp;"_"&amp;$D122,'App5 - CRUK Inci Rates'!C:J,4,FALSE)</f>
        <v>2315479.3333333335</v>
      </c>
      <c r="J122" s="778">
        <f>VLOOKUP($B122&amp;"_"&amp;$D122,'App5 - CRUK Inci Rates'!C:K,9,FALSE)</f>
        <v>706</v>
      </c>
      <c r="K122" s="753">
        <f t="shared" si="68"/>
        <v>2283579.666666667</v>
      </c>
      <c r="L122" s="753">
        <f>VLOOKUP("*"&amp;$B122&amp;"*",'S4 - Summ PRS Characteristics'!$C$21:$Q$28,11,FALSE)*$J122</f>
        <v>517.54896480543596</v>
      </c>
      <c r="M122" s="753">
        <f t="shared" si="69"/>
        <v>188.45103519456404</v>
      </c>
      <c r="N122" s="753">
        <f>IF($C122="other",(1-$C$7)*L122,(1-(VLOOKUP($C122,'S3 - Screening Tool Metrics'!$C$3:$G$17,5,FALSE)/100))*L122)</f>
        <v>103.50979296108717</v>
      </c>
      <c r="O122" s="753">
        <f>IF($C122="other",$C$7*L122,(VLOOKUP($C122,'S3 - Screening Tool Metrics'!$C$3:$G$17,5,FALSE)/100)*L122)</f>
        <v>414.0391718443488</v>
      </c>
      <c r="P122" s="753">
        <f t="shared" si="70"/>
        <v>58.645775048774617</v>
      </c>
      <c r="Q122" s="776">
        <f t="shared" si="99"/>
        <v>913431.86666666681</v>
      </c>
      <c r="R122" s="753">
        <f>VLOOKUP("*"&amp;$B122&amp;"*",'S4 - Summ PRS Characteristics'!$C$21:$Q$28,12,FALSE)*$J122</f>
        <v>291.67271537800093</v>
      </c>
      <c r="S122" s="753">
        <f t="shared" ref="S122:S134" si="107">$J122-R122</f>
        <v>414.32728462199907</v>
      </c>
      <c r="T122" s="753">
        <f>IF($C122="other",(1-$C120)*R122,(1-(VLOOKUP($C122,'S3 - Screening Tool Metrics'!$C$3:$G$17,5,FALSE)/100))*R122)</f>
        <v>58.334543075600173</v>
      </c>
      <c r="U122" s="753">
        <f>IF($C122="other",$C120*R122,(VLOOKUP($C122,'S3 - Screening Tool Metrics'!$C$3:$G$17,5,FALSE)/100)*R122)</f>
        <v>233.33817230240075</v>
      </c>
      <c r="V122" s="777">
        <f t="shared" si="100"/>
        <v>33.050732620736653</v>
      </c>
      <c r="W122" s="753">
        <f t="shared" si="101"/>
        <v>456715.93333333341</v>
      </c>
      <c r="X122" s="753">
        <f>VLOOKUP("*"&amp;$B122&amp;"*",'S4 - Summ PRS Characteristics'!$C$21:$Q$28,13,FALSE)*$J122</f>
        <v>179.89792347829831</v>
      </c>
      <c r="Y122" s="753">
        <f t="shared" ref="Y122:Y134" si="108">$J122-X122</f>
        <v>526.10207652170175</v>
      </c>
      <c r="Z122" s="753">
        <f>IF($C122="other",(1-$C120)*X122,(1-(VLOOKUP($C122,'S3 - Screening Tool Metrics'!$C$3:$G$17,5,FALSE)/100))*X122)</f>
        <v>35.979584695659653</v>
      </c>
      <c r="AA122" s="753">
        <f>IF($C122="other",$C120*X122,(VLOOKUP($C122,'S3 - Screening Tool Metrics'!$C$3:$G$17,5,FALSE)/100)*X122)</f>
        <v>143.91833878263864</v>
      </c>
      <c r="AB122" s="777">
        <f t="shared" si="102"/>
        <v>20.385033821903491</v>
      </c>
      <c r="AC122" s="776">
        <f t="shared" si="103"/>
        <v>228357.9666666667</v>
      </c>
      <c r="AD122" s="753">
        <f>VLOOKUP("*"&amp;$B122&amp;"*",'S4 - Summ PRS Characteristics'!$C$21:$Q$28,14,FALSE)*$J122</f>
        <v>108.1729980807486</v>
      </c>
      <c r="AE122" s="753">
        <f>$J122-AD122</f>
        <v>597.82700191925142</v>
      </c>
      <c r="AF122" s="753">
        <f>IF($C122="other",(1-$C120)*AD122,(1-(VLOOKUP($C122,'S3 - Screening Tool Metrics'!$C$3:$G$17,5,FALSE)/100))*AD122)</f>
        <v>21.634599616149714</v>
      </c>
      <c r="AG122" s="753">
        <f>IF($C122="other",$C120*AD122,(VLOOKUP($C122,'S3 - Screening Tool Metrics'!$C$3:$G$17,5,FALSE)/100)*AD122)</f>
        <v>86.538398464598885</v>
      </c>
      <c r="AH122" s="777">
        <f t="shared" si="104"/>
        <v>12.257563521897859</v>
      </c>
      <c r="AI122" s="776">
        <f t="shared" si="105"/>
        <v>45671.593333333338</v>
      </c>
      <c r="AJ122" s="753">
        <f>VLOOKUP("*"&amp;$B122&amp;"*",'S4 - Summ PRS Characteristics'!$C$21:$Q$28,15,FALSE)*$J122</f>
        <v>31.184234886515696</v>
      </c>
      <c r="AK122" s="753">
        <f t="shared" ref="AK122:AK134" si="109">$J122-AJ122</f>
        <v>674.8157651134843</v>
      </c>
      <c r="AL122" s="753">
        <f>IF($C122="other",(1-$C120)*AJ122,(1-(VLOOKUP($C122,'S3 - Screening Tool Metrics'!$C$3:$G$17,5,FALSE)/100))*AJ122)</f>
        <v>6.2368469773031379</v>
      </c>
      <c r="AM122" s="753">
        <f>IF($C122="other",$C120*AJ122,(VLOOKUP($C122,'S3 - Screening Tool Metrics'!$C$3:$G$17,5,FALSE)/100)*AJ122)</f>
        <v>24.947387909212559</v>
      </c>
      <c r="AN122" s="778">
        <f t="shared" si="106"/>
        <v>3.5336243497468214</v>
      </c>
    </row>
    <row r="123" spans="2:40" x14ac:dyDescent="0.2">
      <c r="B123" s="768" t="s">
        <v>32</v>
      </c>
      <c r="C123" s="779" t="str">
        <f>$C121</f>
        <v>Other</v>
      </c>
      <c r="D123" s="780" t="s">
        <v>194</v>
      </c>
      <c r="E123" s="781">
        <f>VLOOKUP($B123&amp;"_"&amp;$D123,'App5 - CRUK Inci Rates'!C:H,6,FALSE)</f>
        <v>33.4</v>
      </c>
      <c r="F123" s="782">
        <f>VLOOKUP($B123&amp;"_"&amp;$D123,'App5 - CRUK Inci Rates'!C:H,3,FALSE)</f>
        <v>31.5</v>
      </c>
      <c r="G123" s="783">
        <f>VLOOKUP($B123&amp;"_"&amp;$D123,'App5 - CRUK Inci Rates'!C:J,8,FALSE)</f>
        <v>4658110.666666666</v>
      </c>
      <c r="H123" s="784">
        <f>VLOOKUP($B123&amp;"_"&amp;$D123,'App5 - CRUK Inci Rates'!C:J,7,FALSE)</f>
        <v>2293472.6666666665</v>
      </c>
      <c r="I123" s="784">
        <f>VLOOKUP($B123&amp;"_"&amp;$D123,'App5 - CRUK Inci Rates'!C:J,4,FALSE)</f>
        <v>2364638</v>
      </c>
      <c r="J123" s="778">
        <f>VLOOKUP($B123&amp;"_"&amp;$D123,'App5 - CRUK Inci Rates'!C:K,9,FALSE)</f>
        <v>1512</v>
      </c>
      <c r="K123" s="753">
        <f t="shared" si="68"/>
        <v>2329055.333333333</v>
      </c>
      <c r="L123" s="753">
        <f>VLOOKUP("*"&amp;$B123&amp;"*",'S4 - Summ PRS Characteristics'!$C$21:$Q$28,11,FALSE)*$J123</f>
        <v>1108.4051484218403</v>
      </c>
      <c r="M123" s="753">
        <f t="shared" si="69"/>
        <v>403.59485157815971</v>
      </c>
      <c r="N123" s="753">
        <f>IF($C123="other",(1-$C$7)*L123,(1-(VLOOKUP($C123,'S3 - Screening Tool Metrics'!$C$3:$G$17,5,FALSE)/100))*L123)</f>
        <v>221.68102968436801</v>
      </c>
      <c r="O123" s="753">
        <f>IF($C123="other",$C$7*L123,(VLOOKUP($C123,'S3 - Screening Tool Metrics'!$C$3:$G$17,5,FALSE)/100)*L123)</f>
        <v>886.72411873747228</v>
      </c>
      <c r="P123" s="753">
        <f t="shared" si="70"/>
        <v>58.645775048774617</v>
      </c>
      <c r="Q123" s="776">
        <f t="shared" si="99"/>
        <v>931622.1333333333</v>
      </c>
      <c r="R123" s="753">
        <f>VLOOKUP("*"&amp;$B123&amp;"*",'S4 - Summ PRS Characteristics'!$C$21:$Q$28,12,FALSE)*$J123</f>
        <v>624.65884653192268</v>
      </c>
      <c r="S123" s="753">
        <f t="shared" si="107"/>
        <v>887.34115346807732</v>
      </c>
      <c r="T123" s="753">
        <f>IF($C123="other",(1-$C120)*R123,(1-(VLOOKUP($C123,'S3 - Screening Tool Metrics'!$C$3:$G$17,5,FALSE)/100))*R123)</f>
        <v>124.93176930638451</v>
      </c>
      <c r="U123" s="753">
        <f>IF($C123="other",$C120*R123,(VLOOKUP($C123,'S3 - Screening Tool Metrics'!$C$3:$G$17,5,FALSE)/100)*R123)</f>
        <v>499.72707722553815</v>
      </c>
      <c r="V123" s="777">
        <f t="shared" si="100"/>
        <v>33.050732620736653</v>
      </c>
      <c r="W123" s="753">
        <f t="shared" si="101"/>
        <v>465811.06666666665</v>
      </c>
      <c r="X123" s="753">
        <f>VLOOKUP("*"&amp;$B123&amp;"*",'S4 - Summ PRS Characteristics'!$C$21:$Q$28,13,FALSE)*$J123</f>
        <v>385.27713923397596</v>
      </c>
      <c r="Y123" s="753">
        <f t="shared" si="108"/>
        <v>1126.722860766024</v>
      </c>
      <c r="Z123" s="753">
        <f>IF($C123="other",(1-$C120)*X123,(1-(VLOOKUP($C123,'S3 - Screening Tool Metrics'!$C$3:$G$17,5,FALSE)/100))*X123)</f>
        <v>77.055427846795169</v>
      </c>
      <c r="AA123" s="753">
        <f>IF($C123="other",$C120*X123,(VLOOKUP($C123,'S3 - Screening Tool Metrics'!$C$3:$G$17,5,FALSE)/100)*X123)</f>
        <v>308.22171138718079</v>
      </c>
      <c r="AB123" s="777">
        <f t="shared" si="102"/>
        <v>20.385033821903491</v>
      </c>
      <c r="AC123" s="776">
        <f t="shared" si="103"/>
        <v>232905.53333333333</v>
      </c>
      <c r="AD123" s="753">
        <f>VLOOKUP("*"&amp;$B123&amp;"*",'S4 - Summ PRS Characteristics'!$C$21:$Q$28,14,FALSE)*$J123</f>
        <v>231.66795056386954</v>
      </c>
      <c r="AE123" s="753">
        <f t="shared" ref="AE123:AE134" si="110">$J123-AD123</f>
        <v>1280.3320494361305</v>
      </c>
      <c r="AF123" s="753">
        <f>IF($C123="other",(1-$C120)*AD123,(1-(VLOOKUP($C123,'S3 - Screening Tool Metrics'!$C$3:$G$17,5,FALSE)/100))*AD123)</f>
        <v>46.333590112773898</v>
      </c>
      <c r="AG123" s="753">
        <f>IF($C123="other",$C120*AD123,(VLOOKUP($C123,'S3 - Screening Tool Metrics'!$C$3:$G$17,5,FALSE)/100)*AD123)</f>
        <v>185.33436045109565</v>
      </c>
      <c r="AH123" s="777">
        <f t="shared" si="104"/>
        <v>12.257563521897859</v>
      </c>
      <c r="AI123" s="776">
        <f t="shared" si="105"/>
        <v>46581.106666666659</v>
      </c>
      <c r="AJ123" s="753">
        <f>VLOOKUP("*"&amp;$B123&amp;"*",'S4 - Summ PRS Characteristics'!$C$21:$Q$28,15,FALSE)*$J123</f>
        <v>66.78550021021492</v>
      </c>
      <c r="AK123" s="753">
        <f t="shared" si="109"/>
        <v>1445.2144997897851</v>
      </c>
      <c r="AL123" s="753">
        <f>IF($C123="other",(1-$C120)*AJ123,(1-(VLOOKUP($C123,'S3 - Screening Tool Metrics'!$C$3:$G$17,5,FALSE)/100))*AJ123)</f>
        <v>13.357100042042982</v>
      </c>
      <c r="AM123" s="753">
        <f>IF($C123="other",$C120*AJ123,(VLOOKUP($C123,'S3 - Screening Tool Metrics'!$C$3:$G$17,5,FALSE)/100)*AJ123)</f>
        <v>53.42840016817194</v>
      </c>
      <c r="AN123" s="778">
        <f t="shared" si="106"/>
        <v>3.5336243497468214</v>
      </c>
    </row>
    <row r="124" spans="2:40" x14ac:dyDescent="0.2">
      <c r="B124" s="768" t="s">
        <v>32</v>
      </c>
      <c r="C124" s="779" t="str">
        <f>$C121</f>
        <v>Other</v>
      </c>
      <c r="D124" s="780" t="s">
        <v>195</v>
      </c>
      <c r="E124" s="781">
        <f>VLOOKUP($B124&amp;"_"&amp;$D124,'App5 - CRUK Inci Rates'!C:H,6,FALSE)</f>
        <v>71.400000000000006</v>
      </c>
      <c r="F124" s="782">
        <f>VLOOKUP($B124&amp;"_"&amp;$D124,'App5 - CRUK Inci Rates'!C:H,3,FALSE)</f>
        <v>67.099999999999994</v>
      </c>
      <c r="G124" s="783">
        <f>VLOOKUP($B124&amp;"_"&amp;$D124,'App5 - CRUK Inci Rates'!C:J,8,FALSE)</f>
        <v>4181606</v>
      </c>
      <c r="H124" s="784">
        <f>VLOOKUP($B124&amp;"_"&amp;$D124,'App5 - CRUK Inci Rates'!C:J,7,FALSE)</f>
        <v>2061918.6666666667</v>
      </c>
      <c r="I124" s="784">
        <f>VLOOKUP($B124&amp;"_"&amp;$D124,'App5 - CRUK Inci Rates'!C:J,4,FALSE)</f>
        <v>2119687.3333333335</v>
      </c>
      <c r="J124" s="778">
        <f>VLOOKUP($B124&amp;"_"&amp;$D124,'App5 - CRUK Inci Rates'!C:K,9,FALSE)</f>
        <v>2896</v>
      </c>
      <c r="K124" s="753">
        <f t="shared" si="68"/>
        <v>2090803</v>
      </c>
      <c r="L124" s="753">
        <f>VLOOKUP("*"&amp;$B124&amp;"*",'S4 - Summ PRS Characteristics'!$C$21:$Q$28,11,FALSE)*$J124</f>
        <v>2122.977056765641</v>
      </c>
      <c r="M124" s="753">
        <f t="shared" si="69"/>
        <v>773.02294323435899</v>
      </c>
      <c r="N124" s="753">
        <f>IF($C124="other",(1-$C$7)*L124,(1-(VLOOKUP($C124,'S3 - Screening Tool Metrics'!$C$3:$G$17,5,FALSE)/100))*L124)</f>
        <v>424.5954113531281</v>
      </c>
      <c r="O124" s="753">
        <f>IF($C124="other",$C$7*L124,(VLOOKUP($C124,'S3 - Screening Tool Metrics'!$C$3:$G$17,5,FALSE)/100)*L124)</f>
        <v>1698.3816454125129</v>
      </c>
      <c r="P124" s="753">
        <f t="shared" si="70"/>
        <v>58.645775048774617</v>
      </c>
      <c r="Q124" s="776">
        <f t="shared" si="99"/>
        <v>836321.20000000007</v>
      </c>
      <c r="R124" s="753">
        <f>VLOOKUP("*"&amp;$B124&amp;"*",'S4 - Summ PRS Characteristics'!$C$21:$Q$28,12,FALSE)*$J124</f>
        <v>1196.4365208706665</v>
      </c>
      <c r="S124" s="753">
        <f t="shared" si="107"/>
        <v>1699.5634791293335</v>
      </c>
      <c r="T124" s="753">
        <f>IF($C124="other",(1-$C120)*R124,(1-(VLOOKUP($C124,'S3 - Screening Tool Metrics'!$C$3:$G$17,5,FALSE)/100))*R124)</f>
        <v>239.28730417413325</v>
      </c>
      <c r="U124" s="753">
        <f>IF($C124="other",$C120*R124,(VLOOKUP($C124,'S3 - Screening Tool Metrics'!$C$3:$G$17,5,FALSE)/100)*R124)</f>
        <v>957.14921669653324</v>
      </c>
      <c r="V124" s="777">
        <f t="shared" si="100"/>
        <v>33.050732620736646</v>
      </c>
      <c r="W124" s="753">
        <f t="shared" si="101"/>
        <v>418160.60000000003</v>
      </c>
      <c r="X124" s="753">
        <f>VLOOKUP("*"&amp;$B124&amp;"*",'S4 - Summ PRS Characteristics'!$C$21:$Q$28,13,FALSE)*$J124</f>
        <v>737.93822435290633</v>
      </c>
      <c r="Y124" s="753">
        <f t="shared" si="108"/>
        <v>2158.0617756470938</v>
      </c>
      <c r="Z124" s="753">
        <f>IF($C124="other",(1-$C120)*X124,(1-(VLOOKUP($C124,'S3 - Screening Tool Metrics'!$C$3:$G$17,5,FALSE)/100))*X124)</f>
        <v>147.58764487058124</v>
      </c>
      <c r="AA124" s="753">
        <f>IF($C124="other",$C120*X124,(VLOOKUP($C124,'S3 - Screening Tool Metrics'!$C$3:$G$17,5,FALSE)/100)*X124)</f>
        <v>590.35057948232509</v>
      </c>
      <c r="AB124" s="777">
        <f t="shared" si="102"/>
        <v>20.385033821903491</v>
      </c>
      <c r="AC124" s="776">
        <f t="shared" si="103"/>
        <v>209080.30000000002</v>
      </c>
      <c r="AD124" s="753">
        <f>VLOOKUP("*"&amp;$B124&amp;"*",'S4 - Summ PRS Characteristics'!$C$21:$Q$28,14,FALSE)*$J124</f>
        <v>443.72379949270248</v>
      </c>
      <c r="AE124" s="753">
        <f t="shared" si="110"/>
        <v>2452.2762005072973</v>
      </c>
      <c r="AF124" s="753">
        <f>IF($C124="other",(1-$C120)*AD124,(1-(VLOOKUP($C124,'S3 - Screening Tool Metrics'!$C$3:$G$17,5,FALSE)/100))*AD124)</f>
        <v>88.74475989854048</v>
      </c>
      <c r="AG124" s="753">
        <f>IF($C124="other",$C120*AD124,(VLOOKUP($C124,'S3 - Screening Tool Metrics'!$C$3:$G$17,5,FALSE)/100)*AD124)</f>
        <v>354.97903959416203</v>
      </c>
      <c r="AH124" s="777">
        <f t="shared" si="104"/>
        <v>12.257563521897859</v>
      </c>
      <c r="AI124" s="776">
        <f t="shared" si="105"/>
        <v>41816.06</v>
      </c>
      <c r="AJ124" s="753">
        <f>VLOOKUP("*"&amp;$B124&amp;"*",'S4 - Summ PRS Characteristics'!$C$21:$Q$28,15,FALSE)*$J124</f>
        <v>127.91720146083493</v>
      </c>
      <c r="AK124" s="753">
        <f t="shared" si="109"/>
        <v>2768.0827985391652</v>
      </c>
      <c r="AL124" s="753">
        <f>IF($C124="other",(1-$C120)*AJ124,(1-(VLOOKUP($C124,'S3 - Screening Tool Metrics'!$C$3:$G$17,5,FALSE)/100))*AJ124)</f>
        <v>25.58344029216698</v>
      </c>
      <c r="AM124" s="753">
        <f>IF($C124="other",$C120*AJ124,(VLOOKUP($C124,'S3 - Screening Tool Metrics'!$C$3:$G$17,5,FALSE)/100)*AJ124)</f>
        <v>102.33376116866795</v>
      </c>
      <c r="AN124" s="778">
        <f t="shared" si="106"/>
        <v>3.5336243497468214</v>
      </c>
    </row>
    <row r="125" spans="2:40" x14ac:dyDescent="0.2">
      <c r="B125" s="768" t="s">
        <v>32</v>
      </c>
      <c r="C125" s="779" t="str">
        <f>$C121</f>
        <v>Other</v>
      </c>
      <c r="D125" s="780" t="s">
        <v>196</v>
      </c>
      <c r="E125" s="781">
        <f>VLOOKUP($B125&amp;"_"&amp;$D125,'App5 - CRUK Inci Rates'!C:H,6,FALSE)</f>
        <v>137</v>
      </c>
      <c r="F125" s="782">
        <f>VLOOKUP($B125&amp;"_"&amp;$D125,'App5 - CRUK Inci Rates'!C:H,3,FALSE)</f>
        <v>124.9</v>
      </c>
      <c r="G125" s="783">
        <f>VLOOKUP($B125&amp;"_"&amp;$D125,'App5 - CRUK Inci Rates'!C:J,8,FALSE)</f>
        <v>3602002</v>
      </c>
      <c r="H125" s="784">
        <f>VLOOKUP($B125&amp;"_"&amp;$D125,'App5 - CRUK Inci Rates'!C:J,7,FALSE)</f>
        <v>1764828</v>
      </c>
      <c r="I125" s="784">
        <f>VLOOKUP($B125&amp;"_"&amp;$D125,'App5 - CRUK Inci Rates'!C:J,4,FALSE)</f>
        <v>1837174</v>
      </c>
      <c r="J125" s="778">
        <f>VLOOKUP($B125&amp;"_"&amp;$D125,'App5 - CRUK Inci Rates'!C:K,9,FALSE)</f>
        <v>4711</v>
      </c>
      <c r="K125" s="753">
        <f t="shared" si="68"/>
        <v>1801001</v>
      </c>
      <c r="L125" s="753">
        <f>VLOOKUP("*"&amp;$B125&amp;"*",'S4 - Summ PRS Characteristics'!$C$21:$Q$28,11,FALSE)*$J125</f>
        <v>3453.5030781847149</v>
      </c>
      <c r="M125" s="753">
        <f t="shared" si="69"/>
        <v>1257.4969218152851</v>
      </c>
      <c r="N125" s="753">
        <f>IF($C125="other",(1-$C$7)*L125,(1-(VLOOKUP($C125,'S3 - Screening Tool Metrics'!$C$3:$G$17,5,FALSE)/100))*L125)</f>
        <v>690.70061563694287</v>
      </c>
      <c r="O125" s="753">
        <f>IF($C125="other",$C$7*L125,(VLOOKUP($C125,'S3 - Screening Tool Metrics'!$C$3:$G$17,5,FALSE)/100)*L125)</f>
        <v>2762.8024625477719</v>
      </c>
      <c r="P125" s="753">
        <f t="shared" si="70"/>
        <v>58.64577504877461</v>
      </c>
      <c r="Q125" s="776">
        <f t="shared" si="99"/>
        <v>720400.4</v>
      </c>
      <c r="R125" s="753">
        <f>VLOOKUP("*"&amp;$B125&amp;"*",'S4 - Summ PRS Characteristics'!$C$21:$Q$28,12,FALSE)*$J125</f>
        <v>1946.2750172036292</v>
      </c>
      <c r="S125" s="753">
        <f t="shared" si="107"/>
        <v>2764.7249827963706</v>
      </c>
      <c r="T125" s="753">
        <f>IF($C125="other",(1-$C120)*R125,(1-(VLOOKUP($C125,'S3 - Screening Tool Metrics'!$C$3:$G$17,5,FALSE)/100))*R125)</f>
        <v>389.25500344072577</v>
      </c>
      <c r="U125" s="753">
        <f>IF($C125="other",$C120*R125,(VLOOKUP($C125,'S3 - Screening Tool Metrics'!$C$3:$G$17,5,FALSE)/100)*R125)</f>
        <v>1557.0200137629035</v>
      </c>
      <c r="V125" s="777">
        <f t="shared" si="100"/>
        <v>33.050732620736653</v>
      </c>
      <c r="W125" s="753">
        <f t="shared" si="101"/>
        <v>360200.2</v>
      </c>
      <c r="X125" s="753">
        <f>VLOOKUP("*"&amp;$B125&amp;"*",'S4 - Summ PRS Characteristics'!$C$21:$Q$28,13,FALSE)*$J125</f>
        <v>1200.4236791873418</v>
      </c>
      <c r="Y125" s="753">
        <f t="shared" si="108"/>
        <v>3510.5763208126582</v>
      </c>
      <c r="Z125" s="753">
        <f>IF($C125="other",(1-$C120)*X125,(1-(VLOOKUP($C125,'S3 - Screening Tool Metrics'!$C$3:$G$17,5,FALSE)/100))*X125)</f>
        <v>240.08473583746832</v>
      </c>
      <c r="AA125" s="753">
        <f>IF($C125="other",$C120*X125,(VLOOKUP($C125,'S3 - Screening Tool Metrics'!$C$3:$G$17,5,FALSE)/100)*X125)</f>
        <v>960.33894334987349</v>
      </c>
      <c r="AB125" s="777">
        <f t="shared" si="102"/>
        <v>20.385033821903491</v>
      </c>
      <c r="AC125" s="776">
        <f t="shared" si="103"/>
        <v>180100.1</v>
      </c>
      <c r="AD125" s="753">
        <f>VLOOKUP("*"&amp;$B125&amp;"*",'S4 - Summ PRS Characteristics'!$C$21:$Q$28,14,FALSE)*$J125</f>
        <v>721.81727189576009</v>
      </c>
      <c r="AE125" s="753">
        <f t="shared" si="110"/>
        <v>3989.1827281042397</v>
      </c>
      <c r="AF125" s="753">
        <f>IF($C125="other",(1-$C120)*AD125,(1-(VLOOKUP($C125,'S3 - Screening Tool Metrics'!$C$3:$G$17,5,FALSE)/100))*AD125)</f>
        <v>144.36345437915199</v>
      </c>
      <c r="AG125" s="753">
        <f>IF($C125="other",$C120*AD125,(VLOOKUP($C125,'S3 - Screening Tool Metrics'!$C$3:$G$17,5,FALSE)/100)*AD125)</f>
        <v>577.45381751660807</v>
      </c>
      <c r="AH125" s="777">
        <f t="shared" si="104"/>
        <v>12.257563521897858</v>
      </c>
      <c r="AI125" s="776">
        <f t="shared" si="105"/>
        <v>36020.020000000004</v>
      </c>
      <c r="AJ125" s="753">
        <f>VLOOKUP("*"&amp;$B125&amp;"*",'S4 - Summ PRS Characteristics'!$C$21:$Q$28,15,FALSE)*$J125</f>
        <v>208.08630389571593</v>
      </c>
      <c r="AK125" s="753">
        <f t="shared" si="109"/>
        <v>4502.9136961042841</v>
      </c>
      <c r="AL125" s="753">
        <f>IF($C125="other",(1-$C120)*AJ125,(1-(VLOOKUP($C125,'S3 - Screening Tool Metrics'!$C$3:$G$17,5,FALSE)/100))*AJ125)</f>
        <v>41.617260779143173</v>
      </c>
      <c r="AM125" s="753">
        <f>IF($C125="other",$C120*AJ125,(VLOOKUP($C125,'S3 - Screening Tool Metrics'!$C$3:$G$17,5,FALSE)/100)*AJ125)</f>
        <v>166.46904311657275</v>
      </c>
      <c r="AN125" s="778">
        <f t="shared" si="106"/>
        <v>3.5336243497468214</v>
      </c>
    </row>
    <row r="126" spans="2:40" x14ac:dyDescent="0.2">
      <c r="B126" s="768" t="s">
        <v>32</v>
      </c>
      <c r="C126" s="779" t="str">
        <f>$C121</f>
        <v>Other</v>
      </c>
      <c r="D126" s="780" t="s">
        <v>197</v>
      </c>
      <c r="E126" s="781">
        <f>VLOOKUP($B126&amp;"_"&amp;$D126,'App5 - CRUK Inci Rates'!C:H,6,FALSE)</f>
        <v>229.5</v>
      </c>
      <c r="F126" s="782">
        <f>VLOOKUP($B126&amp;"_"&amp;$D126,'App5 - CRUK Inci Rates'!C:H,3,FALSE)</f>
        <v>197.8</v>
      </c>
      <c r="G126" s="783">
        <f>VLOOKUP($B126&amp;"_"&amp;$D126,'App5 - CRUK Inci Rates'!C:J,8,FALSE)</f>
        <v>3502183.333333333</v>
      </c>
      <c r="H126" s="784">
        <f>VLOOKUP($B126&amp;"_"&amp;$D126,'App5 - CRUK Inci Rates'!C:J,7,FALSE)</f>
        <v>1696993.3333333333</v>
      </c>
      <c r="I126" s="784">
        <f>VLOOKUP($B126&amp;"_"&amp;$D126,'App5 - CRUK Inci Rates'!C:J,4,FALSE)</f>
        <v>1805190</v>
      </c>
      <c r="J126" s="778">
        <f>VLOOKUP($B126&amp;"_"&amp;$D126,'App5 - CRUK Inci Rates'!C:K,9,FALSE)</f>
        <v>7466</v>
      </c>
      <c r="K126" s="753">
        <f t="shared" si="68"/>
        <v>1751091.6666666665</v>
      </c>
      <c r="L126" s="753">
        <f>VLOOKUP("*"&amp;$B126&amp;"*",'S4 - Summ PRS Characteristics'!$C$21:$Q$28,11,FALSE)*$J126</f>
        <v>5473.1169564268912</v>
      </c>
      <c r="M126" s="753">
        <f t="shared" si="69"/>
        <v>1992.8830435731088</v>
      </c>
      <c r="N126" s="753">
        <f>IF($C126="other",(1-$C$7)*L126,(1-(VLOOKUP($C126,'S3 - Screening Tool Metrics'!$C$3:$G$17,5,FALSE)/100))*L126)</f>
        <v>1094.6233912853779</v>
      </c>
      <c r="O126" s="753">
        <f>IF($C126="other",$C$7*L126,(VLOOKUP($C126,'S3 - Screening Tool Metrics'!$C$3:$G$17,5,FALSE)/100)*L126)</f>
        <v>4378.4935651415135</v>
      </c>
      <c r="P126" s="753">
        <f t="shared" si="70"/>
        <v>58.645775048774631</v>
      </c>
      <c r="Q126" s="776">
        <f t="shared" si="99"/>
        <v>700436.66666666663</v>
      </c>
      <c r="R126" s="753">
        <f>VLOOKUP("*"&amp;$B126&amp;"*",'S4 - Summ PRS Characteristics'!$C$21:$Q$28,12,FALSE)*$J126</f>
        <v>3084.4596218302477</v>
      </c>
      <c r="S126" s="753">
        <f t="shared" si="107"/>
        <v>4381.5403781697523</v>
      </c>
      <c r="T126" s="753">
        <f>IF($C126="other",(1-$C120)*R126,(1-(VLOOKUP($C126,'S3 - Screening Tool Metrics'!$C$3:$G$17,5,FALSE)/100))*R126)</f>
        <v>616.89192436604935</v>
      </c>
      <c r="U126" s="753">
        <f>IF($C126="other",$C120*R126,(VLOOKUP($C126,'S3 - Screening Tool Metrics'!$C$3:$G$17,5,FALSE)/100)*R126)</f>
        <v>2467.5676974641983</v>
      </c>
      <c r="V126" s="777">
        <f t="shared" si="100"/>
        <v>33.050732620736653</v>
      </c>
      <c r="W126" s="753">
        <f t="shared" si="101"/>
        <v>350218.33333333331</v>
      </c>
      <c r="X126" s="753">
        <f>VLOOKUP("*"&amp;$B126&amp;"*",'S4 - Summ PRS Characteristics'!$C$21:$Q$28,13,FALSE)*$J126</f>
        <v>1902.4332814291433</v>
      </c>
      <c r="Y126" s="753">
        <f t="shared" si="108"/>
        <v>5563.5667185708571</v>
      </c>
      <c r="Z126" s="753">
        <f>IF($C126="other",(1-$C120)*X126,(1-(VLOOKUP($C126,'S3 - Screening Tool Metrics'!$C$3:$G$17,5,FALSE)/100))*X126)</f>
        <v>380.48665628582859</v>
      </c>
      <c r="AA126" s="753">
        <f>IF($C126="other",$C120*X126,(VLOOKUP($C126,'S3 - Screening Tool Metrics'!$C$3:$G$17,5,FALSE)/100)*X126)</f>
        <v>1521.9466251433148</v>
      </c>
      <c r="AB126" s="777">
        <f t="shared" si="102"/>
        <v>20.385033821903491</v>
      </c>
      <c r="AC126" s="776">
        <f t="shared" si="103"/>
        <v>175109.16666666666</v>
      </c>
      <c r="AD126" s="753">
        <f>VLOOKUP("*"&amp;$B126&amp;"*",'S4 - Summ PRS Characteristics'!$C$21:$Q$28,14,FALSE)*$J126</f>
        <v>1143.9371156811176</v>
      </c>
      <c r="AE126" s="753">
        <f t="shared" si="110"/>
        <v>6322.0628843188824</v>
      </c>
      <c r="AF126" s="753">
        <f>IF($C126="other",(1-$C120)*AD126,(1-(VLOOKUP($C126,'S3 - Screening Tool Metrics'!$C$3:$G$17,5,FALSE)/100))*AD126)</f>
        <v>228.78742313622345</v>
      </c>
      <c r="AG126" s="753">
        <f>IF($C126="other",$C120*AD126,(VLOOKUP($C126,'S3 - Screening Tool Metrics'!$C$3:$G$17,5,FALSE)/100)*AD126)</f>
        <v>915.14969254489415</v>
      </c>
      <c r="AH126" s="777">
        <f t="shared" si="104"/>
        <v>12.257563521897859</v>
      </c>
      <c r="AI126" s="776">
        <f t="shared" si="105"/>
        <v>35021.833333333328</v>
      </c>
      <c r="AJ126" s="753">
        <f>VLOOKUP("*"&amp;$B126&amp;"*",'S4 - Summ PRS Characteristics'!$C$21:$Q$28,15,FALSE)*$J126</f>
        <v>329.77549244012209</v>
      </c>
      <c r="AK126" s="753">
        <f t="shared" si="109"/>
        <v>7136.2245075598776</v>
      </c>
      <c r="AL126" s="753">
        <f>IF($C126="other",(1-$C120)*AJ126,(1-(VLOOKUP($C126,'S3 - Screening Tool Metrics'!$C$3:$G$17,5,FALSE)/100))*AJ126)</f>
        <v>65.955098488024404</v>
      </c>
      <c r="AM126" s="753">
        <f>IF($C126="other",$C120*AJ126,(VLOOKUP($C126,'S3 - Screening Tool Metrics'!$C$3:$G$17,5,FALSE)/100)*AJ126)</f>
        <v>263.82039395209767</v>
      </c>
      <c r="AN126" s="778">
        <f t="shared" si="106"/>
        <v>3.5336243497468214</v>
      </c>
    </row>
    <row r="127" spans="2:40" x14ac:dyDescent="0.2">
      <c r="B127" s="768" t="s">
        <v>32</v>
      </c>
      <c r="C127" s="779" t="str">
        <f>$C121</f>
        <v>Other</v>
      </c>
      <c r="D127" s="780" t="s">
        <v>198</v>
      </c>
      <c r="E127" s="781">
        <f>VLOOKUP($B127&amp;"_"&amp;$D127,'App5 - CRUK Inci Rates'!C:H,6,FALSE)</f>
        <v>335</v>
      </c>
      <c r="F127" s="782">
        <f>VLOOKUP($B127&amp;"_"&amp;$D127,'App5 - CRUK Inci Rates'!C:H,3,FALSE)</f>
        <v>278.10000000000002</v>
      </c>
      <c r="G127" s="783">
        <f>VLOOKUP($B127&amp;"_"&amp;$D127,'App5 - CRUK Inci Rates'!C:J,8,FALSE)</f>
        <v>3071574.666666667</v>
      </c>
      <c r="H127" s="784">
        <f>VLOOKUP($B127&amp;"_"&amp;$D127,'App5 - CRUK Inci Rates'!C:J,7,FALSE)</f>
        <v>1467965</v>
      </c>
      <c r="I127" s="784">
        <f>VLOOKUP($B127&amp;"_"&amp;$D127,'App5 - CRUK Inci Rates'!C:J,4,FALSE)</f>
        <v>1603609.6666666667</v>
      </c>
      <c r="J127" s="778">
        <f>VLOOKUP($B127&amp;"_"&amp;$D127,'App5 - CRUK Inci Rates'!C:K,9,FALSE)</f>
        <v>9378</v>
      </c>
      <c r="K127" s="753">
        <f t="shared" si="68"/>
        <v>1535787.3333333335</v>
      </c>
      <c r="L127" s="753">
        <f>VLOOKUP("*"&amp;$B127&amp;"*",'S4 - Summ PRS Characteristics'!$C$21:$Q$28,11,FALSE)*$J127</f>
        <v>6874.7509800926036</v>
      </c>
      <c r="M127" s="753">
        <f t="shared" si="69"/>
        <v>2503.2490199073964</v>
      </c>
      <c r="N127" s="753">
        <f>IF($C127="other",(1-$C$7)*L127,(1-(VLOOKUP($C127,'S3 - Screening Tool Metrics'!$C$3:$G$17,5,FALSE)/100))*L127)</f>
        <v>1374.9501960185205</v>
      </c>
      <c r="O127" s="753">
        <f>IF($C127="other",$C$7*L127,(VLOOKUP($C127,'S3 - Screening Tool Metrics'!$C$3:$G$17,5,FALSE)/100)*L127)</f>
        <v>5499.8007840740829</v>
      </c>
      <c r="P127" s="753">
        <f t="shared" si="70"/>
        <v>58.64577504877461</v>
      </c>
      <c r="Q127" s="776">
        <f t="shared" si="99"/>
        <v>614314.93333333347</v>
      </c>
      <c r="R127" s="753">
        <f>VLOOKUP("*"&amp;$B127&amp;"*",'S4 - Summ PRS Characteristics'!$C$21:$Q$28,12,FALSE)*$J127</f>
        <v>3874.3721314658533</v>
      </c>
      <c r="S127" s="753">
        <f t="shared" si="107"/>
        <v>5503.6278685341467</v>
      </c>
      <c r="T127" s="753">
        <f>IF($C127="other",(1-$C120)*R127,(1-(VLOOKUP($C127,'S3 - Screening Tool Metrics'!$C$3:$G$17,5,FALSE)/100))*R127)</f>
        <v>774.87442629317047</v>
      </c>
      <c r="U127" s="753">
        <f>IF($C127="other",$C120*R127,(VLOOKUP($C127,'S3 - Screening Tool Metrics'!$C$3:$G$17,5,FALSE)/100)*R127)</f>
        <v>3099.4977051726828</v>
      </c>
      <c r="V127" s="777">
        <f t="shared" si="100"/>
        <v>33.050732620736646</v>
      </c>
      <c r="W127" s="753">
        <f t="shared" si="101"/>
        <v>307157.46666666673</v>
      </c>
      <c r="X127" s="753">
        <f>VLOOKUP("*"&amp;$B127&amp;"*",'S4 - Summ PRS Characteristics'!$C$21:$Q$28,13,FALSE)*$J127</f>
        <v>2389.6355897726366</v>
      </c>
      <c r="Y127" s="753">
        <f t="shared" si="108"/>
        <v>6988.3644102273629</v>
      </c>
      <c r="Z127" s="753">
        <f>IF($C127="other",(1-$C120)*X127,(1-(VLOOKUP($C127,'S3 - Screening Tool Metrics'!$C$3:$G$17,5,FALSE)/100))*X127)</f>
        <v>477.9271179545272</v>
      </c>
      <c r="AA127" s="753">
        <f>IF($C127="other",$C120*X127,(VLOOKUP($C127,'S3 - Screening Tool Metrics'!$C$3:$G$17,5,FALSE)/100)*X127)</f>
        <v>1911.7084718181095</v>
      </c>
      <c r="AB127" s="777">
        <f t="shared" si="102"/>
        <v>20.385033821903491</v>
      </c>
      <c r="AC127" s="776">
        <f t="shared" si="103"/>
        <v>153578.73333333337</v>
      </c>
      <c r="AD127" s="753">
        <f>VLOOKUP("*"&amp;$B127&amp;"*",'S4 - Summ PRS Characteristics'!$C$21:$Q$28,14,FALSE)*$J127</f>
        <v>1436.8928838544764</v>
      </c>
      <c r="AE127" s="753">
        <f t="shared" si="110"/>
        <v>7941.1071161455238</v>
      </c>
      <c r="AF127" s="753">
        <f>IF($C127="other",(1-$C120)*AD127,(1-(VLOOKUP($C127,'S3 - Screening Tool Metrics'!$C$3:$G$17,5,FALSE)/100))*AD127)</f>
        <v>287.37857677089522</v>
      </c>
      <c r="AG127" s="753">
        <f>IF($C127="other",$C120*AD127,(VLOOKUP($C127,'S3 - Screening Tool Metrics'!$C$3:$G$17,5,FALSE)/100)*AD127)</f>
        <v>1149.5143070835811</v>
      </c>
      <c r="AH127" s="777">
        <f t="shared" si="104"/>
        <v>12.257563521897858</v>
      </c>
      <c r="AI127" s="776">
        <f t="shared" si="105"/>
        <v>30715.74666666667</v>
      </c>
      <c r="AJ127" s="753">
        <f>VLOOKUP("*"&amp;$B127&amp;"*",'S4 - Summ PRS Characteristics'!$C$21:$Q$28,15,FALSE)*$J127</f>
        <v>414.22911439907114</v>
      </c>
      <c r="AK127" s="753">
        <f t="shared" si="109"/>
        <v>8963.7708856009285</v>
      </c>
      <c r="AL127" s="753">
        <f>IF($C127="other",(1-$C120)*AJ127,(1-(VLOOKUP($C127,'S3 - Screening Tool Metrics'!$C$3:$G$17,5,FALSE)/100))*AJ127)</f>
        <v>82.845822879814207</v>
      </c>
      <c r="AM127" s="753">
        <f>IF($C127="other",$C120*AJ127,(VLOOKUP($C127,'S3 - Screening Tool Metrics'!$C$3:$G$17,5,FALSE)/100)*AJ127)</f>
        <v>331.38329151925694</v>
      </c>
      <c r="AN127" s="778">
        <f t="shared" si="106"/>
        <v>3.5336243497468214</v>
      </c>
    </row>
    <row r="128" spans="2:40" x14ac:dyDescent="0.2">
      <c r="B128" s="768" t="s">
        <v>32</v>
      </c>
      <c r="C128" s="779" t="str">
        <f>$C121</f>
        <v>Other</v>
      </c>
      <c r="D128" s="780" t="s">
        <v>199</v>
      </c>
      <c r="E128" s="781">
        <f>VLOOKUP($B128&amp;"_"&amp;$D128,'App5 - CRUK Inci Rates'!C:H,6,FALSE)</f>
        <v>462.2</v>
      </c>
      <c r="F128" s="782">
        <f>VLOOKUP($B128&amp;"_"&amp;$D128,'App5 - CRUK Inci Rates'!C:H,3,FALSE)</f>
        <v>340.5</v>
      </c>
      <c r="G128" s="783">
        <f>VLOOKUP($B128&amp;"_"&amp;$D128,'App5 - CRUK Inci Rates'!C:J,8,FALSE)</f>
        <v>2189010.6666666665</v>
      </c>
      <c r="H128" s="784">
        <f>VLOOKUP($B128&amp;"_"&amp;$D128,'App5 - CRUK Inci Rates'!C:J,7,FALSE)</f>
        <v>1007365.3333333334</v>
      </c>
      <c r="I128" s="784">
        <f>VLOOKUP($B128&amp;"_"&amp;$D128,'App5 - CRUK Inci Rates'!C:J,4,FALSE)</f>
        <v>1181645.3333333333</v>
      </c>
      <c r="J128" s="778">
        <f>VLOOKUP($B128&amp;"_"&amp;$D128,'App5 - CRUK Inci Rates'!C:K,9,FALSE)</f>
        <v>8680</v>
      </c>
      <c r="K128" s="753">
        <f t="shared" si="68"/>
        <v>1094505.3333333333</v>
      </c>
      <c r="L128" s="753">
        <f>VLOOKUP("*"&amp;$B128&amp;"*",'S4 - Summ PRS Characteristics'!$C$21:$Q$28,11,FALSE)*$J128</f>
        <v>6363.0665927920454</v>
      </c>
      <c r="M128" s="753">
        <f t="shared" si="69"/>
        <v>2316.9334072079546</v>
      </c>
      <c r="N128" s="753">
        <f>IF($C128="other",(1-$C$7)*L128,(1-(VLOOKUP($C128,'S3 - Screening Tool Metrics'!$C$3:$G$17,5,FALSE)/100))*L128)</f>
        <v>1272.6133185584088</v>
      </c>
      <c r="O128" s="753">
        <f>IF($C128="other",$C$7*L128,(VLOOKUP($C128,'S3 - Screening Tool Metrics'!$C$3:$G$17,5,FALSE)/100)*L128)</f>
        <v>5090.4532742336369</v>
      </c>
      <c r="P128" s="753">
        <f t="shared" si="70"/>
        <v>58.645775048774617</v>
      </c>
      <c r="Q128" s="776">
        <f t="shared" si="99"/>
        <v>437802.1333333333</v>
      </c>
      <c r="R128" s="753">
        <f>VLOOKUP("*"&amp;$B128&amp;"*",'S4 - Summ PRS Characteristics'!$C$21:$Q$28,12,FALSE)*$J128</f>
        <v>3586.0044893499262</v>
      </c>
      <c r="S128" s="753">
        <f t="shared" si="107"/>
        <v>5093.9955106500738</v>
      </c>
      <c r="T128" s="753">
        <f>IF($C128="other",(1-$C120)*R128,(1-(VLOOKUP($C128,'S3 - Screening Tool Metrics'!$C$3:$G$17,5,FALSE)/100))*R128)</f>
        <v>717.20089786998506</v>
      </c>
      <c r="U128" s="753">
        <f>IF($C128="other",$C120*R128,(VLOOKUP($C128,'S3 - Screening Tool Metrics'!$C$3:$G$17,5,FALSE)/100)*R128)</f>
        <v>2868.8035914799411</v>
      </c>
      <c r="V128" s="777">
        <f t="shared" si="100"/>
        <v>33.050732620736653</v>
      </c>
      <c r="W128" s="753">
        <f t="shared" si="101"/>
        <v>218901.06666666665</v>
      </c>
      <c r="X128" s="753">
        <f>VLOOKUP("*"&amp;$B128&amp;"*",'S4 - Summ PRS Characteristics'!$C$21:$Q$28,13,FALSE)*$J128</f>
        <v>2211.7761696765288</v>
      </c>
      <c r="Y128" s="753">
        <f t="shared" si="108"/>
        <v>6468.2238303234717</v>
      </c>
      <c r="Z128" s="753">
        <f>IF($C128="other",(1-$C120)*X128,(1-(VLOOKUP($C128,'S3 - Screening Tool Metrics'!$C$3:$G$17,5,FALSE)/100))*X128)</f>
        <v>442.35523393530565</v>
      </c>
      <c r="AA128" s="753">
        <f>IF($C128="other",$C120*X128,(VLOOKUP($C128,'S3 - Screening Tool Metrics'!$C$3:$G$17,5,FALSE)/100)*X128)</f>
        <v>1769.420935741223</v>
      </c>
      <c r="AB128" s="777">
        <f t="shared" si="102"/>
        <v>20.385033821903491</v>
      </c>
      <c r="AC128" s="776">
        <f t="shared" si="103"/>
        <v>109450.53333333333</v>
      </c>
      <c r="AD128" s="753">
        <f>VLOOKUP("*"&amp;$B128&amp;"*",'S4 - Summ PRS Characteristics'!$C$21:$Q$28,14,FALSE)*$J128</f>
        <v>1329.9456421259176</v>
      </c>
      <c r="AE128" s="753">
        <f t="shared" si="110"/>
        <v>7350.0543578740826</v>
      </c>
      <c r="AF128" s="753">
        <f>IF($C128="other",(1-$C120)*AD128,(1-(VLOOKUP($C128,'S3 - Screening Tool Metrics'!$C$3:$G$17,5,FALSE)/100))*AD128)</f>
        <v>265.98912842518348</v>
      </c>
      <c r="AG128" s="753">
        <f>IF($C128="other",$C120*AD128,(VLOOKUP($C128,'S3 - Screening Tool Metrics'!$C$3:$G$17,5,FALSE)/100)*AD128)</f>
        <v>1063.9565137007341</v>
      </c>
      <c r="AH128" s="777">
        <f t="shared" si="104"/>
        <v>12.257563521897859</v>
      </c>
      <c r="AI128" s="776">
        <f t="shared" si="105"/>
        <v>21890.106666666667</v>
      </c>
      <c r="AJ128" s="753">
        <f>VLOOKUP("*"&amp;$B128&amp;"*",'S4 - Summ PRS Characteristics'!$C$21:$Q$28,15,FALSE)*$J128</f>
        <v>383.3982419475301</v>
      </c>
      <c r="AK128" s="753">
        <f t="shared" si="109"/>
        <v>8296.6017580524694</v>
      </c>
      <c r="AL128" s="753">
        <f>IF($C128="other",(1-$C120)*AJ128,(1-(VLOOKUP($C128,'S3 - Screening Tool Metrics'!$C$3:$G$17,5,FALSE)/100))*AJ128)</f>
        <v>76.679648389505999</v>
      </c>
      <c r="AM128" s="753">
        <f>IF($C128="other",$C120*AJ128,(VLOOKUP($C128,'S3 - Screening Tool Metrics'!$C$3:$G$17,5,FALSE)/100)*AJ128)</f>
        <v>306.71859355802411</v>
      </c>
      <c r="AN128" s="778">
        <f t="shared" si="106"/>
        <v>3.5336243497468214</v>
      </c>
    </row>
    <row r="129" spans="2:40" x14ac:dyDescent="0.2">
      <c r="B129" s="768" t="s">
        <v>32</v>
      </c>
      <c r="C129" s="779" t="str">
        <f>$C121</f>
        <v>Other</v>
      </c>
      <c r="D129" s="780" t="s">
        <v>200</v>
      </c>
      <c r="E129" s="781">
        <f>VLOOKUP($B129&amp;"_"&amp;$D129,'App5 - CRUK Inci Rates'!C:H,6,FALSE)</f>
        <v>74.762553006779655</v>
      </c>
      <c r="F129" s="782">
        <f>VLOOKUP($B129&amp;"_"&amp;$D129,'App5 - CRUK Inci Rates'!C:H,3,FALSE)</f>
        <v>67.955614708629497</v>
      </c>
      <c r="G129" s="783">
        <f>VLOOKUP($B129&amp;"_"&amp;$D129,'App5 - CRUK Inci Rates'!C:J,8,FALSE)</f>
        <v>24586669.333333336</v>
      </c>
      <c r="H129" s="784">
        <f>VLOOKUP($B129&amp;"_"&amp;$D129,'App5 - CRUK Inci Rates'!C:J,7,FALSE)</f>
        <v>12090277.333333334</v>
      </c>
      <c r="I129" s="784">
        <f>VLOOKUP($B129&amp;"_"&amp;$D129,'App5 - CRUK Inci Rates'!C:J,4,FALSE)</f>
        <v>12496392</v>
      </c>
      <c r="J129" s="778">
        <f>VLOOKUP($B129&amp;"_"&amp;$D129,'App5 - CRUK Inci Rates'!C:K,9,FALSE)</f>
        <v>17531</v>
      </c>
      <c r="K129" s="753">
        <f t="shared" si="68"/>
        <v>12293334.666666668</v>
      </c>
      <c r="L129" s="753">
        <f>VLOOKUP("*"&amp;$B129&amp;"*",'S4 - Summ PRS Characteristics'!$C$21:$Q$28,11,FALSE)*$J129</f>
        <v>12851.488529750846</v>
      </c>
      <c r="M129" s="753">
        <f t="shared" si="69"/>
        <v>4679.5114702491537</v>
      </c>
      <c r="N129" s="753">
        <f>IF($C129="other",(1-$C$7)*L129,(1-(VLOOKUP($C129,'S3 - Screening Tool Metrics'!$C$3:$G$17,5,FALSE)/100))*L129)</f>
        <v>2570.2977059501686</v>
      </c>
      <c r="O129" s="753">
        <f>IF($C129="other",$C$7*L129,(VLOOKUP($C129,'S3 - Screening Tool Metrics'!$C$3:$G$17,5,FALSE)/100)*L129)</f>
        <v>10281.190823800678</v>
      </c>
      <c r="P129" s="753">
        <f t="shared" si="70"/>
        <v>58.645775048774617</v>
      </c>
      <c r="Q129" s="776">
        <f t="shared" si="99"/>
        <v>4917333.8666666672</v>
      </c>
      <c r="R129" s="753">
        <f>VLOOKUP("*"&amp;$B129&amp;"*",'S4 - Summ PRS Characteristics'!$C$21:$Q$28,12,FALSE)*$J129</f>
        <v>7242.6549196766773</v>
      </c>
      <c r="S129" s="753">
        <f t="shared" si="107"/>
        <v>10288.345080323323</v>
      </c>
      <c r="T129" s="753">
        <f>IF($C129="other",(1-$C120)*R129,(1-(VLOOKUP($C129,'S3 - Screening Tool Metrics'!$C$3:$G$17,5,FALSE)/100))*R129)</f>
        <v>1448.5309839353351</v>
      </c>
      <c r="U129" s="753">
        <f>IF($C129="other",$C120*R129,(VLOOKUP($C129,'S3 - Screening Tool Metrics'!$C$3:$G$17,5,FALSE)/100)*R129)</f>
        <v>5794.1239357413424</v>
      </c>
      <c r="V129" s="777">
        <f t="shared" si="100"/>
        <v>33.050732620736653</v>
      </c>
      <c r="W129" s="753">
        <f t="shared" si="101"/>
        <v>2458666.9333333336</v>
      </c>
      <c r="X129" s="753">
        <f>VLOOKUP("*"&amp;$B129&amp;"*",'S4 - Summ PRS Characteristics'!$C$21:$Q$28,13,FALSE)*$J129</f>
        <v>4467.1253491473763</v>
      </c>
      <c r="Y129" s="753">
        <f t="shared" si="108"/>
        <v>13063.874650852624</v>
      </c>
      <c r="Z129" s="753">
        <f>IF($C129="other",(1-$C120)*X129,(1-(VLOOKUP($C129,'S3 - Screening Tool Metrics'!$C$3:$G$17,5,FALSE)/100))*X129)</f>
        <v>893.42506982947509</v>
      </c>
      <c r="AA129" s="753">
        <f>IF($C129="other",$C120*X129,(VLOOKUP($C129,'S3 - Screening Tool Metrics'!$C$3:$G$17,5,FALSE)/100)*X129)</f>
        <v>3573.7002793179013</v>
      </c>
      <c r="AB129" s="777">
        <f t="shared" si="102"/>
        <v>20.385033821903491</v>
      </c>
      <c r="AC129" s="776">
        <f t="shared" si="103"/>
        <v>1229333.4666666668</v>
      </c>
      <c r="AD129" s="753">
        <f>VLOOKUP("*"&amp;$B129&amp;"*",'S4 - Summ PRS Characteristics'!$C$21:$Q$28,14,FALSE)*$J129</f>
        <v>2686.0918262798918</v>
      </c>
      <c r="AE129" s="753">
        <f t="shared" si="110"/>
        <v>14844.908173720109</v>
      </c>
      <c r="AF129" s="753">
        <f>IF($C129="other",(1-$C120)*AD129,(1-(VLOOKUP($C129,'S3 - Screening Tool Metrics'!$C$3:$G$17,5,FALSE)/100))*AD129)</f>
        <v>537.21836525597826</v>
      </c>
      <c r="AG129" s="753">
        <f>IF($C129="other",$C120*AD129,(VLOOKUP($C129,'S3 - Screening Tool Metrics'!$C$3:$G$17,5,FALSE)/100)*AD129)</f>
        <v>2148.8734610239135</v>
      </c>
      <c r="AH129" s="777">
        <f t="shared" si="104"/>
        <v>12.257563521897858</v>
      </c>
      <c r="AI129" s="776">
        <f t="shared" si="105"/>
        <v>245866.69333333336</v>
      </c>
      <c r="AJ129" s="753">
        <f>VLOOKUP("*"&amp;$B129&amp;"*",'S4 - Summ PRS Characteristics'!$C$21:$Q$28,15,FALSE)*$J129</f>
        <v>774.34960594264408</v>
      </c>
      <c r="AK129" s="753">
        <f t="shared" si="109"/>
        <v>16756.650394057357</v>
      </c>
      <c r="AL129" s="753">
        <f>IF($C129="other",(1-$C120)*AJ129,(1-(VLOOKUP($C129,'S3 - Screening Tool Metrics'!$C$3:$G$17,5,FALSE)/100))*AJ129)</f>
        <v>154.86992118852879</v>
      </c>
      <c r="AM129" s="753">
        <f>IF($C129="other",$C120*AJ129,(VLOOKUP($C129,'S3 - Screening Tool Metrics'!$C$3:$G$17,5,FALSE)/100)*AJ129)</f>
        <v>619.47968475411528</v>
      </c>
      <c r="AN129" s="778">
        <f t="shared" si="106"/>
        <v>3.5336243497468214</v>
      </c>
    </row>
    <row r="130" spans="2:40" x14ac:dyDescent="0.2">
      <c r="B130" s="768" t="s">
        <v>32</v>
      </c>
      <c r="C130" s="779" t="str">
        <f>$C121</f>
        <v>Other</v>
      </c>
      <c r="D130" s="780" t="s">
        <v>201</v>
      </c>
      <c r="E130" s="781">
        <f>VLOOKUP($B130&amp;"_"&amp;$D130,'App5 - CRUK Inci Rates'!C:H,6,FALSE)</f>
        <v>11.420374791114012</v>
      </c>
      <c r="F130" s="782">
        <f>VLOOKUP($B130&amp;"_"&amp;$D130,'App5 - CRUK Inci Rates'!C:H,3,FALSE)</f>
        <v>10.481262340656587</v>
      </c>
      <c r="G130" s="783">
        <f>VLOOKUP($B130&amp;"_"&amp;$D130,'App5 - CRUK Inci Rates'!C:J,8,FALSE)</f>
        <v>8642767.333333334</v>
      </c>
      <c r="H130" s="784">
        <f>VLOOKUP($B130&amp;"_"&amp;$D130,'App5 - CRUK Inci Rates'!C:J,7,FALSE)</f>
        <v>4273064.666666667</v>
      </c>
      <c r="I130" s="784">
        <f>VLOOKUP($B130&amp;"_"&amp;$D130,'App5 - CRUK Inci Rates'!C:J,4,FALSE)</f>
        <v>4369702.666666667</v>
      </c>
      <c r="J130" s="778">
        <f>VLOOKUP($B130&amp;"_"&amp;$D130,'App5 - CRUK Inci Rates'!C:K,9,FALSE)</f>
        <v>946</v>
      </c>
      <c r="K130" s="753">
        <f t="shared" si="68"/>
        <v>4321383.666666667</v>
      </c>
      <c r="L130" s="753">
        <f>VLOOKUP("*"&amp;$B130&amp;"*",'S4 - Summ PRS Characteristics'!$C$21:$Q$28,11,FALSE)*$J130</f>
        <v>693.48628995175977</v>
      </c>
      <c r="M130" s="753">
        <f t="shared" si="69"/>
        <v>252.51371004824023</v>
      </c>
      <c r="N130" s="753">
        <f>IF($C130="other",(1-$C$7)*L130,(1-(VLOOKUP($C130,'S3 - Screening Tool Metrics'!$C$3:$G$17,5,FALSE)/100))*L130)</f>
        <v>138.69725799035191</v>
      </c>
      <c r="O130" s="753">
        <f>IF($C130="other",$C$7*L130,(VLOOKUP($C130,'S3 - Screening Tool Metrics'!$C$3:$G$17,5,FALSE)/100)*L130)</f>
        <v>554.78903196140789</v>
      </c>
      <c r="P130" s="753">
        <f t="shared" si="70"/>
        <v>58.645775048774617</v>
      </c>
      <c r="Q130" s="776">
        <f t="shared" si="99"/>
        <v>1728553.4666666668</v>
      </c>
      <c r="R130" s="753">
        <f>VLOOKUP("*"&amp;$B130&amp;"*",'S4 - Summ PRS Characteristics'!$C$21:$Q$28,12,FALSE)*$J130</f>
        <v>390.82491324021083</v>
      </c>
      <c r="S130" s="753">
        <f t="shared" si="107"/>
        <v>555.17508675978911</v>
      </c>
      <c r="T130" s="753">
        <f>IF($C130="other",(1-$C120)*R130,(1-(VLOOKUP($C130,'S3 - Screening Tool Metrics'!$C$3:$G$17,5,FALSE)/100))*R130)</f>
        <v>78.164982648042155</v>
      </c>
      <c r="U130" s="753">
        <f>IF($C130="other",$C120*R130,(VLOOKUP($C130,'S3 - Screening Tool Metrics'!$C$3:$G$17,5,FALSE)/100)*R130)</f>
        <v>312.65993059216868</v>
      </c>
      <c r="V130" s="777">
        <f t="shared" si="100"/>
        <v>33.050732620736646</v>
      </c>
      <c r="W130" s="753">
        <f t="shared" si="101"/>
        <v>864276.7333333334</v>
      </c>
      <c r="X130" s="753">
        <f>VLOOKUP("*"&amp;$B130&amp;"*",'S4 - Summ PRS Characteristics'!$C$21:$Q$28,13,FALSE)*$J130</f>
        <v>241.05302494400877</v>
      </c>
      <c r="Y130" s="753">
        <f t="shared" si="108"/>
        <v>704.94697505599129</v>
      </c>
      <c r="Z130" s="753">
        <f>IF($C130="other",(1-$C120)*X130,(1-(VLOOKUP($C130,'S3 - Screening Tool Metrics'!$C$3:$G$17,5,FALSE)/100))*X130)</f>
        <v>48.210604988801741</v>
      </c>
      <c r="AA130" s="753">
        <f>IF($C130="other",$C120*X130,(VLOOKUP($C130,'S3 - Screening Tool Metrics'!$C$3:$G$17,5,FALSE)/100)*X130)</f>
        <v>192.84241995520702</v>
      </c>
      <c r="AB130" s="777">
        <f t="shared" si="102"/>
        <v>20.385033821903491</v>
      </c>
      <c r="AC130" s="776">
        <f t="shared" si="103"/>
        <v>432138.3666666667</v>
      </c>
      <c r="AD130" s="753">
        <f>VLOOKUP("*"&amp;$B130&amp;"*",'S4 - Summ PRS Characteristics'!$C$21:$Q$28,14,FALSE)*$J130</f>
        <v>144.94568864644216</v>
      </c>
      <c r="AE130" s="753">
        <f t="shared" si="110"/>
        <v>801.05431135355786</v>
      </c>
      <c r="AF130" s="753">
        <f>IF($C130="other",(1-$C120)*AD130,(1-(VLOOKUP($C130,'S3 - Screening Tool Metrics'!$C$3:$G$17,5,FALSE)/100))*AD130)</f>
        <v>28.989137729288426</v>
      </c>
      <c r="AG130" s="753">
        <f>IF($C130="other",$C120*AD130,(VLOOKUP($C130,'S3 - Screening Tool Metrics'!$C$3:$G$17,5,FALSE)/100)*AD130)</f>
        <v>115.95655091715373</v>
      </c>
      <c r="AH130" s="777">
        <f t="shared" si="104"/>
        <v>12.257563521897858</v>
      </c>
      <c r="AI130" s="776">
        <f t="shared" si="105"/>
        <v>86427.67333333334</v>
      </c>
      <c r="AJ130" s="753">
        <f>VLOOKUP("*"&amp;$B130&amp;"*",'S4 - Summ PRS Characteristics'!$C$21:$Q$28,15,FALSE)*$J130</f>
        <v>41.785107935756159</v>
      </c>
      <c r="AK130" s="753">
        <f t="shared" si="109"/>
        <v>904.21489206424383</v>
      </c>
      <c r="AL130" s="753">
        <f>IF($C130="other",(1-$C120)*AJ130,(1-(VLOOKUP($C130,'S3 - Screening Tool Metrics'!$C$3:$G$17,5,FALSE)/100))*AJ130)</f>
        <v>8.3570215871512303</v>
      </c>
      <c r="AM130" s="753">
        <f>IF($C130="other",$C120*AJ130,(VLOOKUP($C130,'S3 - Screening Tool Metrics'!$C$3:$G$17,5,FALSE)/100)*AJ130)</f>
        <v>33.428086348604928</v>
      </c>
      <c r="AN130" s="778">
        <f t="shared" si="106"/>
        <v>3.5336243497468209</v>
      </c>
    </row>
    <row r="131" spans="2:40" x14ac:dyDescent="0.2">
      <c r="B131" s="768" t="s">
        <v>32</v>
      </c>
      <c r="C131" s="779" t="str">
        <f>$C121</f>
        <v>Other</v>
      </c>
      <c r="D131" s="780" t="s">
        <v>202</v>
      </c>
      <c r="E131" s="781">
        <f>VLOOKUP($B131&amp;"_"&amp;$D131,'App5 - CRUK Inci Rates'!C:H,6,FALSE)</f>
        <v>51.407550519379285</v>
      </c>
      <c r="F131" s="782">
        <f>VLOOKUP($B131&amp;"_"&amp;$D131,'App5 - CRUK Inci Rates'!C:H,3,FALSE)</f>
        <v>48.368479955661847</v>
      </c>
      <c r="G131" s="783">
        <f>VLOOKUP($B131&amp;"_"&amp;$D131,'App5 - CRUK Inci Rates'!C:J,8,FALSE)</f>
        <v>8839716.6666666679</v>
      </c>
      <c r="H131" s="784">
        <f>VLOOKUP($B131&amp;"_"&amp;$D131,'App5 - CRUK Inci Rates'!C:J,7,FALSE)</f>
        <v>4355391.333333333</v>
      </c>
      <c r="I131" s="784">
        <f>VLOOKUP($B131&amp;"_"&amp;$D131,'App5 - CRUK Inci Rates'!C:J,4,FALSE)</f>
        <v>4484325.333333334</v>
      </c>
      <c r="J131" s="778">
        <f>VLOOKUP($B131&amp;"_"&amp;$D131,'App5 - CRUK Inci Rates'!C:K,9,FALSE)</f>
        <v>4408</v>
      </c>
      <c r="K131" s="753">
        <f t="shared" si="68"/>
        <v>4419858.333333334</v>
      </c>
      <c r="L131" s="753">
        <f>VLOOKUP("*"&amp;$B131&amp;"*",'S4 - Summ PRS Characteristics'!$C$21:$Q$28,11,FALSE)*$J131</f>
        <v>3231.3822051874813</v>
      </c>
      <c r="M131" s="753">
        <f t="shared" si="69"/>
        <v>1176.6177948125187</v>
      </c>
      <c r="N131" s="753">
        <f>IF($C131="other",(1-$C$7)*L131,(1-(VLOOKUP($C131,'S3 - Screening Tool Metrics'!$C$3:$G$17,5,FALSE)/100))*L131)</f>
        <v>646.27644103749617</v>
      </c>
      <c r="O131" s="753">
        <f>IF($C131="other",$C$7*L131,(VLOOKUP($C131,'S3 - Screening Tool Metrics'!$C$3:$G$17,5,FALSE)/100)*L131)</f>
        <v>2585.1057641499851</v>
      </c>
      <c r="P131" s="753">
        <f t="shared" si="70"/>
        <v>58.645775048774617</v>
      </c>
      <c r="Q131" s="776">
        <f t="shared" si="99"/>
        <v>1767943.3333333337</v>
      </c>
      <c r="R131" s="753">
        <f>VLOOKUP("*"&amp;$B131&amp;"*",'S4 - Summ PRS Characteristics'!$C$21:$Q$28,12,FALSE)*$J131</f>
        <v>1821.0953674025893</v>
      </c>
      <c r="S131" s="753">
        <f t="shared" si="107"/>
        <v>2586.9046325974105</v>
      </c>
      <c r="T131" s="753">
        <f>IF($C131="other",(1-$C120)*R131,(1-(VLOOKUP($C131,'S3 - Screening Tool Metrics'!$C$3:$G$17,5,FALSE)/100))*R131)</f>
        <v>364.21907348051781</v>
      </c>
      <c r="U131" s="753">
        <f>IF($C131="other",$C120*R131,(VLOOKUP($C131,'S3 - Screening Tool Metrics'!$C$3:$G$17,5,FALSE)/100)*R131)</f>
        <v>1456.8762939220715</v>
      </c>
      <c r="V131" s="777">
        <f t="shared" si="100"/>
        <v>33.050732620736653</v>
      </c>
      <c r="W131" s="753">
        <f t="shared" si="101"/>
        <v>883971.66666666686</v>
      </c>
      <c r="X131" s="753">
        <f>VLOOKUP("*"&amp;$B131&amp;"*",'S4 - Summ PRS Characteristics'!$C$21:$Q$28,13,FALSE)*$J131</f>
        <v>1123.2153635868824</v>
      </c>
      <c r="Y131" s="753">
        <f t="shared" si="108"/>
        <v>3284.7846364131174</v>
      </c>
      <c r="Z131" s="753">
        <f>IF($C131="other",(1-$C120)*X131,(1-(VLOOKUP($C131,'S3 - Screening Tool Metrics'!$C$3:$G$17,5,FALSE)/100))*X131)</f>
        <v>224.64307271737644</v>
      </c>
      <c r="AA131" s="753">
        <f>IF($C131="other",$C120*X131,(VLOOKUP($C131,'S3 - Screening Tool Metrics'!$C$3:$G$17,5,FALSE)/100)*X131)</f>
        <v>898.57229086950599</v>
      </c>
      <c r="AB131" s="777">
        <f t="shared" si="102"/>
        <v>20.385033821903491</v>
      </c>
      <c r="AC131" s="776">
        <f t="shared" si="103"/>
        <v>441985.83333333343</v>
      </c>
      <c r="AD131" s="753">
        <f>VLOOKUP("*"&amp;$B131&amp;"*",'S4 - Summ PRS Characteristics'!$C$21:$Q$28,14,FALSE)*$J131</f>
        <v>675.39175005657205</v>
      </c>
      <c r="AE131" s="753">
        <f t="shared" si="110"/>
        <v>3732.6082499434278</v>
      </c>
      <c r="AF131" s="753">
        <f>IF($C131="other",(1-$C120)*AD131,(1-(VLOOKUP($C131,'S3 - Screening Tool Metrics'!$C$3:$G$17,5,FALSE)/100))*AD131)</f>
        <v>135.07835001131437</v>
      </c>
      <c r="AG131" s="753">
        <f>IF($C131="other",$C120*AD131,(VLOOKUP($C131,'S3 - Screening Tool Metrics'!$C$3:$G$17,5,FALSE)/100)*AD131)</f>
        <v>540.31340004525771</v>
      </c>
      <c r="AH131" s="777">
        <f t="shared" si="104"/>
        <v>12.257563521897861</v>
      </c>
      <c r="AI131" s="776">
        <f t="shared" si="105"/>
        <v>88397.166666666686</v>
      </c>
      <c r="AJ131" s="753">
        <f>VLOOKUP("*"&amp;$B131&amp;"*",'S4 - Summ PRS Characteristics'!$C$21:$Q$28,15,FALSE)*$J131</f>
        <v>194.70270167104985</v>
      </c>
      <c r="AK131" s="753">
        <f t="shared" si="109"/>
        <v>4213.2972983289501</v>
      </c>
      <c r="AL131" s="753">
        <f>IF($C131="other",(1-$C120)*AJ131,(1-(VLOOKUP($C131,'S3 - Screening Tool Metrics'!$C$3:$G$17,5,FALSE)/100))*AJ131)</f>
        <v>38.940540334209963</v>
      </c>
      <c r="AM131" s="753">
        <f>IF($C131="other",$C120*AJ131,(VLOOKUP($C131,'S3 - Screening Tool Metrics'!$C$3:$G$17,5,FALSE)/100)*AJ131)</f>
        <v>155.76216133683988</v>
      </c>
      <c r="AN131" s="778">
        <f t="shared" si="106"/>
        <v>3.5336243497468214</v>
      </c>
    </row>
    <row r="132" spans="2:40" x14ac:dyDescent="0.2">
      <c r="B132" s="768" t="s">
        <v>32</v>
      </c>
      <c r="C132" s="779" t="str">
        <f>$C121</f>
        <v>Other</v>
      </c>
      <c r="D132" s="780" t="s">
        <v>203</v>
      </c>
      <c r="E132" s="781">
        <f>VLOOKUP($B132&amp;"_"&amp;$D132,'App5 - CRUK Inci Rates'!C:H,6,FALSE)</f>
        <v>109.38681553928132</v>
      </c>
      <c r="F132" s="782">
        <f>VLOOKUP($B132&amp;"_"&amp;$D132,'App5 - CRUK Inci Rates'!C:H,3,FALSE)</f>
        <v>98.859445346912068</v>
      </c>
      <c r="G132" s="783">
        <f>VLOOKUP($B132&amp;"_"&amp;$D132,'App5 - CRUK Inci Rates'!C:J,8,FALSE)</f>
        <v>15943902</v>
      </c>
      <c r="H132" s="784">
        <f>VLOOKUP($B132&amp;"_"&amp;$D132,'App5 - CRUK Inci Rates'!C:J,7,FALSE)</f>
        <v>7817212.666666666</v>
      </c>
      <c r="I132" s="784">
        <f>VLOOKUP($B132&amp;"_"&amp;$D132,'App5 - CRUK Inci Rates'!C:J,4,FALSE)</f>
        <v>8126689.333333334</v>
      </c>
      <c r="J132" s="778">
        <f>VLOOKUP($B132&amp;"_"&amp;$D132,'App5 - CRUK Inci Rates'!C:K,9,FALSE)</f>
        <v>16585</v>
      </c>
      <c r="K132" s="753">
        <f t="shared" si="68"/>
        <v>7971951</v>
      </c>
      <c r="L132" s="753">
        <f>VLOOKUP("*"&amp;$B132&amp;"*",'S4 - Summ PRS Characteristics'!$C$21:$Q$28,11,FALSE)*$J132</f>
        <v>12158.002239799087</v>
      </c>
      <c r="M132" s="753">
        <f t="shared" si="69"/>
        <v>4426.997760200913</v>
      </c>
      <c r="N132" s="753">
        <f>IF($C132="other",(1-$C$7)*L132,(1-(VLOOKUP($C132,'S3 - Screening Tool Metrics'!$C$3:$G$17,5,FALSE)/100))*L132)</f>
        <v>2431.6004479598168</v>
      </c>
      <c r="O132" s="753">
        <f>IF($C132="other",$C$7*L132,(VLOOKUP($C132,'S3 - Screening Tool Metrics'!$C$3:$G$17,5,FALSE)/100)*L132)</f>
        <v>9726.4017918392692</v>
      </c>
      <c r="P132" s="753">
        <f t="shared" si="70"/>
        <v>58.64577504877461</v>
      </c>
      <c r="Q132" s="776">
        <f t="shared" si="99"/>
        <v>3188780.4000000004</v>
      </c>
      <c r="R132" s="753">
        <f>VLOOKUP("*"&amp;$B132&amp;"*",'S4 - Summ PRS Characteristics'!$C$21:$Q$28,12,FALSE)*$J132</f>
        <v>6851.8300064364657</v>
      </c>
      <c r="S132" s="753">
        <f t="shared" si="107"/>
        <v>9733.1699935635334</v>
      </c>
      <c r="T132" s="753">
        <f>IF($C132="other",(1-$C120)*R132,(1-(VLOOKUP($C132,'S3 - Screening Tool Metrics'!$C$3:$G$17,5,FALSE)/100))*R132)</f>
        <v>1370.3660012872929</v>
      </c>
      <c r="U132" s="753">
        <f>IF($C132="other",$C120*R132,(VLOOKUP($C132,'S3 - Screening Tool Metrics'!$C$3:$G$17,5,FALSE)/100)*R132)</f>
        <v>5481.4640051491733</v>
      </c>
      <c r="V132" s="777">
        <f t="shared" si="100"/>
        <v>33.050732620736653</v>
      </c>
      <c r="W132" s="753">
        <f t="shared" si="101"/>
        <v>1594390.2000000002</v>
      </c>
      <c r="X132" s="753">
        <f>VLOOKUP("*"&amp;$B132&amp;"*",'S4 - Summ PRS Characteristics'!$C$21:$Q$28,13,FALSE)*$J132</f>
        <v>4226.0723242033673</v>
      </c>
      <c r="Y132" s="753">
        <f t="shared" si="108"/>
        <v>12358.927675796633</v>
      </c>
      <c r="Z132" s="753">
        <f>IF($C132="other",(1-$C120)*X132,(1-(VLOOKUP($C132,'S3 - Screening Tool Metrics'!$C$3:$G$17,5,FALSE)/100))*X132)</f>
        <v>845.21446484067326</v>
      </c>
      <c r="AA132" s="753">
        <f>IF($C132="other",$C120*X132,(VLOOKUP($C132,'S3 - Screening Tool Metrics'!$C$3:$G$17,5,FALSE)/100)*X132)</f>
        <v>3380.8578593626939</v>
      </c>
      <c r="AB132" s="777">
        <f t="shared" si="102"/>
        <v>20.385033821903491</v>
      </c>
      <c r="AC132" s="776">
        <f t="shared" si="103"/>
        <v>797195.10000000009</v>
      </c>
      <c r="AD132" s="753">
        <f>VLOOKUP("*"&amp;$B132&amp;"*",'S4 - Summ PRS Characteristics'!$C$21:$Q$28,14,FALSE)*$J132</f>
        <v>2541.1461376334496</v>
      </c>
      <c r="AE132" s="753">
        <f t="shared" si="110"/>
        <v>14043.85386236655</v>
      </c>
      <c r="AF132" s="753">
        <f>IF($C132="other",(1-$C120)*AD132,(1-(VLOOKUP($C132,'S3 - Screening Tool Metrics'!$C$3:$G$17,5,FALSE)/100))*AD132)</f>
        <v>508.22922752668978</v>
      </c>
      <c r="AG132" s="753">
        <f>IF($C132="other",$C120*AD132,(VLOOKUP($C132,'S3 - Screening Tool Metrics'!$C$3:$G$17,5,FALSE)/100)*AD132)</f>
        <v>2032.9169101067598</v>
      </c>
      <c r="AH132" s="777">
        <f t="shared" si="104"/>
        <v>12.257563521897859</v>
      </c>
      <c r="AI132" s="776">
        <f t="shared" si="105"/>
        <v>159439.01999999999</v>
      </c>
      <c r="AJ132" s="753">
        <f>VLOOKUP("*"&amp;$B132&amp;"*",'S4 - Summ PRS Characteristics'!$C$21:$Q$28,15,FALSE)*$J132</f>
        <v>732.5644980068879</v>
      </c>
      <c r="AK132" s="753">
        <f t="shared" si="109"/>
        <v>15852.435501993112</v>
      </c>
      <c r="AL132" s="753">
        <f>IF($C132="other",(1-$C120)*AJ132,(1-(VLOOKUP($C132,'S3 - Screening Tool Metrics'!$C$3:$G$17,5,FALSE)/100))*AJ132)</f>
        <v>146.51289960137754</v>
      </c>
      <c r="AM132" s="753">
        <f>IF($C132="other",$C120*AJ132,(VLOOKUP($C132,'S3 - Screening Tool Metrics'!$C$3:$G$17,5,FALSE)/100)*AJ132)</f>
        <v>586.05159840551039</v>
      </c>
      <c r="AN132" s="778">
        <f t="shared" si="106"/>
        <v>3.5336243497468214</v>
      </c>
    </row>
    <row r="133" spans="2:40" x14ac:dyDescent="0.2">
      <c r="B133" s="768" t="s">
        <v>32</v>
      </c>
      <c r="C133" s="779" t="str">
        <f>$C122</f>
        <v>Other</v>
      </c>
      <c r="D133" s="780" t="s">
        <v>292</v>
      </c>
      <c r="E133" s="781">
        <f>VLOOKUP($B133&amp;"_"&amp;$D133,'App5 - CRUK Inci Rates'!C:H,6,FALSE)</f>
        <v>227.79891947987741</v>
      </c>
      <c r="F133" s="782">
        <f>VLOOKUP($B133&amp;"_"&amp;$D133,'App5 - CRUK Inci Rates'!C:H,3,FALSE)</f>
        <v>196.8176101532089</v>
      </c>
      <c r="G133" s="783">
        <f>VLOOKUP($B133&amp;"_"&amp;$D133,'App5 - CRUK Inci Rates'!C:J,8,FALSE)</f>
        <v>8881256.9603638444</v>
      </c>
      <c r="H133" s="784">
        <f>VLOOKUP($B133&amp;"_"&amp;$D133,'App5 - CRUK Inci Rates'!C:J,7,FALSE)</f>
        <v>4929786.333333333</v>
      </c>
      <c r="I133" s="784">
        <f>VLOOKUP($B133&amp;"_"&amp;$D133,'App5 - CRUK Inci Rates'!C:J,4,FALSE)</f>
        <v>5245973.666666667</v>
      </c>
      <c r="J133" s="778">
        <f>VLOOKUP($B133&amp;"_"&amp;$D133,'App5 - CRUK Inci Rates'!C:K,9,FALSE)</f>
        <v>21555</v>
      </c>
      <c r="K133" s="753">
        <f t="shared" si="68"/>
        <v>4440628.4801819222</v>
      </c>
      <c r="L133" s="753">
        <f>VLOOKUP("*"&amp;$B133&amp;"*",'S4 - Summ PRS Characteristics'!$C$21:$Q$28,11,FALSE)*$J133</f>
        <v>15801.371014704209</v>
      </c>
      <c r="M133" s="753">
        <f t="shared" si="69"/>
        <v>5753.6289852957907</v>
      </c>
      <c r="N133" s="753">
        <f>IF($C133="other",(1-$C$7)*L133,(1-(VLOOKUP($C133,'S3 - Screening Tool Metrics'!$C$3:$G$17,5,FALSE)/100))*L133)</f>
        <v>3160.274202940841</v>
      </c>
      <c r="O133" s="753">
        <f>IF($C133="other",$C$7*L133,(VLOOKUP($C133,'S3 - Screening Tool Metrics'!$C$3:$G$17,5,FALSE)/100)*L133)</f>
        <v>12641.096811763367</v>
      </c>
      <c r="P133" s="753">
        <f t="shared" si="70"/>
        <v>58.64577504877461</v>
      </c>
      <c r="Q133" s="776">
        <f t="shared" si="99"/>
        <v>1776251.3920727689</v>
      </c>
      <c r="R133" s="753">
        <f>VLOOKUP("*"&amp;$B133&amp;"*",'S4 - Summ PRS Characteristics'!$C$21:$Q$28,12,FALSE)*$J133</f>
        <v>8905.1067704997295</v>
      </c>
      <c r="S133" s="753">
        <f t="shared" si="107"/>
        <v>12649.893229500271</v>
      </c>
      <c r="T133" s="753">
        <f>IF($C133="other",(1-$C120)*R133,(1-(VLOOKUP($C133,'S3 - Screening Tool Metrics'!$C$3:$G$17,5,FALSE)/100))*R133)</f>
        <v>1781.0213540999455</v>
      </c>
      <c r="U133" s="753">
        <f>IF($C133="other",$C120*R133,(VLOOKUP($C133,'S3 - Screening Tool Metrics'!$C$3:$G$17,5,FALSE)/100)*R133)</f>
        <v>7124.0854163997838</v>
      </c>
      <c r="V133" s="777">
        <f t="shared" si="100"/>
        <v>33.050732620736646</v>
      </c>
      <c r="W133" s="753">
        <f t="shared" si="101"/>
        <v>888125.69603638444</v>
      </c>
      <c r="X133" s="753">
        <f>VLOOKUP("*"&amp;$B133&amp;"*",'S4 - Summ PRS Characteristics'!$C$21:$Q$28,13,FALSE)*$J133</f>
        <v>5492.4925503891218</v>
      </c>
      <c r="Y133" s="753">
        <f t="shared" si="108"/>
        <v>16062.507449610879</v>
      </c>
      <c r="Z133" s="753">
        <f>IF($C133="other",(1-$C120)*X133,(1-(VLOOKUP($C133,'S3 - Screening Tool Metrics'!$C$3:$G$17,5,FALSE)/100))*X133)</f>
        <v>1098.4985100778242</v>
      </c>
      <c r="AA133" s="753">
        <f>IF($C133="other",$C120*X133,(VLOOKUP($C133,'S3 - Screening Tool Metrics'!$C$3:$G$17,5,FALSE)/100)*X133)</f>
        <v>4393.9940403112978</v>
      </c>
      <c r="AB133" s="777">
        <f t="shared" si="102"/>
        <v>20.385033821903491</v>
      </c>
      <c r="AC133" s="776">
        <f t="shared" si="103"/>
        <v>444062.84801819222</v>
      </c>
      <c r="AD133" s="753">
        <f>VLOOKUP("*"&amp;$B133&amp;"*",'S4 - Summ PRS Characteristics'!$C$21:$Q$28,14,FALSE)*$J133</f>
        <v>3302.6472714313541</v>
      </c>
      <c r="AE133" s="753">
        <f t="shared" si="110"/>
        <v>18252.352728568647</v>
      </c>
      <c r="AF133" s="753">
        <f>IF($C133="other",(1-$C120)*AD133,(1-(VLOOKUP($C133,'S3 - Screening Tool Metrics'!$C$3:$G$17,5,FALSE)/100))*AD133)</f>
        <v>660.52945428627072</v>
      </c>
      <c r="AG133" s="753">
        <f>IF($C133="other",$C120*AD133,(VLOOKUP($C133,'S3 - Screening Tool Metrics'!$C$3:$G$17,5,FALSE)/100)*AD133)</f>
        <v>2642.1178171450833</v>
      </c>
      <c r="AH133" s="777">
        <f t="shared" si="104"/>
        <v>12.257563521897859</v>
      </c>
      <c r="AI133" s="776">
        <f t="shared" si="105"/>
        <v>88812.569603638447</v>
      </c>
      <c r="AJ133" s="753">
        <f>VLOOKUP("*"&amp;$B133&amp;"*",'S4 - Summ PRS Characteristics'!$C$21:$Q$28,15,FALSE)*$J133</f>
        <v>952.09091073490913</v>
      </c>
      <c r="AK133" s="753">
        <f t="shared" si="109"/>
        <v>20602.909089265089</v>
      </c>
      <c r="AL133" s="753">
        <f>IF($C133="other",(1-$C120)*AJ133,(1-(VLOOKUP($C133,'S3 - Screening Tool Metrics'!$C$3:$G$17,5,FALSE)/100))*AJ133)</f>
        <v>190.41818214698179</v>
      </c>
      <c r="AM133" s="753">
        <f>IF($C133="other",$C120*AJ133,(VLOOKUP($C133,'S3 - Screening Tool Metrics'!$C$3:$G$17,5,FALSE)/100)*AJ133)</f>
        <v>761.67272858792739</v>
      </c>
      <c r="AN133" s="778">
        <f t="shared" si="106"/>
        <v>3.5336243497468214</v>
      </c>
    </row>
    <row r="134" spans="2:40" x14ac:dyDescent="0.2">
      <c r="B134" s="768" t="s">
        <v>32</v>
      </c>
      <c r="C134" s="779" t="str">
        <f>$C121</f>
        <v>Other</v>
      </c>
      <c r="D134" s="780" t="s">
        <v>204</v>
      </c>
      <c r="E134" s="781">
        <f>VLOOKUP($B134&amp;"_"&amp;$D134,'App5 - CRUK Inci Rates'!C:H,6,FALSE)</f>
        <v>127.78732220417946</v>
      </c>
      <c r="F134" s="782">
        <f>VLOOKUP($B134&amp;"_"&amp;$D134,'App5 - CRUK Inci Rates'!C:H,3,FALSE)</f>
        <v>111.08750254471916</v>
      </c>
      <c r="G134" s="783">
        <f>VLOOKUP($B134&amp;"_"&amp;$D134,'App5 - CRUK Inci Rates'!C:J,8,FALSE)</f>
        <v>29847254.666666668</v>
      </c>
      <c r="H134" s="784">
        <f>VLOOKUP($B134&amp;"_"&amp;$D134,'App5 - CRUK Inci Rates'!C:J,7,FALSE)</f>
        <v>14565607.666666668</v>
      </c>
      <c r="I134" s="784">
        <f>VLOOKUP($B134&amp;"_"&amp;$D134,'App5 - CRUK Inci Rates'!C:J,4,FALSE)</f>
        <v>15281647</v>
      </c>
      <c r="J134" s="778">
        <f>VLOOKUP($B134&amp;"_"&amp;$D134,'App5 - CRUK Inci Rates'!C:K,9,FALSE)</f>
        <v>35589</v>
      </c>
      <c r="K134" s="753">
        <f t="shared" si="68"/>
        <v>14923627.333333334</v>
      </c>
      <c r="L134" s="753">
        <f>VLOOKUP("*"&amp;$B134&amp;"*",'S4 - Summ PRS Characteristics'!$C$21:$Q$28,11,FALSE)*$J134</f>
        <v>26089.306102635495</v>
      </c>
      <c r="M134" s="753">
        <f t="shared" si="69"/>
        <v>9499.6938973645047</v>
      </c>
      <c r="N134" s="753">
        <f>IF($C134="other",(1-$C$7)*L134,(1-(VLOOKUP($C134,'S3 - Screening Tool Metrics'!$C$3:$G$17,5,FALSE)/100))*L134)</f>
        <v>5217.8612205270983</v>
      </c>
      <c r="O134" s="753">
        <f>IF($C134="other",$C$7*L134,(VLOOKUP($C134,'S3 - Screening Tool Metrics'!$C$3:$G$17,5,FALSE)/100)*L134)</f>
        <v>20871.444882108397</v>
      </c>
      <c r="P134" s="753">
        <f t="shared" si="70"/>
        <v>58.645775048774617</v>
      </c>
      <c r="Q134" s="776">
        <f t="shared" si="99"/>
        <v>5969450.9333333336</v>
      </c>
      <c r="R134" s="753">
        <f>VLOOKUP("*"&amp;$B134&amp;"*",'S4 - Summ PRS Characteristics'!$C$21:$Q$28,12,FALSE)*$J134</f>
        <v>14703.031540492457</v>
      </c>
      <c r="S134" s="753">
        <f t="shared" si="107"/>
        <v>20885.968459507545</v>
      </c>
      <c r="T134" s="753">
        <f>IF($C134="other",(1-$C120)*R134,(1-(VLOOKUP($C134,'S3 - Screening Tool Metrics'!$C$3:$G$17,5,FALSE)/100))*R134)</f>
        <v>2940.6063080984909</v>
      </c>
      <c r="U134" s="753">
        <f>IF($C134="other",$C120*R134,(VLOOKUP($C134,'S3 - Screening Tool Metrics'!$C$3:$G$17,5,FALSE)/100)*R134)</f>
        <v>11762.425232393965</v>
      </c>
      <c r="V134" s="777">
        <f t="shared" si="100"/>
        <v>33.050732620736646</v>
      </c>
      <c r="W134" s="753">
        <f t="shared" si="101"/>
        <v>2984725.4666666668</v>
      </c>
      <c r="X134" s="753">
        <f>VLOOKUP("*"&amp;$B134&amp;"*",'S4 - Summ PRS Characteristics'!$C$21:$Q$28,13,FALSE)*$J134</f>
        <v>9068.5371085965417</v>
      </c>
      <c r="Y134" s="753">
        <f t="shared" si="108"/>
        <v>26520.462891403458</v>
      </c>
      <c r="Z134" s="753">
        <f>IF($C134="other",(1-$C120)*X134,(1-(VLOOKUP($C134,'S3 - Screening Tool Metrics'!$C$3:$G$17,5,FALSE)/100))*X134)</f>
        <v>1813.7074217193078</v>
      </c>
      <c r="AA134" s="753">
        <f>IF($C134="other",$C120*X134,(VLOOKUP($C134,'S3 - Screening Tool Metrics'!$C$3:$G$17,5,FALSE)/100)*X134)</f>
        <v>7254.8296868772341</v>
      </c>
      <c r="AB134" s="777">
        <f t="shared" si="102"/>
        <v>20.385033821903491</v>
      </c>
      <c r="AC134" s="776">
        <f t="shared" si="103"/>
        <v>1492362.7333333334</v>
      </c>
      <c r="AD134" s="753">
        <f>VLOOKUP("*"&amp;$B134&amp;"*",'S4 - Summ PRS Characteristics'!$C$21:$Q$28,14,FALSE)*$J134</f>
        <v>5452.9303522602859</v>
      </c>
      <c r="AE134" s="753">
        <f t="shared" si="110"/>
        <v>30136.069647739714</v>
      </c>
      <c r="AF134" s="753">
        <f>IF($C134="other",(1-$C120)*AD134,(1-(VLOOKUP($C134,'S3 - Screening Tool Metrics'!$C$3:$G$17,5,FALSE)/100))*AD134)</f>
        <v>1090.5860704520569</v>
      </c>
      <c r="AG134" s="753">
        <f>IF($C134="other",$C120*AD134,(VLOOKUP($C134,'S3 - Screening Tool Metrics'!$C$3:$G$17,5,FALSE)/100)*AD134)</f>
        <v>4362.3442818082285</v>
      </c>
      <c r="AH134" s="777">
        <f t="shared" si="104"/>
        <v>12.257563521897858</v>
      </c>
      <c r="AI134" s="776">
        <f t="shared" si="105"/>
        <v>298472.54666666669</v>
      </c>
      <c r="AJ134" s="753">
        <f>VLOOKUP("*"&amp;$B134&amp;"*",'S4 - Summ PRS Characteristics'!$C$21:$Q$28,15,FALSE)*$J134</f>
        <v>1571.9769622892452</v>
      </c>
      <c r="AK134" s="753">
        <f t="shared" si="109"/>
        <v>34017.023037710758</v>
      </c>
      <c r="AL134" s="753">
        <f>IF($C134="other",(1-$C120)*AJ134,(1-(VLOOKUP($C134,'S3 - Screening Tool Metrics'!$C$3:$G$17,5,FALSE)/100))*AJ134)</f>
        <v>314.39539245784897</v>
      </c>
      <c r="AM134" s="753">
        <f>IF($C134="other",$C120*AJ134,(VLOOKUP($C134,'S3 - Screening Tool Metrics'!$C$3:$G$17,5,FALSE)/100)*AJ134)</f>
        <v>1257.5815698313963</v>
      </c>
      <c r="AN134" s="778">
        <f t="shared" si="106"/>
        <v>3.5336243497468214</v>
      </c>
    </row>
    <row r="135" spans="2:40" ht="17" thickBot="1" x14ac:dyDescent="0.25">
      <c r="B135" s="785" t="s">
        <v>32</v>
      </c>
      <c r="C135" s="786" t="str">
        <f>$C121</f>
        <v>Other</v>
      </c>
      <c r="D135" s="787" t="s">
        <v>205</v>
      </c>
      <c r="E135" s="788">
        <f>VLOOKUP($B135&amp;"_"&amp;$D135,'App5 - CRUK Inci Rates'!C:H,6,FALSE)</f>
        <v>90.6</v>
      </c>
      <c r="F135" s="789">
        <f>VLOOKUP($B135&amp;"_"&amp;$D135,'App5 - CRUK Inci Rates'!C:H,3,FALSE)</f>
        <v>70.099999999999994</v>
      </c>
      <c r="G135" s="790">
        <f>VLOOKUP($B135&amp;"_"&amp;$D135,'App5 - CRUK Inci Rates'!C:J,8,FALSE)</f>
        <v>66041277.666666664</v>
      </c>
      <c r="H135" s="791">
        <f>VLOOKUP($B135&amp;"_"&amp;$D135,'App5 - CRUK Inci Rates'!C:J,7,FALSE)</f>
        <v>32583225.666666668</v>
      </c>
      <c r="I135" s="791">
        <f>VLOOKUP($B135&amp;"_"&amp;$D135,'App5 - CRUK Inci Rates'!C:J,4,FALSE)</f>
        <v>33458051.999999996</v>
      </c>
      <c r="J135" s="778">
        <f>VLOOKUP($B135&amp;"_"&amp;$D135,'App5 - CRUK Inci Rates'!C:K,9,FALSE)</f>
        <v>48549</v>
      </c>
      <c r="K135" s="792"/>
      <c r="L135" s="792"/>
      <c r="M135" s="792"/>
      <c r="N135" s="792"/>
      <c r="O135" s="792"/>
      <c r="P135" s="792"/>
      <c r="Q135" s="793"/>
      <c r="R135" s="794"/>
      <c r="S135" s="794"/>
      <c r="T135" s="794"/>
      <c r="U135" s="794"/>
      <c r="V135" s="795"/>
      <c r="W135" s="794"/>
      <c r="X135" s="794"/>
      <c r="Y135" s="794"/>
      <c r="Z135" s="794"/>
      <c r="AA135" s="794"/>
      <c r="AB135" s="795"/>
      <c r="AC135" s="793"/>
      <c r="AD135" s="794"/>
      <c r="AE135" s="794"/>
      <c r="AF135" s="794"/>
      <c r="AG135" s="794"/>
      <c r="AH135" s="795"/>
      <c r="AI135" s="793"/>
      <c r="AJ135" s="794"/>
      <c r="AK135" s="794"/>
      <c r="AL135" s="794"/>
      <c r="AM135" s="794"/>
      <c r="AN135" s="796"/>
    </row>
    <row r="136" spans="2:40" ht="21" customHeight="1" thickBot="1" x14ac:dyDescent="0.25">
      <c r="B136" s="754" t="s">
        <v>17</v>
      </c>
      <c r="C136" s="755">
        <v>0.8</v>
      </c>
      <c r="D136" s="756"/>
      <c r="E136" s="757"/>
      <c r="F136" s="758"/>
      <c r="G136" s="759"/>
      <c r="H136" s="760"/>
      <c r="I136" s="760"/>
      <c r="J136" s="761"/>
      <c r="K136" s="762"/>
      <c r="L136" s="762"/>
      <c r="M136" s="762"/>
      <c r="N136" s="762"/>
      <c r="O136" s="762"/>
      <c r="P136" s="762"/>
      <c r="Q136" s="763"/>
      <c r="R136" s="764"/>
      <c r="S136" s="764"/>
      <c r="T136" s="764"/>
      <c r="U136" s="764"/>
      <c r="V136" s="765"/>
      <c r="W136" s="764"/>
      <c r="X136" s="764"/>
      <c r="Y136" s="764"/>
      <c r="Z136" s="764"/>
      <c r="AA136" s="764"/>
      <c r="AB136" s="765"/>
      <c r="AC136" s="763"/>
      <c r="AD136" s="764"/>
      <c r="AE136" s="764"/>
      <c r="AF136" s="764"/>
      <c r="AG136" s="764"/>
      <c r="AH136" s="765"/>
      <c r="AI136" s="763"/>
      <c r="AJ136" s="764"/>
      <c r="AK136" s="764"/>
      <c r="AL136" s="764"/>
      <c r="AM136" s="764"/>
      <c r="AN136" s="767"/>
    </row>
    <row r="137" spans="2:40" x14ac:dyDescent="0.2">
      <c r="B137" s="797" t="s">
        <v>17</v>
      </c>
      <c r="C137" s="798" t="s">
        <v>214</v>
      </c>
      <c r="D137" s="770" t="s">
        <v>192</v>
      </c>
      <c r="E137" s="771">
        <f>VLOOKUP($B137&amp;"_"&amp;$D137,'App5 - CRUK Inci Rates'!C:H,6,FALSE)</f>
        <v>12.3</v>
      </c>
      <c r="F137" s="772">
        <f>VLOOKUP($B137&amp;"_"&amp;$D137,'App5 - CRUK Inci Rates'!C:H,3,FALSE)</f>
        <v>0</v>
      </c>
      <c r="G137" s="773">
        <f>VLOOKUP($B137&amp;"_"&amp;$D137,'App5 - CRUK Inci Rates'!C:J,8,FALSE)</f>
        <v>2021384.6666666667</v>
      </c>
      <c r="H137" s="774">
        <f>VLOOKUP($B137&amp;"_"&amp;$D137,'App5 - CRUK Inci Rates'!C:J,7,FALSE)</f>
        <v>2021384.6666666667</v>
      </c>
      <c r="I137" s="774">
        <f>VLOOKUP($B137&amp;"_"&amp;$D137,'App5 - CRUK Inci Rates'!C:J,4,FALSE)</f>
        <v>0</v>
      </c>
      <c r="J137" s="775">
        <f>VLOOKUP($B137&amp;"_"&amp;$D137,'App5 - CRUK Inci Rates'!C:K,9,FALSE)</f>
        <v>248</v>
      </c>
      <c r="K137" s="799">
        <f t="shared" si="68"/>
        <v>1010692.3333333334</v>
      </c>
      <c r="L137" s="799">
        <f>VLOOKUP("*"&amp;$B137&amp;"*",'S4 - Summ PRS Characteristics'!$C$21:$Q$28,11,FALSE)*$J137</f>
        <v>236.02451393163284</v>
      </c>
      <c r="M137" s="799">
        <f t="shared" si="69"/>
        <v>11.975486068367161</v>
      </c>
      <c r="N137" s="799">
        <f>IF($C137="other",(1-$C$7)*L137,(1-(VLOOKUP($C137,'S3 - Screening Tool Metrics'!$C$3:$G$17,5,FALSE)/100))*L137)</f>
        <v>47.204902786326556</v>
      </c>
      <c r="O137" s="799">
        <f>IF($C137="other",$C$7*L137,(VLOOKUP($C137,'S3 - Screening Tool Metrics'!$C$3:$G$17,5,FALSE)/100)*L137)</f>
        <v>188.81961114530628</v>
      </c>
      <c r="P137" s="799">
        <f t="shared" si="70"/>
        <v>76.136939977946085</v>
      </c>
      <c r="Q137" s="800">
        <f t="shared" ref="Q137:Q151" si="111">$G137*Q$3</f>
        <v>404276.93333333335</v>
      </c>
      <c r="R137" s="799">
        <f>VLOOKUP("*"&amp;$B137&amp;"*",'S4 - Summ PRS Characteristics'!$C$21:$Q$28,12,FALSE)*$J137</f>
        <v>196.8895162852632</v>
      </c>
      <c r="S137" s="799">
        <f>$J137-R137</f>
        <v>51.110483714736802</v>
      </c>
      <c r="T137" s="799">
        <f>IF($C137="other",(1-$C136)*R137,(1-(VLOOKUP($C137,'S3 - Screening Tool Metrics'!$C$3:$G$17,5,FALSE)/100))*R137)</f>
        <v>39.37790325705263</v>
      </c>
      <c r="U137" s="799">
        <f>IF($C137="other",$C136*R137,(VLOOKUP($C137,'S3 - Screening Tool Metrics'!$C$3:$G$17,5,FALSE)/100)*R137)</f>
        <v>157.51161302821058</v>
      </c>
      <c r="V137" s="801">
        <f t="shared" ref="V137:V151" si="112">U137/J137*100</f>
        <v>63.512747188794584</v>
      </c>
      <c r="W137" s="799">
        <f t="shared" ref="W137:W151" si="113">$G137*W$3</f>
        <v>202138.46666666667</v>
      </c>
      <c r="X137" s="799">
        <f>VLOOKUP("*"&amp;$B137&amp;"*",'S4 - Summ PRS Characteristics'!$C$21:$Q$28,13,FALSE)*$J137</f>
        <v>160.72279786465367</v>
      </c>
      <c r="Y137" s="799">
        <f>$J137-X137</f>
        <v>87.277202135346329</v>
      </c>
      <c r="Z137" s="799">
        <f>IF($C137="other",(1-$C136)*X137,(1-(VLOOKUP($C137,'S3 - Screening Tool Metrics'!$C$3:$G$17,5,FALSE)/100))*X137)</f>
        <v>32.144559572930724</v>
      </c>
      <c r="AA137" s="799">
        <f>IF($C137="other",$C136*X137,(VLOOKUP($C137,'S3 - Screening Tool Metrics'!$C$3:$G$17,5,FALSE)/100)*X137)</f>
        <v>128.57823829172295</v>
      </c>
      <c r="AB137" s="801">
        <f t="shared" ref="AB137:AB151" si="114">$AA137/$J137*100</f>
        <v>51.846063827307646</v>
      </c>
      <c r="AC137" s="800">
        <f t="shared" ref="AC137:AC151" si="115">$G137*AC$3</f>
        <v>101069.23333333334</v>
      </c>
      <c r="AD137" s="799">
        <f>VLOOKUP("*"&amp;$B137&amp;"*",'S4 - Summ PRS Characteristics'!$C$21:$Q$28,14,FALSE)*$J137</f>
        <v>125.66490711800846</v>
      </c>
      <c r="AE137" s="799">
        <f>$J137-AD137</f>
        <v>122.33509288199154</v>
      </c>
      <c r="AF137" s="799">
        <f>IF($C137="other",(1-$C136)*AD137,(1-(VLOOKUP($C137,'S3 - Screening Tool Metrics'!$C$3:$G$17,5,FALSE)/100))*AD137)</f>
        <v>25.132981423601684</v>
      </c>
      <c r="AG137" s="799">
        <f>IF($C137="other",$C136*AD137,(VLOOKUP($C137,'S3 - Screening Tool Metrics'!$C$3:$G$17,5,FALSE)/100)*AD137)</f>
        <v>100.53192569440677</v>
      </c>
      <c r="AH137" s="801">
        <f t="shared" ref="AH137:AH151" si="116">$AG137/$J137*100</f>
        <v>40.53706681226079</v>
      </c>
      <c r="AI137" s="800">
        <f t="shared" ref="AI137:AI151" si="117">$G137*AI$3</f>
        <v>20213.846666666668</v>
      </c>
      <c r="AJ137" s="799">
        <f>VLOOKUP("*"&amp;$B137&amp;"*",'S4 - Summ PRS Characteristics'!$C$21:$Q$28,15,FALSE)*$J137</f>
        <v>62.776784355799855</v>
      </c>
      <c r="AK137" s="799">
        <f>$J137-AJ137</f>
        <v>185.22321564420014</v>
      </c>
      <c r="AL137" s="799">
        <f>IF($C137="other",(1-$C136)*AJ137,(1-(VLOOKUP($C137,'S3 - Screening Tool Metrics'!$C$3:$G$17,5,FALSE)/100))*AJ137)</f>
        <v>12.555356871159969</v>
      </c>
      <c r="AM137" s="799">
        <f>IF($C137="other",$C136*AJ137,(VLOOKUP($C137,'S3 - Screening Tool Metrics'!$C$3:$G$17,5,FALSE)/100)*AJ137)</f>
        <v>50.221427484639889</v>
      </c>
      <c r="AN137" s="775">
        <f t="shared" ref="AN137:AN151" si="118">$AM137/$J137*100</f>
        <v>20.250575598645117</v>
      </c>
    </row>
    <row r="138" spans="2:40" x14ac:dyDescent="0.2">
      <c r="B138" s="768" t="s">
        <v>17</v>
      </c>
      <c r="C138" s="779" t="str">
        <f>$C137</f>
        <v>other</v>
      </c>
      <c r="D138" s="780" t="s">
        <v>193</v>
      </c>
      <c r="E138" s="781">
        <f>VLOOKUP($B138&amp;"_"&amp;$D138,'App5 - CRUK Inci Rates'!C:H,6,FALSE)</f>
        <v>9.4</v>
      </c>
      <c r="F138" s="782">
        <f>VLOOKUP($B138&amp;"_"&amp;$D138,'App5 - CRUK Inci Rates'!C:H,3,FALSE)</f>
        <v>0</v>
      </c>
      <c r="G138" s="783">
        <f>VLOOKUP($B138&amp;"_"&amp;$D138,'App5 - CRUK Inci Rates'!C:J,8,FALSE)</f>
        <v>2251680</v>
      </c>
      <c r="H138" s="784">
        <f>VLOOKUP($B138&amp;"_"&amp;$D138,'App5 - CRUK Inci Rates'!C:J,7,FALSE)</f>
        <v>2251680</v>
      </c>
      <c r="I138" s="784">
        <f>VLOOKUP($B138&amp;"_"&amp;$D138,'App5 - CRUK Inci Rates'!C:J,4,FALSE)</f>
        <v>0</v>
      </c>
      <c r="J138" s="778">
        <f>VLOOKUP($B138&amp;"_"&amp;$D138,'App5 - CRUK Inci Rates'!C:K,9,FALSE)</f>
        <v>211</v>
      </c>
      <c r="K138" s="753">
        <f t="shared" ref="K138:K151" si="119">$G138*$K$3</f>
        <v>1125840</v>
      </c>
      <c r="L138" s="753">
        <f>VLOOKUP("*"&amp;$B138&amp;"*",'S4 - Summ PRS Characteristics'!$C$21:$Q$28,11,FALSE)*$J138</f>
        <v>200.81117919183276</v>
      </c>
      <c r="M138" s="753">
        <f t="shared" ref="M138:M151" si="120">$J138-$L138</f>
        <v>10.188820808167236</v>
      </c>
      <c r="N138" s="753">
        <f>IF($C138="other",(1-$C$7)*L138,(1-(VLOOKUP($C138,'S3 - Screening Tool Metrics'!$C$3:$G$17,5,FALSE)/100))*L138)</f>
        <v>40.162235838366541</v>
      </c>
      <c r="O138" s="753">
        <f>IF($C138="other",$C$7*L138,(VLOOKUP($C138,'S3 - Screening Tool Metrics'!$C$3:$G$17,5,FALSE)/100)*L138)</f>
        <v>160.64894335346622</v>
      </c>
      <c r="P138" s="753">
        <f t="shared" ref="P138:P151" si="121">$O138/$J138*100</f>
        <v>76.136939977946071</v>
      </c>
      <c r="Q138" s="776">
        <f t="shared" si="111"/>
        <v>450336</v>
      </c>
      <c r="R138" s="753">
        <f>VLOOKUP("*"&amp;$B138&amp;"*",'S4 - Summ PRS Characteristics'!$C$21:$Q$28,12,FALSE)*$J138</f>
        <v>167.51487071044571</v>
      </c>
      <c r="S138" s="753">
        <f t="shared" ref="S138:S151" si="122">$J138-R138</f>
        <v>43.485129289554294</v>
      </c>
      <c r="T138" s="753">
        <f>IF($C138="other",(1-$C136)*R138,(1-(VLOOKUP($C138,'S3 - Screening Tool Metrics'!$C$3:$G$17,5,FALSE)/100))*R138)</f>
        <v>33.502974142089137</v>
      </c>
      <c r="U138" s="753">
        <f>IF($C138="other",$C136*R138,(VLOOKUP($C138,'S3 - Screening Tool Metrics'!$C$3:$G$17,5,FALSE)/100)*R138)</f>
        <v>134.01189656835658</v>
      </c>
      <c r="V138" s="777">
        <f t="shared" si="112"/>
        <v>63.512747188794584</v>
      </c>
      <c r="W138" s="753">
        <f t="shared" si="113"/>
        <v>225168</v>
      </c>
      <c r="X138" s="753">
        <f>VLOOKUP("*"&amp;$B138&amp;"*",'S4 - Summ PRS Characteristics'!$C$21:$Q$28,13,FALSE)*$J138</f>
        <v>136.74399334452391</v>
      </c>
      <c r="Y138" s="753">
        <f t="shared" ref="Y138:Y151" si="123">$J138-X138</f>
        <v>74.256006655476085</v>
      </c>
      <c r="Z138" s="753">
        <f>IF($C138="other",(1-$C136)*X138,(1-(VLOOKUP($C138,'S3 - Screening Tool Metrics'!$C$3:$G$17,5,FALSE)/100))*X138)</f>
        <v>27.348798668904777</v>
      </c>
      <c r="AA138" s="753">
        <f>IF($C138="other",$C136*X138,(VLOOKUP($C138,'S3 - Screening Tool Metrics'!$C$3:$G$17,5,FALSE)/100)*X138)</f>
        <v>109.39519467561914</v>
      </c>
      <c r="AB138" s="777">
        <f t="shared" si="114"/>
        <v>51.846063827307653</v>
      </c>
      <c r="AC138" s="776">
        <f t="shared" si="115"/>
        <v>112584</v>
      </c>
      <c r="AD138" s="753">
        <f>VLOOKUP("*"&amp;$B138&amp;"*",'S4 - Summ PRS Characteristics'!$C$21:$Q$28,14,FALSE)*$J138</f>
        <v>106.91651371733784</v>
      </c>
      <c r="AE138" s="753">
        <f>$J138-AD138</f>
        <v>104.08348628266216</v>
      </c>
      <c r="AF138" s="753">
        <f>IF($C138="other",(1-$C136)*AD138,(1-(VLOOKUP($C138,'S3 - Screening Tool Metrics'!$C$3:$G$17,5,FALSE)/100))*AD138)</f>
        <v>21.383302743467564</v>
      </c>
      <c r="AG138" s="753">
        <f>IF($C138="other",$C136*AD138,(VLOOKUP($C138,'S3 - Screening Tool Metrics'!$C$3:$G$17,5,FALSE)/100)*AD138)</f>
        <v>85.533210973870268</v>
      </c>
      <c r="AH138" s="777">
        <f t="shared" si="116"/>
        <v>40.53706681226079</v>
      </c>
      <c r="AI138" s="776">
        <f t="shared" si="117"/>
        <v>22516.799999999999</v>
      </c>
      <c r="AJ138" s="753">
        <f>VLOOKUP("*"&amp;$B138&amp;"*",'S4 - Summ PRS Characteristics'!$C$21:$Q$28,15,FALSE)*$J138</f>
        <v>53.410893141426492</v>
      </c>
      <c r="AK138" s="753">
        <f t="shared" ref="AK138:AK151" si="124">$J138-AJ138</f>
        <v>157.5891068585735</v>
      </c>
      <c r="AL138" s="753">
        <f>IF($C138="other",(1-$C136)*AJ138,(1-(VLOOKUP($C138,'S3 - Screening Tool Metrics'!$C$3:$G$17,5,FALSE)/100))*AJ138)</f>
        <v>10.682178628285296</v>
      </c>
      <c r="AM138" s="753">
        <f>IF($C138="other",$C136*AJ138,(VLOOKUP($C138,'S3 - Screening Tool Metrics'!$C$3:$G$17,5,FALSE)/100)*AJ138)</f>
        <v>42.728714513141199</v>
      </c>
      <c r="AN138" s="778">
        <f t="shared" si="118"/>
        <v>20.250575598645117</v>
      </c>
    </row>
    <row r="139" spans="2:40" x14ac:dyDescent="0.2">
      <c r="B139" s="768" t="s">
        <v>17</v>
      </c>
      <c r="C139" s="779" t="str">
        <f>$C137</f>
        <v>other</v>
      </c>
      <c r="D139" s="780" t="s">
        <v>194</v>
      </c>
      <c r="E139" s="781">
        <f>VLOOKUP($B139&amp;"_"&amp;$D139,'App5 - CRUK Inci Rates'!C:H,6,FALSE)</f>
        <v>7</v>
      </c>
      <c r="F139" s="782">
        <f>VLOOKUP($B139&amp;"_"&amp;$D139,'App5 - CRUK Inci Rates'!C:H,3,FALSE)</f>
        <v>0</v>
      </c>
      <c r="G139" s="783">
        <f>VLOOKUP($B139&amp;"_"&amp;$D139,'App5 - CRUK Inci Rates'!C:J,8,FALSE)</f>
        <v>2293472.6666666665</v>
      </c>
      <c r="H139" s="784">
        <f>VLOOKUP($B139&amp;"_"&amp;$D139,'App5 - CRUK Inci Rates'!C:J,7,FALSE)</f>
        <v>2293472.6666666665</v>
      </c>
      <c r="I139" s="784">
        <f>VLOOKUP($B139&amp;"_"&amp;$D139,'App5 - CRUK Inci Rates'!C:J,4,FALSE)</f>
        <v>0</v>
      </c>
      <c r="J139" s="778">
        <f>VLOOKUP($B139&amp;"_"&amp;$D139,'App5 - CRUK Inci Rates'!C:K,9,FALSE)</f>
        <v>160</v>
      </c>
      <c r="K139" s="753">
        <f t="shared" si="119"/>
        <v>1146736.3333333333</v>
      </c>
      <c r="L139" s="753">
        <f>VLOOKUP("*"&amp;$B139&amp;"*",'S4 - Summ PRS Characteristics'!$C$21:$Q$28,11,FALSE)*$J139</f>
        <v>152.27387995589214</v>
      </c>
      <c r="M139" s="753">
        <f t="shared" si="120"/>
        <v>7.7261200441078586</v>
      </c>
      <c r="N139" s="753">
        <f>IF($C139="other",(1-$C$7)*L139,(1-(VLOOKUP($C139,'S3 - Screening Tool Metrics'!$C$3:$G$17,5,FALSE)/100))*L139)</f>
        <v>30.454775991178423</v>
      </c>
      <c r="O139" s="753">
        <f>IF($C139="other",$C$7*L139,(VLOOKUP($C139,'S3 - Screening Tool Metrics'!$C$3:$G$17,5,FALSE)/100)*L139)</f>
        <v>121.81910396471372</v>
      </c>
      <c r="P139" s="753">
        <f t="shared" si="121"/>
        <v>76.136939977946071</v>
      </c>
      <c r="Q139" s="776">
        <f t="shared" si="111"/>
        <v>458694.53333333333</v>
      </c>
      <c r="R139" s="753">
        <f>VLOOKUP("*"&amp;$B139&amp;"*",'S4 - Summ PRS Characteristics'!$C$21:$Q$28,12,FALSE)*$J139</f>
        <v>127.02549437758917</v>
      </c>
      <c r="S139" s="753">
        <f t="shared" si="122"/>
        <v>32.974505622410831</v>
      </c>
      <c r="T139" s="753">
        <f>IF($C139="other",(1-$C136)*R139,(1-(VLOOKUP($C139,'S3 - Screening Tool Metrics'!$C$3:$G$17,5,FALSE)/100))*R139)</f>
        <v>25.40509887551783</v>
      </c>
      <c r="U139" s="753">
        <f>IF($C139="other",$C136*R139,(VLOOKUP($C139,'S3 - Screening Tool Metrics'!$C$3:$G$17,5,FALSE)/100)*R139)</f>
        <v>101.62039550207135</v>
      </c>
      <c r="V139" s="777">
        <f t="shared" si="112"/>
        <v>63.512747188794592</v>
      </c>
      <c r="W139" s="753">
        <f t="shared" si="113"/>
        <v>229347.26666666666</v>
      </c>
      <c r="X139" s="753">
        <f>VLOOKUP("*"&amp;$B139&amp;"*",'S4 - Summ PRS Characteristics'!$C$21:$Q$28,13,FALSE)*$J139</f>
        <v>103.69212765461528</v>
      </c>
      <c r="Y139" s="753">
        <f t="shared" si="123"/>
        <v>56.307872345384723</v>
      </c>
      <c r="Z139" s="753">
        <f>IF($C139="other",(1-$C136)*X139,(1-(VLOOKUP($C139,'S3 - Screening Tool Metrics'!$C$3:$G$17,5,FALSE)/100))*X139)</f>
        <v>20.738425530923053</v>
      </c>
      <c r="AA139" s="753">
        <f>IF($C139="other",$C136*X139,(VLOOKUP($C139,'S3 - Screening Tool Metrics'!$C$3:$G$17,5,FALSE)/100)*X139)</f>
        <v>82.953702123692224</v>
      </c>
      <c r="AB139" s="777">
        <f t="shared" si="114"/>
        <v>51.846063827307646</v>
      </c>
      <c r="AC139" s="776">
        <f t="shared" si="115"/>
        <v>114673.63333333333</v>
      </c>
      <c r="AD139" s="753">
        <f>VLOOKUP("*"&amp;$B139&amp;"*",'S4 - Summ PRS Characteristics'!$C$21:$Q$28,14,FALSE)*$J139</f>
        <v>81.074133624521579</v>
      </c>
      <c r="AE139" s="753">
        <f t="shared" ref="AE139:AE151" si="125">$J139-AD139</f>
        <v>78.925866375478421</v>
      </c>
      <c r="AF139" s="753">
        <f>IF($C139="other",(1-$C136)*AD139,(1-(VLOOKUP($C139,'S3 - Screening Tool Metrics'!$C$3:$G$17,5,FALSE)/100))*AD139)</f>
        <v>16.214826724904313</v>
      </c>
      <c r="AG139" s="753">
        <f>IF($C139="other",$C136*AD139,(VLOOKUP($C139,'S3 - Screening Tool Metrics'!$C$3:$G$17,5,FALSE)/100)*AD139)</f>
        <v>64.859306899617266</v>
      </c>
      <c r="AH139" s="777">
        <f t="shared" si="116"/>
        <v>40.53706681226079</v>
      </c>
      <c r="AI139" s="776">
        <f t="shared" si="117"/>
        <v>22934.726666666666</v>
      </c>
      <c r="AJ139" s="753">
        <f>VLOOKUP("*"&amp;$B139&amp;"*",'S4 - Summ PRS Characteristics'!$C$21:$Q$28,15,FALSE)*$J139</f>
        <v>40.501151197290227</v>
      </c>
      <c r="AK139" s="753">
        <f t="shared" si="124"/>
        <v>119.49884880270977</v>
      </c>
      <c r="AL139" s="753">
        <f>IF($C139="other",(1-$C136)*AJ139,(1-(VLOOKUP($C139,'S3 - Screening Tool Metrics'!$C$3:$G$17,5,FALSE)/100))*AJ139)</f>
        <v>8.1002302394580443</v>
      </c>
      <c r="AM139" s="753">
        <f>IF($C139="other",$C136*AJ139,(VLOOKUP($C139,'S3 - Screening Tool Metrics'!$C$3:$G$17,5,FALSE)/100)*AJ139)</f>
        <v>32.400920957832184</v>
      </c>
      <c r="AN139" s="778">
        <f t="shared" si="118"/>
        <v>20.250575598645113</v>
      </c>
    </row>
    <row r="140" spans="2:40" x14ac:dyDescent="0.2">
      <c r="B140" s="768" t="s">
        <v>17</v>
      </c>
      <c r="C140" s="779" t="str">
        <f>$C137</f>
        <v>other</v>
      </c>
      <c r="D140" s="780" t="s">
        <v>195</v>
      </c>
      <c r="E140" s="781">
        <f>VLOOKUP($B140&amp;"_"&amp;$D140,'App5 - CRUK Inci Rates'!C:H,6,FALSE)</f>
        <v>5.2</v>
      </c>
      <c r="F140" s="782">
        <f>VLOOKUP($B140&amp;"_"&amp;$D140,'App5 - CRUK Inci Rates'!C:H,3,FALSE)</f>
        <v>0</v>
      </c>
      <c r="G140" s="783">
        <f>VLOOKUP($B140&amp;"_"&amp;$D140,'App5 - CRUK Inci Rates'!C:J,8,FALSE)</f>
        <v>2061918.6666666667</v>
      </c>
      <c r="H140" s="784">
        <f>VLOOKUP($B140&amp;"_"&amp;$D140,'App5 - CRUK Inci Rates'!C:J,7,FALSE)</f>
        <v>2061918.6666666667</v>
      </c>
      <c r="I140" s="784">
        <f>VLOOKUP($B140&amp;"_"&amp;$D140,'App5 - CRUK Inci Rates'!C:J,4,FALSE)</f>
        <v>0</v>
      </c>
      <c r="J140" s="778">
        <f>VLOOKUP($B140&amp;"_"&amp;$D140,'App5 - CRUK Inci Rates'!C:K,9,FALSE)</f>
        <v>108</v>
      </c>
      <c r="K140" s="753">
        <f t="shared" si="119"/>
        <v>1030959.3333333334</v>
      </c>
      <c r="L140" s="753">
        <f>VLOOKUP("*"&amp;$B140&amp;"*",'S4 - Summ PRS Characteristics'!$C$21:$Q$28,11,FALSE)*$J140</f>
        <v>102.78486897022719</v>
      </c>
      <c r="M140" s="753">
        <f t="shared" si="120"/>
        <v>5.215131029772806</v>
      </c>
      <c r="N140" s="753">
        <f>IF($C140="other",(1-$C$7)*L140,(1-(VLOOKUP($C140,'S3 - Screening Tool Metrics'!$C$3:$G$17,5,FALSE)/100))*L140)</f>
        <v>20.556973794045433</v>
      </c>
      <c r="O140" s="753">
        <f>IF($C140="other",$C$7*L140,(VLOOKUP($C140,'S3 - Screening Tool Metrics'!$C$3:$G$17,5,FALSE)/100)*L140)</f>
        <v>82.227895176181761</v>
      </c>
      <c r="P140" s="753">
        <f t="shared" si="121"/>
        <v>76.136939977946071</v>
      </c>
      <c r="Q140" s="776">
        <f t="shared" si="111"/>
        <v>412383.7333333334</v>
      </c>
      <c r="R140" s="753">
        <f>VLOOKUP("*"&amp;$B140&amp;"*",'S4 - Summ PRS Characteristics'!$C$21:$Q$28,12,FALSE)*$J140</f>
        <v>85.742208704872681</v>
      </c>
      <c r="S140" s="753">
        <f t="shared" si="122"/>
        <v>22.257791295127319</v>
      </c>
      <c r="T140" s="753">
        <f>IF($C140="other",(1-$C136)*R140,(1-(VLOOKUP($C140,'S3 - Screening Tool Metrics'!$C$3:$G$17,5,FALSE)/100))*R140)</f>
        <v>17.148441740974533</v>
      </c>
      <c r="U140" s="753">
        <f>IF($C140="other",$C136*R140,(VLOOKUP($C140,'S3 - Screening Tool Metrics'!$C$3:$G$17,5,FALSE)/100)*R140)</f>
        <v>68.593766963898148</v>
      </c>
      <c r="V140" s="777">
        <f t="shared" si="112"/>
        <v>63.512747188794584</v>
      </c>
      <c r="W140" s="753">
        <f t="shared" si="113"/>
        <v>206191.8666666667</v>
      </c>
      <c r="X140" s="753">
        <f>VLOOKUP("*"&amp;$B140&amp;"*",'S4 - Summ PRS Characteristics'!$C$21:$Q$28,13,FALSE)*$J140</f>
        <v>69.992186166865309</v>
      </c>
      <c r="Y140" s="753">
        <f t="shared" si="123"/>
        <v>38.007813833134691</v>
      </c>
      <c r="Z140" s="753">
        <f>IF($C140="other",(1-$C136)*X140,(1-(VLOOKUP($C140,'S3 - Screening Tool Metrics'!$C$3:$G$17,5,FALSE)/100))*X140)</f>
        <v>13.998437233373059</v>
      </c>
      <c r="AA140" s="753">
        <f>IF($C140="other",$C136*X140,(VLOOKUP($C140,'S3 - Screening Tool Metrics'!$C$3:$G$17,5,FALSE)/100)*X140)</f>
        <v>55.993748933492249</v>
      </c>
      <c r="AB140" s="777">
        <f t="shared" si="114"/>
        <v>51.846063827307646</v>
      </c>
      <c r="AC140" s="776">
        <f t="shared" si="115"/>
        <v>103095.93333333335</v>
      </c>
      <c r="AD140" s="753">
        <f>VLOOKUP("*"&amp;$B140&amp;"*",'S4 - Summ PRS Characteristics'!$C$21:$Q$28,14,FALSE)*$J140</f>
        <v>54.725040196552065</v>
      </c>
      <c r="AE140" s="753">
        <f t="shared" si="125"/>
        <v>53.274959803447935</v>
      </c>
      <c r="AF140" s="753">
        <f>IF($C140="other",(1-$C136)*AD140,(1-(VLOOKUP($C140,'S3 - Screening Tool Metrics'!$C$3:$G$17,5,FALSE)/100))*AD140)</f>
        <v>10.945008039310411</v>
      </c>
      <c r="AG140" s="753">
        <f>IF($C140="other",$C136*AD140,(VLOOKUP($C140,'S3 - Screening Tool Metrics'!$C$3:$G$17,5,FALSE)/100)*AD140)</f>
        <v>43.780032157241656</v>
      </c>
      <c r="AH140" s="777">
        <f t="shared" si="116"/>
        <v>40.53706681226079</v>
      </c>
      <c r="AI140" s="776">
        <f t="shared" si="117"/>
        <v>20619.186666666668</v>
      </c>
      <c r="AJ140" s="753">
        <f>VLOOKUP("*"&amp;$B140&amp;"*",'S4 - Summ PRS Characteristics'!$C$21:$Q$28,15,FALSE)*$J140</f>
        <v>27.338277058170906</v>
      </c>
      <c r="AK140" s="753">
        <f t="shared" si="124"/>
        <v>80.661722941829098</v>
      </c>
      <c r="AL140" s="753">
        <f>IF($C140="other",(1-$C136)*AJ140,(1-(VLOOKUP($C140,'S3 - Screening Tool Metrics'!$C$3:$G$17,5,FALSE)/100))*AJ140)</f>
        <v>5.4676554116341798</v>
      </c>
      <c r="AM140" s="753">
        <f>IF($C140="other",$C136*AJ140,(VLOOKUP($C140,'S3 - Screening Tool Metrics'!$C$3:$G$17,5,FALSE)/100)*AJ140)</f>
        <v>21.870621646536726</v>
      </c>
      <c r="AN140" s="778">
        <f t="shared" si="118"/>
        <v>20.250575598645117</v>
      </c>
    </row>
    <row r="141" spans="2:40" x14ac:dyDescent="0.2">
      <c r="B141" s="768" t="s">
        <v>17</v>
      </c>
      <c r="C141" s="779" t="str">
        <f>$C137</f>
        <v>other</v>
      </c>
      <c r="D141" s="780" t="s">
        <v>196</v>
      </c>
      <c r="E141" s="781">
        <f>VLOOKUP($B141&amp;"_"&amp;$D141,'App5 - CRUK Inci Rates'!C:H,6,FALSE)</f>
        <v>3</v>
      </c>
      <c r="F141" s="782">
        <f>VLOOKUP($B141&amp;"_"&amp;$D141,'App5 - CRUK Inci Rates'!C:H,3,FALSE)</f>
        <v>0</v>
      </c>
      <c r="G141" s="783">
        <f>VLOOKUP($B141&amp;"_"&amp;$D141,'App5 - CRUK Inci Rates'!C:J,8,FALSE)</f>
        <v>1764828</v>
      </c>
      <c r="H141" s="784">
        <f>VLOOKUP($B141&amp;"_"&amp;$D141,'App5 - CRUK Inci Rates'!C:J,7,FALSE)</f>
        <v>1764828</v>
      </c>
      <c r="I141" s="784">
        <f>VLOOKUP($B141&amp;"_"&amp;$D141,'App5 - CRUK Inci Rates'!C:J,4,FALSE)</f>
        <v>0</v>
      </c>
      <c r="J141" s="778">
        <f>VLOOKUP($B141&amp;"_"&amp;$D141,'App5 - CRUK Inci Rates'!C:K,9,FALSE)</f>
        <v>52</v>
      </c>
      <c r="K141" s="753">
        <f t="shared" si="119"/>
        <v>882414</v>
      </c>
      <c r="L141" s="753">
        <f>VLOOKUP("*"&amp;$B141&amp;"*",'S4 - Summ PRS Characteristics'!$C$21:$Q$28,11,FALSE)*$J141</f>
        <v>49.489010985664947</v>
      </c>
      <c r="M141" s="753">
        <f t="shared" si="120"/>
        <v>2.5109890143350526</v>
      </c>
      <c r="N141" s="753">
        <f>IF($C141="other",(1-$C$7)*L141,(1-(VLOOKUP($C141,'S3 - Screening Tool Metrics'!$C$3:$G$17,5,FALSE)/100))*L141)</f>
        <v>9.8978021971329877</v>
      </c>
      <c r="O141" s="753">
        <f>IF($C141="other",$C$7*L141,(VLOOKUP($C141,'S3 - Screening Tool Metrics'!$C$3:$G$17,5,FALSE)/100)*L141)</f>
        <v>39.591208788531958</v>
      </c>
      <c r="P141" s="753">
        <f t="shared" si="121"/>
        <v>76.136939977946071</v>
      </c>
      <c r="Q141" s="776">
        <f t="shared" si="111"/>
        <v>352965.60000000003</v>
      </c>
      <c r="R141" s="753">
        <f>VLOOKUP("*"&amp;$B141&amp;"*",'S4 - Summ PRS Characteristics'!$C$21:$Q$28,12,FALSE)*$J141</f>
        <v>41.283285672716481</v>
      </c>
      <c r="S141" s="753">
        <f t="shared" si="122"/>
        <v>10.716714327283519</v>
      </c>
      <c r="T141" s="753">
        <f>IF($C141="other",(1-$C136)*R141,(1-(VLOOKUP($C141,'S3 - Screening Tool Metrics'!$C$3:$G$17,5,FALSE)/100))*R141)</f>
        <v>8.2566571345432944</v>
      </c>
      <c r="U141" s="753">
        <f>IF($C141="other",$C136*R141,(VLOOKUP($C141,'S3 - Screening Tool Metrics'!$C$3:$G$17,5,FALSE)/100)*R141)</f>
        <v>33.026628538173185</v>
      </c>
      <c r="V141" s="777">
        <f t="shared" si="112"/>
        <v>63.512747188794584</v>
      </c>
      <c r="W141" s="753">
        <f t="shared" si="113"/>
        <v>176482.80000000002</v>
      </c>
      <c r="X141" s="753">
        <f>VLOOKUP("*"&amp;$B141&amp;"*",'S4 - Summ PRS Characteristics'!$C$21:$Q$28,13,FALSE)*$J141</f>
        <v>33.699941487749967</v>
      </c>
      <c r="Y141" s="753">
        <f t="shared" si="123"/>
        <v>18.300058512250033</v>
      </c>
      <c r="Z141" s="753">
        <f>IF($C141="other",(1-$C136)*X141,(1-(VLOOKUP($C141,'S3 - Screening Tool Metrics'!$C$3:$G$17,5,FALSE)/100))*X141)</f>
        <v>6.7399882975499921</v>
      </c>
      <c r="AA141" s="753">
        <f>IF($C141="other",$C136*X141,(VLOOKUP($C141,'S3 - Screening Tool Metrics'!$C$3:$G$17,5,FALSE)/100)*X141)</f>
        <v>26.959953190199975</v>
      </c>
      <c r="AB141" s="777">
        <f t="shared" si="114"/>
        <v>51.846063827307646</v>
      </c>
      <c r="AC141" s="776">
        <f t="shared" si="115"/>
        <v>88241.400000000009</v>
      </c>
      <c r="AD141" s="753">
        <f>VLOOKUP("*"&amp;$B141&amp;"*",'S4 - Summ PRS Characteristics'!$C$21:$Q$28,14,FALSE)*$J141</f>
        <v>26.349093427969514</v>
      </c>
      <c r="AE141" s="753">
        <f t="shared" si="125"/>
        <v>25.650906572030486</v>
      </c>
      <c r="AF141" s="753">
        <f>IF($C141="other",(1-$C136)*AD141,(1-(VLOOKUP($C141,'S3 - Screening Tool Metrics'!$C$3:$G$17,5,FALSE)/100))*AD141)</f>
        <v>5.2698186855939015</v>
      </c>
      <c r="AG141" s="753">
        <f>IF($C141="other",$C136*AD141,(VLOOKUP($C141,'S3 - Screening Tool Metrics'!$C$3:$G$17,5,FALSE)/100)*AD141)</f>
        <v>21.079274742375613</v>
      </c>
      <c r="AH141" s="777">
        <f t="shared" si="116"/>
        <v>40.537066812260797</v>
      </c>
      <c r="AI141" s="776">
        <f t="shared" si="117"/>
        <v>17648.28</v>
      </c>
      <c r="AJ141" s="753">
        <f>VLOOKUP("*"&amp;$B141&amp;"*",'S4 - Summ PRS Characteristics'!$C$21:$Q$28,15,FALSE)*$J141</f>
        <v>13.162874139119324</v>
      </c>
      <c r="AK141" s="753">
        <f t="shared" si="124"/>
        <v>38.837125860880676</v>
      </c>
      <c r="AL141" s="753">
        <f>IF($C141="other",(1-$C136)*AJ141,(1-(VLOOKUP($C141,'S3 - Screening Tool Metrics'!$C$3:$G$17,5,FALSE)/100))*AJ141)</f>
        <v>2.6325748278238641</v>
      </c>
      <c r="AM141" s="753">
        <f>IF($C141="other",$C136*AJ141,(VLOOKUP($C141,'S3 - Screening Tool Metrics'!$C$3:$G$17,5,FALSE)/100)*AJ141)</f>
        <v>10.53029931129546</v>
      </c>
      <c r="AN141" s="778">
        <f t="shared" si="118"/>
        <v>20.250575598645113</v>
      </c>
    </row>
    <row r="142" spans="2:40" x14ac:dyDescent="0.2">
      <c r="B142" s="768" t="s">
        <v>17</v>
      </c>
      <c r="C142" s="779" t="str">
        <f>$C137</f>
        <v>other</v>
      </c>
      <c r="D142" s="780" t="s">
        <v>197</v>
      </c>
      <c r="E142" s="781">
        <f>VLOOKUP($B142&amp;"_"&amp;$D142,'App5 - CRUK Inci Rates'!C:H,6,FALSE)</f>
        <v>2.4</v>
      </c>
      <c r="F142" s="782">
        <f>VLOOKUP($B142&amp;"_"&amp;$D142,'App5 - CRUK Inci Rates'!C:H,3,FALSE)</f>
        <v>0</v>
      </c>
      <c r="G142" s="783">
        <f>VLOOKUP($B142&amp;"_"&amp;$D142,'App5 - CRUK Inci Rates'!C:J,8,FALSE)</f>
        <v>1696993.3333333333</v>
      </c>
      <c r="H142" s="784">
        <f>VLOOKUP($B142&amp;"_"&amp;$D142,'App5 - CRUK Inci Rates'!C:J,7,FALSE)</f>
        <v>1696993.3333333333</v>
      </c>
      <c r="I142" s="784">
        <f>VLOOKUP($B142&amp;"_"&amp;$D142,'App5 - CRUK Inci Rates'!C:J,4,FALSE)</f>
        <v>0</v>
      </c>
      <c r="J142" s="778">
        <f>VLOOKUP($B142&amp;"_"&amp;$D142,'App5 - CRUK Inci Rates'!C:K,9,FALSE)</f>
        <v>41</v>
      </c>
      <c r="K142" s="753">
        <f t="shared" si="119"/>
        <v>848496.66666666663</v>
      </c>
      <c r="L142" s="753">
        <f>VLOOKUP("*"&amp;$B142&amp;"*",'S4 - Summ PRS Characteristics'!$C$21:$Q$28,11,FALSE)*$J142</f>
        <v>39.02018173869736</v>
      </c>
      <c r="M142" s="753">
        <f t="shared" si="120"/>
        <v>1.9798182613026398</v>
      </c>
      <c r="N142" s="753">
        <f>IF($C142="other",(1-$C$7)*L142,(1-(VLOOKUP($C142,'S3 - Screening Tool Metrics'!$C$3:$G$17,5,FALSE)/100))*L142)</f>
        <v>7.8040363477394701</v>
      </c>
      <c r="O142" s="753">
        <f>IF($C142="other",$C$7*L142,(VLOOKUP($C142,'S3 - Screening Tool Metrics'!$C$3:$G$17,5,FALSE)/100)*L142)</f>
        <v>31.216145390957891</v>
      </c>
      <c r="P142" s="753">
        <f t="shared" si="121"/>
        <v>76.136939977946071</v>
      </c>
      <c r="Q142" s="776">
        <f t="shared" si="111"/>
        <v>339398.66666666669</v>
      </c>
      <c r="R142" s="753">
        <f>VLOOKUP("*"&amp;$B142&amp;"*",'S4 - Summ PRS Characteristics'!$C$21:$Q$28,12,FALSE)*$J142</f>
        <v>32.550282934257226</v>
      </c>
      <c r="S142" s="753">
        <f t="shared" si="122"/>
        <v>8.4497170657427745</v>
      </c>
      <c r="T142" s="753">
        <f>IF($C142="other",(1-$C136)*R142,(1-(VLOOKUP($C142,'S3 - Screening Tool Metrics'!$C$3:$G$17,5,FALSE)/100))*R142)</f>
        <v>6.5100565868514435</v>
      </c>
      <c r="U142" s="753">
        <f>IF($C142="other",$C136*R142,(VLOOKUP($C142,'S3 - Screening Tool Metrics'!$C$3:$G$17,5,FALSE)/100)*R142)</f>
        <v>26.040226347405781</v>
      </c>
      <c r="V142" s="777">
        <f t="shared" si="112"/>
        <v>63.512747188794584</v>
      </c>
      <c r="W142" s="753">
        <f t="shared" si="113"/>
        <v>169699.33333333334</v>
      </c>
      <c r="X142" s="753">
        <f>VLOOKUP("*"&amp;$B142&amp;"*",'S4 - Summ PRS Characteristics'!$C$21:$Q$28,13,FALSE)*$J142</f>
        <v>26.571107711495166</v>
      </c>
      <c r="Y142" s="753">
        <f t="shared" si="123"/>
        <v>14.428892288504834</v>
      </c>
      <c r="Z142" s="753">
        <f>IF($C142="other",(1-$C136)*X142,(1-(VLOOKUP($C142,'S3 - Screening Tool Metrics'!$C$3:$G$17,5,FALSE)/100))*X142)</f>
        <v>5.3142215422990322</v>
      </c>
      <c r="AA142" s="753">
        <f>IF($C142="other",$C136*X142,(VLOOKUP($C142,'S3 - Screening Tool Metrics'!$C$3:$G$17,5,FALSE)/100)*X142)</f>
        <v>21.256886169196136</v>
      </c>
      <c r="AB142" s="777">
        <f t="shared" si="114"/>
        <v>51.846063827307653</v>
      </c>
      <c r="AC142" s="776">
        <f t="shared" si="115"/>
        <v>84849.666666666672</v>
      </c>
      <c r="AD142" s="753">
        <f>VLOOKUP("*"&amp;$B142&amp;"*",'S4 - Summ PRS Characteristics'!$C$21:$Q$28,14,FALSE)*$J142</f>
        <v>20.775246741283656</v>
      </c>
      <c r="AE142" s="753">
        <f t="shared" si="125"/>
        <v>20.224753258716344</v>
      </c>
      <c r="AF142" s="753">
        <f>IF($C142="other",(1-$C136)*AD142,(1-(VLOOKUP($C142,'S3 - Screening Tool Metrics'!$C$3:$G$17,5,FALSE)/100))*AD142)</f>
        <v>4.1550493482567301</v>
      </c>
      <c r="AG142" s="753">
        <f>IF($C142="other",$C136*AD142,(VLOOKUP($C142,'S3 - Screening Tool Metrics'!$C$3:$G$17,5,FALSE)/100)*AD142)</f>
        <v>16.620197393026924</v>
      </c>
      <c r="AH142" s="777">
        <f t="shared" si="116"/>
        <v>40.53706681226079</v>
      </c>
      <c r="AI142" s="776">
        <f t="shared" si="117"/>
        <v>16969.933333333334</v>
      </c>
      <c r="AJ142" s="753">
        <f>VLOOKUP("*"&amp;$B142&amp;"*",'S4 - Summ PRS Characteristics'!$C$21:$Q$28,15,FALSE)*$J142</f>
        <v>10.378419994305622</v>
      </c>
      <c r="AK142" s="753">
        <f t="shared" si="124"/>
        <v>30.621580005694376</v>
      </c>
      <c r="AL142" s="753">
        <f>IF($C142="other",(1-$C136)*AJ142,(1-(VLOOKUP($C142,'S3 - Screening Tool Metrics'!$C$3:$G$17,5,FALSE)/100))*AJ142)</f>
        <v>2.0756839988611238</v>
      </c>
      <c r="AM142" s="753">
        <f>IF($C142="other",$C136*AJ142,(VLOOKUP($C142,'S3 - Screening Tool Metrics'!$C$3:$G$17,5,FALSE)/100)*AJ142)</f>
        <v>8.3027359954444986</v>
      </c>
      <c r="AN142" s="778">
        <f t="shared" si="118"/>
        <v>20.250575598645117</v>
      </c>
    </row>
    <row r="143" spans="2:40" x14ac:dyDescent="0.2">
      <c r="B143" s="768" t="s">
        <v>17</v>
      </c>
      <c r="C143" s="779" t="str">
        <f>$C137</f>
        <v>other</v>
      </c>
      <c r="D143" s="780" t="s">
        <v>198</v>
      </c>
      <c r="E143" s="781">
        <f>VLOOKUP($B143&amp;"_"&amp;$D143,'App5 - CRUK Inci Rates'!C:H,6,FALSE)</f>
        <v>2.4</v>
      </c>
      <c r="F143" s="782">
        <f>VLOOKUP($B143&amp;"_"&amp;$D143,'App5 - CRUK Inci Rates'!C:H,3,FALSE)</f>
        <v>0</v>
      </c>
      <c r="G143" s="783">
        <f>VLOOKUP($B143&amp;"_"&amp;$D143,'App5 - CRUK Inci Rates'!C:J,8,FALSE)</f>
        <v>1467965</v>
      </c>
      <c r="H143" s="784">
        <f>VLOOKUP($B143&amp;"_"&amp;$D143,'App5 - CRUK Inci Rates'!C:J,7,FALSE)</f>
        <v>1467965</v>
      </c>
      <c r="I143" s="784">
        <f>VLOOKUP($B143&amp;"_"&amp;$D143,'App5 - CRUK Inci Rates'!C:J,4,FALSE)</f>
        <v>0</v>
      </c>
      <c r="J143" s="778">
        <f>VLOOKUP($B143&amp;"_"&amp;$D143,'App5 - CRUK Inci Rates'!C:K,9,FALSE)</f>
        <v>35</v>
      </c>
      <c r="K143" s="753">
        <f t="shared" si="119"/>
        <v>733982.5</v>
      </c>
      <c r="L143" s="753">
        <f>VLOOKUP("*"&amp;$B143&amp;"*",'S4 - Summ PRS Characteristics'!$C$21:$Q$28,11,FALSE)*$J143</f>
        <v>33.309911240351404</v>
      </c>
      <c r="M143" s="753">
        <f t="shared" si="120"/>
        <v>1.6900887596485958</v>
      </c>
      <c r="N143" s="753">
        <f>IF($C143="other",(1-$C$7)*L143,(1-(VLOOKUP($C143,'S3 - Screening Tool Metrics'!$C$3:$G$17,5,FALSE)/100))*L143)</f>
        <v>6.6619822480702791</v>
      </c>
      <c r="O143" s="753">
        <f>IF($C143="other",$C$7*L143,(VLOOKUP($C143,'S3 - Screening Tool Metrics'!$C$3:$G$17,5,FALSE)/100)*L143)</f>
        <v>26.647928992281123</v>
      </c>
      <c r="P143" s="753">
        <f t="shared" si="121"/>
        <v>76.136939977946071</v>
      </c>
      <c r="Q143" s="776">
        <f t="shared" si="111"/>
        <v>293593</v>
      </c>
      <c r="R143" s="753">
        <f>VLOOKUP("*"&amp;$B143&amp;"*",'S4 - Summ PRS Characteristics'!$C$21:$Q$28,12,FALSE)*$J143</f>
        <v>27.786826895097629</v>
      </c>
      <c r="S143" s="753">
        <f t="shared" si="122"/>
        <v>7.2131731049023706</v>
      </c>
      <c r="T143" s="753">
        <f>IF($C143="other",(1-$C136)*R143,(1-(VLOOKUP($C143,'S3 - Screening Tool Metrics'!$C$3:$G$17,5,FALSE)/100))*R143)</f>
        <v>5.557365379019525</v>
      </c>
      <c r="U143" s="753">
        <f>IF($C143="other",$C136*R143,(VLOOKUP($C143,'S3 - Screening Tool Metrics'!$C$3:$G$17,5,FALSE)/100)*R143)</f>
        <v>22.229461516078104</v>
      </c>
      <c r="V143" s="777">
        <f t="shared" si="112"/>
        <v>63.512747188794584</v>
      </c>
      <c r="W143" s="753">
        <f t="shared" si="113"/>
        <v>146796.5</v>
      </c>
      <c r="X143" s="753">
        <f>VLOOKUP("*"&amp;$B143&amp;"*",'S4 - Summ PRS Characteristics'!$C$21:$Q$28,13,FALSE)*$J143</f>
        <v>22.682652924447094</v>
      </c>
      <c r="Y143" s="753">
        <f t="shared" si="123"/>
        <v>12.317347075552906</v>
      </c>
      <c r="Z143" s="753">
        <f>IF($C143="other",(1-$C136)*X143,(1-(VLOOKUP($C143,'S3 - Screening Tool Metrics'!$C$3:$G$17,5,FALSE)/100))*X143)</f>
        <v>4.5365305848894177</v>
      </c>
      <c r="AA143" s="753">
        <f>IF($C143="other",$C136*X143,(VLOOKUP($C143,'S3 - Screening Tool Metrics'!$C$3:$G$17,5,FALSE)/100)*X143)</f>
        <v>18.146122339557675</v>
      </c>
      <c r="AB143" s="777">
        <f t="shared" si="114"/>
        <v>51.846063827307646</v>
      </c>
      <c r="AC143" s="776">
        <f t="shared" si="115"/>
        <v>73398.25</v>
      </c>
      <c r="AD143" s="753">
        <f>VLOOKUP("*"&amp;$B143&amp;"*",'S4 - Summ PRS Characteristics'!$C$21:$Q$28,14,FALSE)*$J143</f>
        <v>17.734966730364096</v>
      </c>
      <c r="AE143" s="753">
        <f t="shared" si="125"/>
        <v>17.265033269635904</v>
      </c>
      <c r="AF143" s="753">
        <f>IF($C143="other",(1-$C136)*AD143,(1-(VLOOKUP($C143,'S3 - Screening Tool Metrics'!$C$3:$G$17,5,FALSE)/100))*AD143)</f>
        <v>3.5469933460728185</v>
      </c>
      <c r="AG143" s="753">
        <f>IF($C143="other",$C136*AD143,(VLOOKUP($C143,'S3 - Screening Tool Metrics'!$C$3:$G$17,5,FALSE)/100)*AD143)</f>
        <v>14.187973384291277</v>
      </c>
      <c r="AH143" s="777">
        <f t="shared" si="116"/>
        <v>40.53706681226079</v>
      </c>
      <c r="AI143" s="776">
        <f t="shared" si="117"/>
        <v>14679.65</v>
      </c>
      <c r="AJ143" s="753">
        <f>VLOOKUP("*"&amp;$B143&amp;"*",'S4 - Summ PRS Characteristics'!$C$21:$Q$28,15,FALSE)*$J143</f>
        <v>8.859626824407238</v>
      </c>
      <c r="AK143" s="753">
        <f t="shared" si="124"/>
        <v>26.140373175592764</v>
      </c>
      <c r="AL143" s="753">
        <f>IF($C143="other",(1-$C136)*AJ143,(1-(VLOOKUP($C143,'S3 - Screening Tool Metrics'!$C$3:$G$17,5,FALSE)/100))*AJ143)</f>
        <v>1.7719253648814473</v>
      </c>
      <c r="AM143" s="753">
        <f>IF($C143="other",$C136*AJ143,(VLOOKUP($C143,'S3 - Screening Tool Metrics'!$C$3:$G$17,5,FALSE)/100)*AJ143)</f>
        <v>7.0877014595257908</v>
      </c>
      <c r="AN143" s="778">
        <f t="shared" si="118"/>
        <v>20.250575598645113</v>
      </c>
    </row>
    <row r="144" spans="2:40" x14ac:dyDescent="0.2">
      <c r="B144" s="768" t="s">
        <v>17</v>
      </c>
      <c r="C144" s="779" t="str">
        <f>$C137</f>
        <v>other</v>
      </c>
      <c r="D144" s="780" t="s">
        <v>199</v>
      </c>
      <c r="E144" s="781">
        <f>VLOOKUP($B144&amp;"_"&amp;$D144,'App5 - CRUK Inci Rates'!C:H,6,FALSE)</f>
        <v>1.4</v>
      </c>
      <c r="F144" s="782">
        <f>VLOOKUP($B144&amp;"_"&amp;$D144,'App5 - CRUK Inci Rates'!C:H,3,FALSE)</f>
        <v>0</v>
      </c>
      <c r="G144" s="783">
        <f>VLOOKUP($B144&amp;"_"&amp;$D144,'App5 - CRUK Inci Rates'!C:J,8,FALSE)</f>
        <v>1007365.3333333334</v>
      </c>
      <c r="H144" s="784">
        <f>VLOOKUP($B144&amp;"_"&amp;$D144,'App5 - CRUK Inci Rates'!C:J,7,FALSE)</f>
        <v>1007365.3333333334</v>
      </c>
      <c r="I144" s="784">
        <f>VLOOKUP($B144&amp;"_"&amp;$D144,'App5 - CRUK Inci Rates'!C:J,4,FALSE)</f>
        <v>0</v>
      </c>
      <c r="J144" s="778">
        <f>VLOOKUP($B144&amp;"_"&amp;$D144,'App5 - CRUK Inci Rates'!C:K,9,FALSE)</f>
        <v>14</v>
      </c>
      <c r="K144" s="753">
        <f t="shared" si="119"/>
        <v>503682.66666666669</v>
      </c>
      <c r="L144" s="753">
        <f>VLOOKUP("*"&amp;$B144&amp;"*",'S4 - Summ PRS Characteristics'!$C$21:$Q$28,11,FALSE)*$J144</f>
        <v>13.323964496140563</v>
      </c>
      <c r="M144" s="753">
        <f t="shared" si="120"/>
        <v>0.67603550385943656</v>
      </c>
      <c r="N144" s="753">
        <f>IF($C144="other",(1-$C$7)*L144,(1-(VLOOKUP($C144,'S3 - Screening Tool Metrics'!$C$3:$G$17,5,FALSE)/100))*L144)</f>
        <v>2.6647928992281122</v>
      </c>
      <c r="O144" s="753">
        <f>IF($C144="other",$C$7*L144,(VLOOKUP($C144,'S3 - Screening Tool Metrics'!$C$3:$G$17,5,FALSE)/100)*L144)</f>
        <v>10.659171596912451</v>
      </c>
      <c r="P144" s="753">
        <f t="shared" si="121"/>
        <v>76.136939977946071</v>
      </c>
      <c r="Q144" s="776">
        <f t="shared" si="111"/>
        <v>201473.06666666668</v>
      </c>
      <c r="R144" s="753">
        <f>VLOOKUP("*"&amp;$B144&amp;"*",'S4 - Summ PRS Characteristics'!$C$21:$Q$28,12,FALSE)*$J144</f>
        <v>11.114730758039052</v>
      </c>
      <c r="S144" s="753">
        <f t="shared" si="122"/>
        <v>2.8852692419609482</v>
      </c>
      <c r="T144" s="753">
        <f>IF($C144="other",(1-$C136)*R144,(1-(VLOOKUP($C144,'S3 - Screening Tool Metrics'!$C$3:$G$17,5,FALSE)/100))*R144)</f>
        <v>2.2229461516078097</v>
      </c>
      <c r="U144" s="753">
        <f>IF($C144="other",$C136*R144,(VLOOKUP($C144,'S3 - Screening Tool Metrics'!$C$3:$G$17,5,FALSE)/100)*R144)</f>
        <v>8.8917846064312425</v>
      </c>
      <c r="V144" s="777">
        <f t="shared" si="112"/>
        <v>63.512747188794592</v>
      </c>
      <c r="W144" s="753">
        <f t="shared" si="113"/>
        <v>100736.53333333334</v>
      </c>
      <c r="X144" s="753">
        <f>VLOOKUP("*"&amp;$B144&amp;"*",'S4 - Summ PRS Characteristics'!$C$21:$Q$28,13,FALSE)*$J144</f>
        <v>9.0730611697788373</v>
      </c>
      <c r="Y144" s="753">
        <f t="shared" si="123"/>
        <v>4.9269388302211627</v>
      </c>
      <c r="Z144" s="753">
        <f>IF($C144="other",(1-$C136)*X144,(1-(VLOOKUP($C144,'S3 - Screening Tool Metrics'!$C$3:$G$17,5,FALSE)/100))*X144)</f>
        <v>1.8146122339557671</v>
      </c>
      <c r="AA144" s="753">
        <f>IF($C144="other",$C136*X144,(VLOOKUP($C144,'S3 - Screening Tool Metrics'!$C$3:$G$17,5,FALSE)/100)*X144)</f>
        <v>7.2584489358230702</v>
      </c>
      <c r="AB144" s="777">
        <f t="shared" si="114"/>
        <v>51.846063827307646</v>
      </c>
      <c r="AC144" s="776">
        <f t="shared" si="115"/>
        <v>50368.26666666667</v>
      </c>
      <c r="AD144" s="753">
        <f>VLOOKUP("*"&amp;$B144&amp;"*",'S4 - Summ PRS Characteristics'!$C$21:$Q$28,14,FALSE)*$J144</f>
        <v>7.0939866921456387</v>
      </c>
      <c r="AE144" s="753">
        <f t="shared" si="125"/>
        <v>6.9060133078543613</v>
      </c>
      <c r="AF144" s="753">
        <f>IF($C144="other",(1-$C136)*AD144,(1-(VLOOKUP($C144,'S3 - Screening Tool Metrics'!$C$3:$G$17,5,FALSE)/100))*AD144)</f>
        <v>1.4187973384291275</v>
      </c>
      <c r="AG144" s="753">
        <f>IF($C144="other",$C136*AD144,(VLOOKUP($C144,'S3 - Screening Tool Metrics'!$C$3:$G$17,5,FALSE)/100)*AD144)</f>
        <v>5.6751893537165117</v>
      </c>
      <c r="AH144" s="777">
        <f t="shared" si="116"/>
        <v>40.537066812260797</v>
      </c>
      <c r="AI144" s="776">
        <f t="shared" si="117"/>
        <v>10073.653333333334</v>
      </c>
      <c r="AJ144" s="753">
        <f>VLOOKUP("*"&amp;$B144&amp;"*",'S4 - Summ PRS Characteristics'!$C$21:$Q$28,15,FALSE)*$J144</f>
        <v>3.5438507297628954</v>
      </c>
      <c r="AK144" s="753">
        <f t="shared" si="124"/>
        <v>10.456149270237105</v>
      </c>
      <c r="AL144" s="753">
        <f>IF($C144="other",(1-$C136)*AJ144,(1-(VLOOKUP($C144,'S3 - Screening Tool Metrics'!$C$3:$G$17,5,FALSE)/100))*AJ144)</f>
        <v>0.70877014595257892</v>
      </c>
      <c r="AM144" s="753">
        <f>IF($C144="other",$C136*AJ144,(VLOOKUP($C144,'S3 - Screening Tool Metrics'!$C$3:$G$17,5,FALSE)/100)*AJ144)</f>
        <v>2.8350805838103166</v>
      </c>
      <c r="AN144" s="778">
        <f t="shared" si="118"/>
        <v>20.250575598645117</v>
      </c>
    </row>
    <row r="145" spans="2:40" x14ac:dyDescent="0.2">
      <c r="B145" s="768" t="s">
        <v>17</v>
      </c>
      <c r="C145" s="779" t="str">
        <f>$C137</f>
        <v>other</v>
      </c>
      <c r="D145" s="780" t="s">
        <v>206</v>
      </c>
      <c r="E145" s="781">
        <f>VLOOKUP($B145&amp;"_"&amp;$D145,'App5 - CRUK Inci Rates'!C:H,6,FALSE)</f>
        <v>16.008675806590755</v>
      </c>
      <c r="F145" s="782">
        <f>VLOOKUP($B145&amp;"_"&amp;$D145,'App5 - CRUK Inci Rates'!C:H,3,FALSE)</f>
        <v>0</v>
      </c>
      <c r="G145" s="783">
        <f>VLOOKUP($B145&amp;"_"&amp;$D145,'App5 - CRUK Inci Rates'!C:J,8,FALSE)</f>
        <v>8782737.666666666</v>
      </c>
      <c r="H145" s="784">
        <f>VLOOKUP($B145&amp;"_"&amp;$D145,'App5 - CRUK Inci Rates'!C:J,7,FALSE)</f>
        <v>8782737.666666666</v>
      </c>
      <c r="I145" s="784">
        <f>VLOOKUP($B145&amp;"_"&amp;$D145,'App5 - CRUK Inci Rates'!C:J,4,FALSE)</f>
        <v>0</v>
      </c>
      <c r="J145" s="778">
        <f>VLOOKUP($B145&amp;"_"&amp;$D145,'App5 - CRUK Inci Rates'!C:K,9,FALSE)</f>
        <v>1406</v>
      </c>
      <c r="K145" s="753">
        <f t="shared" si="119"/>
        <v>4391368.833333333</v>
      </c>
      <c r="L145" s="753">
        <f>VLOOKUP("*"&amp;$B145&amp;"*",'S4 - Summ PRS Characteristics'!$C$21:$Q$28,11,FALSE)*$J145</f>
        <v>1338.1067201124022</v>
      </c>
      <c r="M145" s="753">
        <f t="shared" si="120"/>
        <v>67.893279887597828</v>
      </c>
      <c r="N145" s="753">
        <f>IF($C145="other",(1-$C$7)*L145,(1-(VLOOKUP($C145,'S3 - Screening Tool Metrics'!$C$3:$G$17,5,FALSE)/100))*L145)</f>
        <v>267.6213440224804</v>
      </c>
      <c r="O145" s="753">
        <f>IF($C145="other",$C$7*L145,(VLOOKUP($C145,'S3 - Screening Tool Metrics'!$C$3:$G$17,5,FALSE)/100)*L145)</f>
        <v>1070.4853760899218</v>
      </c>
      <c r="P145" s="753">
        <f t="shared" si="121"/>
        <v>76.136939977946071</v>
      </c>
      <c r="Q145" s="776">
        <f t="shared" si="111"/>
        <v>1756547.5333333332</v>
      </c>
      <c r="R145" s="753">
        <f>VLOOKUP("*"&amp;$B145&amp;"*",'S4 - Summ PRS Characteristics'!$C$21:$Q$28,12,FALSE)*$J145</f>
        <v>1116.2365318430648</v>
      </c>
      <c r="S145" s="753">
        <f t="shared" si="122"/>
        <v>289.76346815693523</v>
      </c>
      <c r="T145" s="753">
        <f>IF($C145="other",(1-$C136)*R145,(1-(VLOOKUP($C145,'S3 - Screening Tool Metrics'!$C$3:$G$17,5,FALSE)/100))*R145)</f>
        <v>223.2473063686129</v>
      </c>
      <c r="U145" s="753">
        <f>IF($C145="other",$C136*R145,(VLOOKUP($C145,'S3 - Screening Tool Metrics'!$C$3:$G$17,5,FALSE)/100)*R145)</f>
        <v>892.98922547445181</v>
      </c>
      <c r="V145" s="777">
        <f t="shared" si="112"/>
        <v>63.512747188794584</v>
      </c>
      <c r="W145" s="753">
        <f t="shared" si="113"/>
        <v>878273.7666666666</v>
      </c>
      <c r="X145" s="753">
        <f>VLOOKUP("*"&amp;$B145&amp;"*",'S4 - Summ PRS Characteristics'!$C$21:$Q$28,13,FALSE)*$J145</f>
        <v>911.19457176493177</v>
      </c>
      <c r="Y145" s="753">
        <f t="shared" si="123"/>
        <v>494.80542823506823</v>
      </c>
      <c r="Z145" s="753">
        <f>IF($C145="other",(1-$C136)*X145,(1-(VLOOKUP($C145,'S3 - Screening Tool Metrics'!$C$3:$G$17,5,FALSE)/100))*X145)</f>
        <v>182.23891435298631</v>
      </c>
      <c r="AA145" s="753">
        <f>IF($C145="other",$C136*X145,(VLOOKUP($C145,'S3 - Screening Tool Metrics'!$C$3:$G$17,5,FALSE)/100)*X145)</f>
        <v>728.95565741194548</v>
      </c>
      <c r="AB145" s="777">
        <f t="shared" si="114"/>
        <v>51.846063827307646</v>
      </c>
      <c r="AC145" s="776">
        <f t="shared" si="115"/>
        <v>439136.8833333333</v>
      </c>
      <c r="AD145" s="753">
        <f>VLOOKUP("*"&amp;$B145&amp;"*",'S4 - Summ PRS Characteristics'!$C$21:$Q$28,14,FALSE)*$J145</f>
        <v>712.43894922548338</v>
      </c>
      <c r="AE145" s="753">
        <f t="shared" si="125"/>
        <v>693.56105077451662</v>
      </c>
      <c r="AF145" s="753">
        <f>IF($C145="other",(1-$C136)*AD145,(1-(VLOOKUP($C145,'S3 - Screening Tool Metrics'!$C$3:$G$17,5,FALSE)/100))*AD145)</f>
        <v>142.48778984509664</v>
      </c>
      <c r="AG145" s="753">
        <f>IF($C145="other",$C136*AD145,(VLOOKUP($C145,'S3 - Screening Tool Metrics'!$C$3:$G$17,5,FALSE)/100)*AD145)</f>
        <v>569.95115938038668</v>
      </c>
      <c r="AH145" s="777">
        <f t="shared" si="116"/>
        <v>40.537066812260782</v>
      </c>
      <c r="AI145" s="776">
        <f t="shared" si="117"/>
        <v>87827.376666666663</v>
      </c>
      <c r="AJ145" s="753">
        <f>VLOOKUP("*"&amp;$B145&amp;"*",'S4 - Summ PRS Characteristics'!$C$21:$Q$28,15,FALSE)*$J145</f>
        <v>355.90386614618791</v>
      </c>
      <c r="AK145" s="753">
        <f t="shared" si="124"/>
        <v>1050.096133853812</v>
      </c>
      <c r="AL145" s="753">
        <f>IF($C145="other",(1-$C136)*AJ145,(1-(VLOOKUP($C145,'S3 - Screening Tool Metrics'!$C$3:$G$17,5,FALSE)/100))*AJ145)</f>
        <v>71.180773229237559</v>
      </c>
      <c r="AM145" s="753">
        <f>IF($C145="other",$C136*AJ145,(VLOOKUP($C145,'S3 - Screening Tool Metrics'!$C$3:$G$17,5,FALSE)/100)*AJ145)</f>
        <v>284.72309291695035</v>
      </c>
      <c r="AN145" s="778">
        <f t="shared" si="118"/>
        <v>20.250575598645117</v>
      </c>
    </row>
    <row r="146" spans="2:40" x14ac:dyDescent="0.2">
      <c r="B146" s="768" t="s">
        <v>17</v>
      </c>
      <c r="C146" s="779" t="str">
        <f>$C137</f>
        <v>other</v>
      </c>
      <c r="D146" s="780" t="s">
        <v>200</v>
      </c>
      <c r="E146" s="781">
        <f>VLOOKUP($B146&amp;"_"&amp;$D146,'App5 - CRUK Inci Rates'!C:H,6,FALSE)</f>
        <v>6.782309267126819</v>
      </c>
      <c r="F146" s="782">
        <f>VLOOKUP($B146&amp;"_"&amp;$D146,'App5 - CRUK Inci Rates'!C:H,3,FALSE)</f>
        <v>0</v>
      </c>
      <c r="G146" s="783">
        <f>VLOOKUP($B146&amp;"_"&amp;$D146,'App5 - CRUK Inci Rates'!C:J,8,FALSE)</f>
        <v>12090277.333333334</v>
      </c>
      <c r="H146" s="784">
        <f>VLOOKUP($B146&amp;"_"&amp;$D146,'App5 - CRUK Inci Rates'!C:J,7,FALSE)</f>
        <v>12090277.333333334</v>
      </c>
      <c r="I146" s="784">
        <f>VLOOKUP($B146&amp;"_"&amp;$D146,'App5 - CRUK Inci Rates'!C:J,4,FALSE)</f>
        <v>0</v>
      </c>
      <c r="J146" s="778">
        <f>VLOOKUP($B146&amp;"_"&amp;$D146,'App5 - CRUK Inci Rates'!C:K,9,FALSE)</f>
        <v>820</v>
      </c>
      <c r="K146" s="753">
        <f t="shared" si="119"/>
        <v>6045138.666666667</v>
      </c>
      <c r="L146" s="753">
        <f>VLOOKUP("*"&amp;$B146&amp;"*",'S4 - Summ PRS Characteristics'!$C$21:$Q$28,11,FALSE)*$J146</f>
        <v>780.40363477394726</v>
      </c>
      <c r="M146" s="753">
        <f t="shared" si="120"/>
        <v>39.59636522605274</v>
      </c>
      <c r="N146" s="753">
        <f>IF($C146="other",(1-$C$7)*L146,(1-(VLOOKUP($C146,'S3 - Screening Tool Metrics'!$C$3:$G$17,5,FALSE)/100))*L146)</f>
        <v>156.08072695478941</v>
      </c>
      <c r="O146" s="753">
        <f>IF($C146="other",$C$7*L146,(VLOOKUP($C146,'S3 - Screening Tool Metrics'!$C$3:$G$17,5,FALSE)/100)*L146)</f>
        <v>624.32290781915788</v>
      </c>
      <c r="P146" s="753">
        <f t="shared" si="121"/>
        <v>76.136939977946085</v>
      </c>
      <c r="Q146" s="776">
        <f t="shared" si="111"/>
        <v>2418055.4666666668</v>
      </c>
      <c r="R146" s="753">
        <f>VLOOKUP("*"&amp;$B146&amp;"*",'S4 - Summ PRS Characteristics'!$C$21:$Q$28,12,FALSE)*$J146</f>
        <v>651.00565868514445</v>
      </c>
      <c r="S146" s="753">
        <f t="shared" si="122"/>
        <v>168.99434131485555</v>
      </c>
      <c r="T146" s="753">
        <f>IF($C146="other",(1-$C136)*R146,(1-(VLOOKUP($C146,'S3 - Screening Tool Metrics'!$C$3:$G$17,5,FALSE)/100))*R146)</f>
        <v>130.20113173702887</v>
      </c>
      <c r="U146" s="753">
        <f>IF($C146="other",$C136*R146,(VLOOKUP($C146,'S3 - Screening Tool Metrics'!$C$3:$G$17,5,FALSE)/100)*R146)</f>
        <v>520.80452694811561</v>
      </c>
      <c r="V146" s="777">
        <f t="shared" si="112"/>
        <v>63.512747188794584</v>
      </c>
      <c r="W146" s="753">
        <f t="shared" si="113"/>
        <v>1209027.7333333334</v>
      </c>
      <c r="X146" s="753">
        <f>VLOOKUP("*"&amp;$B146&amp;"*",'S4 - Summ PRS Characteristics'!$C$21:$Q$28,13,FALSE)*$J146</f>
        <v>531.4221542299033</v>
      </c>
      <c r="Y146" s="753">
        <f t="shared" si="123"/>
        <v>288.5778457700967</v>
      </c>
      <c r="Z146" s="753">
        <f>IF($C146="other",(1-$C136)*X146,(1-(VLOOKUP($C146,'S3 - Screening Tool Metrics'!$C$3:$G$17,5,FALSE)/100))*X146)</f>
        <v>106.28443084598064</v>
      </c>
      <c r="AA146" s="753">
        <f>IF($C146="other",$C136*X146,(VLOOKUP($C146,'S3 - Screening Tool Metrics'!$C$3:$G$17,5,FALSE)/100)*X146)</f>
        <v>425.13772338392266</v>
      </c>
      <c r="AB146" s="777">
        <f t="shared" si="114"/>
        <v>51.846063827307646</v>
      </c>
      <c r="AC146" s="776">
        <f t="shared" si="115"/>
        <v>604513.8666666667</v>
      </c>
      <c r="AD146" s="753">
        <f>VLOOKUP("*"&amp;$B146&amp;"*",'S4 - Summ PRS Characteristics'!$C$21:$Q$28,14,FALSE)*$J146</f>
        <v>415.5049348256731</v>
      </c>
      <c r="AE146" s="753">
        <f t="shared" si="125"/>
        <v>404.4950651743269</v>
      </c>
      <c r="AF146" s="753">
        <f>IF($C146="other",(1-$C136)*AD146,(1-(VLOOKUP($C146,'S3 - Screening Tool Metrics'!$C$3:$G$17,5,FALSE)/100))*AD146)</f>
        <v>83.100986965134609</v>
      </c>
      <c r="AG146" s="753">
        <f>IF($C146="other",$C136*AD146,(VLOOKUP($C146,'S3 - Screening Tool Metrics'!$C$3:$G$17,5,FALSE)/100)*AD146)</f>
        <v>332.40394786053849</v>
      </c>
      <c r="AH146" s="777">
        <f t="shared" si="116"/>
        <v>40.53706681226079</v>
      </c>
      <c r="AI146" s="776">
        <f t="shared" si="117"/>
        <v>120902.77333333335</v>
      </c>
      <c r="AJ146" s="753">
        <f>VLOOKUP("*"&amp;$B146&amp;"*",'S4 - Summ PRS Characteristics'!$C$21:$Q$28,15,FALSE)*$J146</f>
        <v>207.56839988611245</v>
      </c>
      <c r="AK146" s="753">
        <f t="shared" si="124"/>
        <v>612.4316001138875</v>
      </c>
      <c r="AL146" s="753">
        <f>IF($C146="other",(1-$C136)*AJ146,(1-(VLOOKUP($C146,'S3 - Screening Tool Metrics'!$C$3:$G$17,5,FALSE)/100))*AJ146)</f>
        <v>41.51367997722248</v>
      </c>
      <c r="AM146" s="753">
        <f>IF($C146="other",$C136*AJ146,(VLOOKUP($C146,'S3 - Screening Tool Metrics'!$C$3:$G$17,5,FALSE)/100)*AJ146)</f>
        <v>166.05471990888998</v>
      </c>
      <c r="AN146" s="778">
        <f t="shared" si="118"/>
        <v>20.250575598645117</v>
      </c>
    </row>
    <row r="147" spans="2:40" x14ac:dyDescent="0.2">
      <c r="B147" s="768" t="s">
        <v>17</v>
      </c>
      <c r="C147" s="779" t="str">
        <f>$C137</f>
        <v>other</v>
      </c>
      <c r="D147" s="780" t="s">
        <v>201</v>
      </c>
      <c r="E147" s="781">
        <f>VLOOKUP($B147&amp;"_"&amp;$D147,'App5 - CRUK Inci Rates'!C:H,6,FALSE)</f>
        <v>10.741704977707645</v>
      </c>
      <c r="F147" s="782">
        <f>VLOOKUP($B147&amp;"_"&amp;$D147,'App5 - CRUK Inci Rates'!C:H,3,FALSE)</f>
        <v>0</v>
      </c>
      <c r="G147" s="783">
        <f>VLOOKUP($B147&amp;"_"&amp;$D147,'App5 - CRUK Inci Rates'!C:J,8,FALSE)</f>
        <v>4273064.666666667</v>
      </c>
      <c r="H147" s="784">
        <f>VLOOKUP($B147&amp;"_"&amp;$D147,'App5 - CRUK Inci Rates'!C:J,7,FALSE)</f>
        <v>4273064.666666667</v>
      </c>
      <c r="I147" s="784">
        <f>VLOOKUP($B147&amp;"_"&amp;$D147,'App5 - CRUK Inci Rates'!C:J,4,FALSE)</f>
        <v>0</v>
      </c>
      <c r="J147" s="778">
        <f>VLOOKUP($B147&amp;"_"&amp;$D147,'App5 - CRUK Inci Rates'!C:K,9,FALSE)</f>
        <v>459</v>
      </c>
      <c r="K147" s="753">
        <f t="shared" si="119"/>
        <v>2136532.3333333335</v>
      </c>
      <c r="L147" s="753">
        <f>VLOOKUP("*"&amp;$B147&amp;"*",'S4 - Summ PRS Characteristics'!$C$21:$Q$28,11,FALSE)*$J147</f>
        <v>436.8356931234656</v>
      </c>
      <c r="M147" s="753">
        <f t="shared" si="120"/>
        <v>22.164306876534397</v>
      </c>
      <c r="N147" s="753">
        <f>IF($C147="other",(1-$C$7)*L147,(1-(VLOOKUP($C147,'S3 - Screening Tool Metrics'!$C$3:$G$17,5,FALSE)/100))*L147)</f>
        <v>87.367138624693098</v>
      </c>
      <c r="O147" s="753">
        <f>IF($C147="other",$C$7*L147,(VLOOKUP($C147,'S3 - Screening Tool Metrics'!$C$3:$G$17,5,FALSE)/100)*L147)</f>
        <v>349.46855449877251</v>
      </c>
      <c r="P147" s="753">
        <f t="shared" si="121"/>
        <v>76.136939977946085</v>
      </c>
      <c r="Q147" s="776">
        <f t="shared" si="111"/>
        <v>854612.93333333347</v>
      </c>
      <c r="R147" s="753">
        <f>VLOOKUP("*"&amp;$B147&amp;"*",'S4 - Summ PRS Characteristics'!$C$21:$Q$28,12,FALSE)*$J147</f>
        <v>364.40438699570893</v>
      </c>
      <c r="S147" s="753">
        <f t="shared" si="122"/>
        <v>94.595613004291067</v>
      </c>
      <c r="T147" s="753">
        <f>IF($C147="other",(1-$C136)*R147,(1-(VLOOKUP($C147,'S3 - Screening Tool Metrics'!$C$3:$G$17,5,FALSE)/100))*R147)</f>
        <v>72.880877399141767</v>
      </c>
      <c r="U147" s="753">
        <f>IF($C147="other",$C136*R147,(VLOOKUP($C147,'S3 - Screening Tool Metrics'!$C$3:$G$17,5,FALSE)/100)*R147)</f>
        <v>291.52350959656718</v>
      </c>
      <c r="V147" s="777">
        <f t="shared" si="112"/>
        <v>63.512747188794592</v>
      </c>
      <c r="W147" s="753">
        <f t="shared" si="113"/>
        <v>427306.46666666673</v>
      </c>
      <c r="X147" s="753">
        <f>VLOOKUP("*"&amp;$B147&amp;"*",'S4 - Summ PRS Characteristics'!$C$21:$Q$28,13,FALSE)*$J147</f>
        <v>297.46679120917759</v>
      </c>
      <c r="Y147" s="753">
        <f t="shared" si="123"/>
        <v>161.53320879082241</v>
      </c>
      <c r="Z147" s="753">
        <f>IF($C147="other",(1-$C136)*X147,(1-(VLOOKUP($C147,'S3 - Screening Tool Metrics'!$C$3:$G$17,5,FALSE)/100))*X147)</f>
        <v>59.493358241835502</v>
      </c>
      <c r="AA147" s="753">
        <f>IF($C147="other",$C136*X147,(VLOOKUP($C147,'S3 - Screening Tool Metrics'!$C$3:$G$17,5,FALSE)/100)*X147)</f>
        <v>237.97343296734209</v>
      </c>
      <c r="AB147" s="777">
        <f t="shared" si="114"/>
        <v>51.846063827307646</v>
      </c>
      <c r="AC147" s="776">
        <f t="shared" si="115"/>
        <v>213653.23333333337</v>
      </c>
      <c r="AD147" s="753">
        <f>VLOOKUP("*"&amp;$B147&amp;"*",'S4 - Summ PRS Characteristics'!$C$21:$Q$28,14,FALSE)*$J147</f>
        <v>232.58142083534628</v>
      </c>
      <c r="AE147" s="753">
        <f t="shared" si="125"/>
        <v>226.41857916465372</v>
      </c>
      <c r="AF147" s="753">
        <f>IF($C147="other",(1-$C136)*AD147,(1-(VLOOKUP($C147,'S3 - Screening Tool Metrics'!$C$3:$G$17,5,FALSE)/100))*AD147)</f>
        <v>46.516284167069244</v>
      </c>
      <c r="AG147" s="753">
        <f>IF($C147="other",$C136*AD147,(VLOOKUP($C147,'S3 - Screening Tool Metrics'!$C$3:$G$17,5,FALSE)/100)*AD147)</f>
        <v>186.06513666827703</v>
      </c>
      <c r="AH147" s="777">
        <f t="shared" si="116"/>
        <v>40.53706681226079</v>
      </c>
      <c r="AI147" s="776">
        <f t="shared" si="117"/>
        <v>42730.646666666667</v>
      </c>
      <c r="AJ147" s="753">
        <f>VLOOKUP("*"&amp;$B147&amp;"*",'S4 - Summ PRS Characteristics'!$C$21:$Q$28,15,FALSE)*$J147</f>
        <v>116.18767749722635</v>
      </c>
      <c r="AK147" s="753">
        <f t="shared" si="124"/>
        <v>342.81232250277367</v>
      </c>
      <c r="AL147" s="753">
        <f>IF($C147="other",(1-$C136)*AJ147,(1-(VLOOKUP($C147,'S3 - Screening Tool Metrics'!$C$3:$G$17,5,FALSE)/100))*AJ147)</f>
        <v>23.237535499445265</v>
      </c>
      <c r="AM147" s="753">
        <f>IF($C147="other",$C136*AJ147,(VLOOKUP($C147,'S3 - Screening Tool Metrics'!$C$3:$G$17,5,FALSE)/100)*AJ147)</f>
        <v>92.950141997781088</v>
      </c>
      <c r="AN147" s="778">
        <f t="shared" si="118"/>
        <v>20.250575598645117</v>
      </c>
    </row>
    <row r="148" spans="2:40" x14ac:dyDescent="0.2">
      <c r="B148" s="768" t="s">
        <v>17</v>
      </c>
      <c r="C148" s="779" t="str">
        <f>$C137</f>
        <v>other</v>
      </c>
      <c r="D148" s="780" t="s">
        <v>202</v>
      </c>
      <c r="E148" s="781">
        <f>VLOOKUP($B148&amp;"_"&amp;$D148,'App5 - CRUK Inci Rates'!C:H,6,FALSE)</f>
        <v>6.1532932287600035</v>
      </c>
      <c r="F148" s="782">
        <f>VLOOKUP($B148&amp;"_"&amp;$D148,'App5 - CRUK Inci Rates'!C:H,3,FALSE)</f>
        <v>0</v>
      </c>
      <c r="G148" s="783">
        <f>VLOOKUP($B148&amp;"_"&amp;$D148,'App5 - CRUK Inci Rates'!C:J,8,FALSE)</f>
        <v>4355391.333333333</v>
      </c>
      <c r="H148" s="784">
        <f>VLOOKUP($B148&amp;"_"&amp;$D148,'App5 - CRUK Inci Rates'!C:J,7,FALSE)</f>
        <v>4355391.333333333</v>
      </c>
      <c r="I148" s="784">
        <f>VLOOKUP($B148&amp;"_"&amp;$D148,'App5 - CRUK Inci Rates'!C:J,4,FALSE)</f>
        <v>0</v>
      </c>
      <c r="J148" s="778">
        <f>VLOOKUP($B148&amp;"_"&amp;$D148,'App5 - CRUK Inci Rates'!C:K,9,FALSE)</f>
        <v>268</v>
      </c>
      <c r="K148" s="753">
        <f t="shared" si="119"/>
        <v>2177695.6666666665</v>
      </c>
      <c r="L148" s="753">
        <f>VLOOKUP("*"&amp;$B148&amp;"*",'S4 - Summ PRS Characteristics'!$C$21:$Q$28,11,FALSE)*$J148</f>
        <v>255.05874892611934</v>
      </c>
      <c r="M148" s="753">
        <f t="shared" si="120"/>
        <v>12.941251073880665</v>
      </c>
      <c r="N148" s="753">
        <f>IF($C148="other",(1-$C$7)*L148,(1-(VLOOKUP($C148,'S3 - Screening Tool Metrics'!$C$3:$G$17,5,FALSE)/100))*L148)</f>
        <v>51.011749785223856</v>
      </c>
      <c r="O148" s="753">
        <f>IF($C148="other",$C$7*L148,(VLOOKUP($C148,'S3 - Screening Tool Metrics'!$C$3:$G$17,5,FALSE)/100)*L148)</f>
        <v>204.04699914089548</v>
      </c>
      <c r="P148" s="753">
        <f t="shared" si="121"/>
        <v>76.136939977946071</v>
      </c>
      <c r="Q148" s="776">
        <f t="shared" si="111"/>
        <v>871078.2666666666</v>
      </c>
      <c r="R148" s="753">
        <f>VLOOKUP("*"&amp;$B148&amp;"*",'S4 - Summ PRS Characteristics'!$C$21:$Q$28,12,FALSE)*$J148</f>
        <v>212.76770308246185</v>
      </c>
      <c r="S148" s="753">
        <f t="shared" si="122"/>
        <v>55.23229691753815</v>
      </c>
      <c r="T148" s="753">
        <f>IF($C148="other",(1-$C136)*R148,(1-(VLOOKUP($C148,'S3 - Screening Tool Metrics'!$C$3:$G$17,5,FALSE)/100))*R148)</f>
        <v>42.553540616492363</v>
      </c>
      <c r="U148" s="753">
        <f>IF($C148="other",$C136*R148,(VLOOKUP($C148,'S3 - Screening Tool Metrics'!$C$3:$G$17,5,FALSE)/100)*R148)</f>
        <v>170.21416246596948</v>
      </c>
      <c r="V148" s="777">
        <f t="shared" si="112"/>
        <v>63.512747188794584</v>
      </c>
      <c r="W148" s="753">
        <f t="shared" si="113"/>
        <v>435539.1333333333</v>
      </c>
      <c r="X148" s="753">
        <f>VLOOKUP("*"&amp;$B148&amp;"*",'S4 - Summ PRS Characteristics'!$C$21:$Q$28,13,FALSE)*$J148</f>
        <v>173.6843138214806</v>
      </c>
      <c r="Y148" s="753">
        <f t="shared" si="123"/>
        <v>94.3156861785194</v>
      </c>
      <c r="Z148" s="753">
        <f>IF($C148="other",(1-$C136)*X148,(1-(VLOOKUP($C148,'S3 - Screening Tool Metrics'!$C$3:$G$17,5,FALSE)/100))*X148)</f>
        <v>34.736862764296113</v>
      </c>
      <c r="AA148" s="753">
        <f>IF($C148="other",$C136*X148,(VLOOKUP($C148,'S3 - Screening Tool Metrics'!$C$3:$G$17,5,FALSE)/100)*X148)</f>
        <v>138.94745105718448</v>
      </c>
      <c r="AB148" s="777">
        <f t="shared" si="114"/>
        <v>51.846063827307646</v>
      </c>
      <c r="AC148" s="776">
        <f t="shared" si="115"/>
        <v>217769.56666666665</v>
      </c>
      <c r="AD148" s="753">
        <f>VLOOKUP("*"&amp;$B148&amp;"*",'S4 - Summ PRS Characteristics'!$C$21:$Q$28,14,FALSE)*$J148</f>
        <v>135.79917382107365</v>
      </c>
      <c r="AE148" s="753">
        <f t="shared" si="125"/>
        <v>132.20082617892635</v>
      </c>
      <c r="AF148" s="753">
        <f>IF($C148="other",(1-$C136)*AD148,(1-(VLOOKUP($C148,'S3 - Screening Tool Metrics'!$C$3:$G$17,5,FALSE)/100))*AD148)</f>
        <v>27.159834764214725</v>
      </c>
      <c r="AG148" s="753">
        <f>IF($C148="other",$C136*AD148,(VLOOKUP($C148,'S3 - Screening Tool Metrics'!$C$3:$G$17,5,FALSE)/100)*AD148)</f>
        <v>108.63933905685893</v>
      </c>
      <c r="AH148" s="777">
        <f t="shared" si="116"/>
        <v>40.537066812260797</v>
      </c>
      <c r="AI148" s="776">
        <f t="shared" si="117"/>
        <v>43553.91333333333</v>
      </c>
      <c r="AJ148" s="753">
        <f>VLOOKUP("*"&amp;$B148&amp;"*",'S4 - Summ PRS Characteristics'!$C$21:$Q$28,15,FALSE)*$J148</f>
        <v>67.839428255461129</v>
      </c>
      <c r="AK148" s="753">
        <f t="shared" si="124"/>
        <v>200.16057174453886</v>
      </c>
      <c r="AL148" s="753">
        <f>IF($C148="other",(1-$C136)*AJ148,(1-(VLOOKUP($C148,'S3 - Screening Tool Metrics'!$C$3:$G$17,5,FALSE)/100))*AJ148)</f>
        <v>13.567885651092222</v>
      </c>
      <c r="AM148" s="753">
        <f>IF($C148="other",$C136*AJ148,(VLOOKUP($C148,'S3 - Screening Tool Metrics'!$C$3:$G$17,5,FALSE)/100)*AJ148)</f>
        <v>54.271542604368904</v>
      </c>
      <c r="AN148" s="778">
        <f t="shared" si="118"/>
        <v>20.250575598645113</v>
      </c>
    </row>
    <row r="149" spans="2:40" x14ac:dyDescent="0.2">
      <c r="B149" s="768" t="s">
        <v>17</v>
      </c>
      <c r="C149" s="779" t="str">
        <f>$C138</f>
        <v>other</v>
      </c>
      <c r="D149" s="780" t="s">
        <v>203</v>
      </c>
      <c r="E149" s="781">
        <f>VLOOKUP($B149&amp;"_"&amp;$D149,'App5 - CRUK Inci Rates'!C:H,6,FALSE)</f>
        <v>4.6180143152474038</v>
      </c>
      <c r="F149" s="782">
        <f>VLOOKUP($B149&amp;"_"&amp;$D149,'App5 - CRUK Inci Rates'!C:H,3,FALSE)</f>
        <v>0</v>
      </c>
      <c r="G149" s="783">
        <f>VLOOKUP($B149&amp;"_"&amp;$D149,'App5 - CRUK Inci Rates'!C:J,8,FALSE)</f>
        <v>7817212.666666666</v>
      </c>
      <c r="H149" s="784">
        <f>VLOOKUP($B149&amp;"_"&amp;$D149,'App5 - CRUK Inci Rates'!C:J,7,FALSE)</f>
        <v>7817212.666666666</v>
      </c>
      <c r="I149" s="784">
        <f>VLOOKUP($B149&amp;"_"&amp;$D149,'App5 - CRUK Inci Rates'!C:J,4,FALSE)</f>
        <v>0</v>
      </c>
      <c r="J149" s="778">
        <f>VLOOKUP($B149&amp;"_"&amp;$D149,'App5 - CRUK Inci Rates'!C:K,9,FALSE)</f>
        <v>361</v>
      </c>
      <c r="K149" s="753">
        <f t="shared" si="119"/>
        <v>3908606.333333333</v>
      </c>
      <c r="L149" s="753">
        <f>VLOOKUP("*"&amp;$B149&amp;"*",'S4 - Summ PRS Characteristics'!$C$21:$Q$28,11,FALSE)*$J149</f>
        <v>343.56794165048166</v>
      </c>
      <c r="M149" s="753">
        <f t="shared" si="120"/>
        <v>17.432058349518343</v>
      </c>
      <c r="N149" s="753">
        <f>IF($C149="other",(1-$C$7)*L149,(1-(VLOOKUP($C149,'S3 - Screening Tool Metrics'!$C$3:$G$17,5,FALSE)/100))*L149)</f>
        <v>68.713588330096314</v>
      </c>
      <c r="O149" s="753">
        <f>IF($C149="other",$C$7*L149,(VLOOKUP($C149,'S3 - Screening Tool Metrics'!$C$3:$G$17,5,FALSE)/100)*L149)</f>
        <v>274.85435332038531</v>
      </c>
      <c r="P149" s="753">
        <f t="shared" si="121"/>
        <v>76.136939977946071</v>
      </c>
      <c r="Q149" s="776">
        <f t="shared" si="111"/>
        <v>1563442.5333333332</v>
      </c>
      <c r="R149" s="753">
        <f>VLOOKUP("*"&amp;$B149&amp;"*",'S4 - Summ PRS Characteristics'!$C$21:$Q$28,12,FALSE)*$J149</f>
        <v>286.60127168943558</v>
      </c>
      <c r="S149" s="753">
        <f t="shared" si="122"/>
        <v>74.398728310564422</v>
      </c>
      <c r="T149" s="753">
        <f>IF($C149="other",(1-$C136)*R149,(1-(VLOOKUP($C149,'S3 - Screening Tool Metrics'!$C$3:$G$17,5,FALSE)/100))*R149)</f>
        <v>57.3202543378871</v>
      </c>
      <c r="U149" s="753">
        <f>IF($C149="other",$C136*R149,(VLOOKUP($C149,'S3 - Screening Tool Metrics'!$C$3:$G$17,5,FALSE)/100)*R149)</f>
        <v>229.28101735154848</v>
      </c>
      <c r="V149" s="777">
        <f t="shared" si="112"/>
        <v>63.512747188794592</v>
      </c>
      <c r="W149" s="753">
        <f t="shared" si="113"/>
        <v>781721.2666666666</v>
      </c>
      <c r="X149" s="753">
        <f>VLOOKUP("*"&amp;$B149&amp;"*",'S4 - Summ PRS Characteristics'!$C$21:$Q$28,13,FALSE)*$J149</f>
        <v>233.95536302072571</v>
      </c>
      <c r="Y149" s="753">
        <f t="shared" si="123"/>
        <v>127.04463697927429</v>
      </c>
      <c r="Z149" s="753">
        <f>IF($C149="other",(1-$C136)*X149,(1-(VLOOKUP($C149,'S3 - Screening Tool Metrics'!$C$3:$G$17,5,FALSE)/100))*X149)</f>
        <v>46.791072604145135</v>
      </c>
      <c r="AA149" s="753">
        <f>IF($C149="other",$C136*X149,(VLOOKUP($C149,'S3 - Screening Tool Metrics'!$C$3:$G$17,5,FALSE)/100)*X149)</f>
        <v>187.16429041658057</v>
      </c>
      <c r="AB149" s="777">
        <f t="shared" si="114"/>
        <v>51.846063827307646</v>
      </c>
      <c r="AC149" s="776">
        <f t="shared" si="115"/>
        <v>390860.6333333333</v>
      </c>
      <c r="AD149" s="753">
        <f>VLOOKUP("*"&amp;$B149&amp;"*",'S4 - Summ PRS Characteristics'!$C$21:$Q$28,14,FALSE)*$J149</f>
        <v>182.92351399032682</v>
      </c>
      <c r="AE149" s="753">
        <f t="shared" si="125"/>
        <v>178.07648600967318</v>
      </c>
      <c r="AF149" s="753">
        <f>IF($C149="other",(1-$C136)*AD149,(1-(VLOOKUP($C149,'S3 - Screening Tool Metrics'!$C$3:$G$17,5,FALSE)/100))*AD149)</f>
        <v>36.584702798065358</v>
      </c>
      <c r="AG149" s="753">
        <f>IF($C149="other",$C136*AD149,(VLOOKUP($C149,'S3 - Screening Tool Metrics'!$C$3:$G$17,5,FALSE)/100)*AD149)</f>
        <v>146.33881119226146</v>
      </c>
      <c r="AH149" s="777">
        <f t="shared" si="116"/>
        <v>40.53706681226079</v>
      </c>
      <c r="AI149" s="776">
        <f t="shared" si="117"/>
        <v>78172.126666666663</v>
      </c>
      <c r="AJ149" s="753">
        <f>VLOOKUP("*"&amp;$B149&amp;"*",'S4 - Summ PRS Characteristics'!$C$21:$Q$28,15,FALSE)*$J149</f>
        <v>91.380722388886085</v>
      </c>
      <c r="AK149" s="753">
        <f t="shared" si="124"/>
        <v>269.61927761111394</v>
      </c>
      <c r="AL149" s="753">
        <f>IF($C149="other",(1-$C136)*AJ149,(1-(VLOOKUP($C149,'S3 - Screening Tool Metrics'!$C$3:$G$17,5,FALSE)/100))*AJ149)</f>
        <v>18.276144477777212</v>
      </c>
      <c r="AM149" s="753">
        <f>IF($C149="other",$C136*AJ149,(VLOOKUP($C149,'S3 - Screening Tool Metrics'!$C$3:$G$17,5,FALSE)/100)*AJ149)</f>
        <v>73.104577911108876</v>
      </c>
      <c r="AN149" s="778">
        <f t="shared" si="118"/>
        <v>20.250575598645117</v>
      </c>
    </row>
    <row r="150" spans="2:40" x14ac:dyDescent="0.2">
      <c r="B150" s="768" t="s">
        <v>17</v>
      </c>
      <c r="C150" s="779" t="str">
        <f>$C139</f>
        <v>other</v>
      </c>
      <c r="D150" s="780" t="s">
        <v>292</v>
      </c>
      <c r="E150" s="781">
        <f>VLOOKUP($B150&amp;"_"&amp;$D150,'App5 - CRUK Inci Rates'!C:H,6,FALSE)</f>
        <v>2.5964614152648537</v>
      </c>
      <c r="F150" s="782">
        <f>VLOOKUP($B150&amp;"_"&amp;$D150,'App5 - CRUK Inci Rates'!C:H,3,FALSE)</f>
        <v>0</v>
      </c>
      <c r="G150" s="783">
        <f>VLOOKUP($B150&amp;"_"&amp;$D150,'App5 - CRUK Inci Rates'!C:J,8,FALSE)</f>
        <v>4929786.333333333</v>
      </c>
      <c r="H150" s="784">
        <f>VLOOKUP($B150&amp;"_"&amp;$D150,'App5 - CRUK Inci Rates'!C:J,7,FALSE)</f>
        <v>4929786.333333333</v>
      </c>
      <c r="I150" s="784">
        <f>VLOOKUP($B150&amp;"_"&amp;$D150,'App5 - CRUK Inci Rates'!C:J,4,FALSE)</f>
        <v>0</v>
      </c>
      <c r="J150" s="778">
        <f>VLOOKUP($B150&amp;"_"&amp;$D150,'App5 - CRUK Inci Rates'!C:K,9,FALSE)</f>
        <v>128</v>
      </c>
      <c r="K150" s="753">
        <f t="shared" si="119"/>
        <v>2464893.1666666665</v>
      </c>
      <c r="L150" s="753">
        <f>VLOOKUP("*"&amp;$B150&amp;"*",'S4 - Summ PRS Characteristics'!$C$21:$Q$28,11,FALSE)*$J150</f>
        <v>121.81910396471372</v>
      </c>
      <c r="M150" s="753">
        <f t="shared" si="120"/>
        <v>6.1808960352862812</v>
      </c>
      <c r="N150" s="753">
        <f>IF($C150="other",(1-$C$7)*L150,(1-(VLOOKUP($C150,'S3 - Screening Tool Metrics'!$C$3:$G$17,5,FALSE)/100))*L150)</f>
        <v>24.36382079294274</v>
      </c>
      <c r="O150" s="753">
        <f>IF($C150="other",$C$7*L150,(VLOOKUP($C150,'S3 - Screening Tool Metrics'!$C$3:$G$17,5,FALSE)/100)*L150)</f>
        <v>97.455283171770986</v>
      </c>
      <c r="P150" s="753">
        <f t="shared" si="121"/>
        <v>76.136939977946085</v>
      </c>
      <c r="Q150" s="776">
        <f t="shared" si="111"/>
        <v>985957.2666666666</v>
      </c>
      <c r="R150" s="753">
        <f>VLOOKUP("*"&amp;$B150&amp;"*",'S4 - Summ PRS Characteristics'!$C$21:$Q$28,12,FALSE)*$J150</f>
        <v>101.62039550207133</v>
      </c>
      <c r="S150" s="753">
        <f t="shared" si="122"/>
        <v>26.379604497928668</v>
      </c>
      <c r="T150" s="753">
        <f>IF($C150="other",(1-$C136)*R150,(1-(VLOOKUP($C150,'S3 - Screening Tool Metrics'!$C$3:$G$17,5,FALSE)/100))*R150)</f>
        <v>20.324079100414263</v>
      </c>
      <c r="U150" s="753">
        <f>IF($C150="other",$C136*R150,(VLOOKUP($C150,'S3 - Screening Tool Metrics'!$C$3:$G$17,5,FALSE)/100)*R150)</f>
        <v>81.296316401657066</v>
      </c>
      <c r="V150" s="777">
        <f t="shared" si="112"/>
        <v>63.512747188794584</v>
      </c>
      <c r="W150" s="753">
        <f t="shared" si="113"/>
        <v>492978.6333333333</v>
      </c>
      <c r="X150" s="753">
        <f>VLOOKUP("*"&amp;$B150&amp;"*",'S4 - Summ PRS Characteristics'!$C$21:$Q$28,13,FALSE)*$J150</f>
        <v>82.953702123692224</v>
      </c>
      <c r="Y150" s="753">
        <f t="shared" si="123"/>
        <v>45.046297876307776</v>
      </c>
      <c r="Z150" s="753">
        <f>IF($C150="other",(1-$C136)*X150,(1-(VLOOKUP($C150,'S3 - Screening Tool Metrics'!$C$3:$G$17,5,FALSE)/100))*X150)</f>
        <v>16.590740424738442</v>
      </c>
      <c r="AA150" s="753">
        <f>IF($C150="other",$C136*X150,(VLOOKUP($C150,'S3 - Screening Tool Metrics'!$C$3:$G$17,5,FALSE)/100)*X150)</f>
        <v>66.362961698953782</v>
      </c>
      <c r="AB150" s="777">
        <f t="shared" si="114"/>
        <v>51.846063827307646</v>
      </c>
      <c r="AC150" s="776">
        <f t="shared" si="115"/>
        <v>246489.31666666665</v>
      </c>
      <c r="AD150" s="753">
        <f>VLOOKUP("*"&amp;$B150&amp;"*",'S4 - Summ PRS Characteristics'!$C$21:$Q$28,14,FALSE)*$J150</f>
        <v>64.859306899617266</v>
      </c>
      <c r="AE150" s="753">
        <f t="shared" si="125"/>
        <v>63.140693100382734</v>
      </c>
      <c r="AF150" s="753">
        <f>IF($C150="other",(1-$C136)*AD150,(1-(VLOOKUP($C150,'S3 - Screening Tool Metrics'!$C$3:$G$17,5,FALSE)/100))*AD150)</f>
        <v>12.97186137992345</v>
      </c>
      <c r="AG150" s="753">
        <f>IF($C150="other",$C136*AD150,(VLOOKUP($C150,'S3 - Screening Tool Metrics'!$C$3:$G$17,5,FALSE)/100)*AD150)</f>
        <v>51.887445519693813</v>
      </c>
      <c r="AH150" s="777">
        <f t="shared" si="116"/>
        <v>40.53706681226079</v>
      </c>
      <c r="AI150" s="776">
        <f t="shared" si="117"/>
        <v>49297.863333333335</v>
      </c>
      <c r="AJ150" s="753">
        <f>VLOOKUP("*"&amp;$B150&amp;"*",'S4 - Summ PRS Characteristics'!$C$21:$Q$28,15,FALSE)*$J150</f>
        <v>32.400920957832184</v>
      </c>
      <c r="AK150" s="753">
        <f t="shared" si="124"/>
        <v>95.599079042167816</v>
      </c>
      <c r="AL150" s="753">
        <f>IF($C150="other",(1-$C136)*AJ150,(1-(VLOOKUP($C150,'S3 - Screening Tool Metrics'!$C$3:$G$17,5,FALSE)/100))*AJ150)</f>
        <v>6.4801841915664351</v>
      </c>
      <c r="AM150" s="753">
        <f>IF($C150="other",$C136*AJ150,(VLOOKUP($C150,'S3 - Screening Tool Metrics'!$C$3:$G$17,5,FALSE)/100)*AJ150)</f>
        <v>25.920736766265748</v>
      </c>
      <c r="AN150" s="778">
        <f t="shared" si="118"/>
        <v>20.250575598645113</v>
      </c>
    </row>
    <row r="151" spans="2:40" x14ac:dyDescent="0.2">
      <c r="B151" s="768" t="s">
        <v>17</v>
      </c>
      <c r="C151" s="779" t="str">
        <f>$C137</f>
        <v>other</v>
      </c>
      <c r="D151" s="780" t="s">
        <v>204</v>
      </c>
      <c r="E151" s="781">
        <f>VLOOKUP($B151&amp;"_"&amp;$D151,'App5 - CRUK Inci Rates'!C:H,6,FALSE)</f>
        <v>5.966108794682853</v>
      </c>
      <c r="F151" s="782">
        <f>VLOOKUP($B151&amp;"_"&amp;$D151,'App5 - CRUK Inci Rates'!C:H,3,FALSE)</f>
        <v>0</v>
      </c>
      <c r="G151" s="783">
        <f>VLOOKUP($B151&amp;"_"&amp;$D151,'App5 - CRUK Inci Rates'!C:J,8,FALSE)</f>
        <v>14565607.666666668</v>
      </c>
      <c r="H151" s="784">
        <f>VLOOKUP($B151&amp;"_"&amp;$D151,'App5 - CRUK Inci Rates'!C:J,7,FALSE)</f>
        <v>14565607.666666668</v>
      </c>
      <c r="I151" s="784">
        <f>VLOOKUP($B151&amp;"_"&amp;$D151,'App5 - CRUK Inci Rates'!C:J,4,FALSE)</f>
        <v>0</v>
      </c>
      <c r="J151" s="778">
        <f>VLOOKUP($B151&amp;"_"&amp;$D151,'App5 - CRUK Inci Rates'!C:K,9,FALSE)</f>
        <v>869</v>
      </c>
      <c r="K151" s="753">
        <f t="shared" si="119"/>
        <v>7282803.833333334</v>
      </c>
      <c r="L151" s="753">
        <f>VLOOKUP("*"&amp;$B151&amp;"*",'S4 - Summ PRS Characteristics'!$C$21:$Q$28,11,FALSE)*$J151</f>
        <v>827.03751051043923</v>
      </c>
      <c r="M151" s="753">
        <f t="shared" si="120"/>
        <v>41.962489489560767</v>
      </c>
      <c r="N151" s="753">
        <f>IF($C151="other",(1-$C$7)*L151,(1-(VLOOKUP($C151,'S3 - Screening Tool Metrics'!$C$3:$G$17,5,FALSE)/100))*L151)</f>
        <v>165.40750210208782</v>
      </c>
      <c r="O151" s="753">
        <f>IF($C151="other",$C$7*L151,(VLOOKUP($C151,'S3 - Screening Tool Metrics'!$C$3:$G$17,5,FALSE)/100)*L151)</f>
        <v>661.63000840835139</v>
      </c>
      <c r="P151" s="753">
        <f t="shared" si="121"/>
        <v>76.136939977946071</v>
      </c>
      <c r="Q151" s="776">
        <f t="shared" si="111"/>
        <v>2913121.5333333337</v>
      </c>
      <c r="R151" s="753">
        <f>VLOOKUP("*"&amp;$B151&amp;"*",'S4 - Summ PRS Characteristics'!$C$21:$Q$28,12,FALSE)*$J151</f>
        <v>689.90721633828116</v>
      </c>
      <c r="S151" s="753">
        <f t="shared" si="122"/>
        <v>179.09278366171884</v>
      </c>
      <c r="T151" s="753">
        <f>IF($C151="other",(1-$C136)*R151,(1-(VLOOKUP($C151,'S3 - Screening Tool Metrics'!$C$3:$G$17,5,FALSE)/100))*R151)</f>
        <v>137.9814432676562</v>
      </c>
      <c r="U151" s="753">
        <f>IF($C151="other",$C136*R151,(VLOOKUP($C151,'S3 - Screening Tool Metrics'!$C$3:$G$17,5,FALSE)/100)*R151)</f>
        <v>551.92577307062493</v>
      </c>
      <c r="V151" s="777">
        <f t="shared" si="112"/>
        <v>63.512747188794584</v>
      </c>
      <c r="W151" s="753">
        <f t="shared" si="113"/>
        <v>1456560.7666666668</v>
      </c>
      <c r="X151" s="753">
        <f>VLOOKUP("*"&amp;$B151&amp;"*",'S4 - Summ PRS Characteristics'!$C$21:$Q$28,13,FALSE)*$J151</f>
        <v>563.17786832412924</v>
      </c>
      <c r="Y151" s="753">
        <f t="shared" si="123"/>
        <v>305.82213167587076</v>
      </c>
      <c r="Z151" s="753">
        <f>IF($C151="other",(1-$C136)*X151,(1-(VLOOKUP($C151,'S3 - Screening Tool Metrics'!$C$3:$G$17,5,FALSE)/100))*X151)</f>
        <v>112.63557366482583</v>
      </c>
      <c r="AA151" s="753">
        <f>IF($C151="other",$C136*X151,(VLOOKUP($C151,'S3 - Screening Tool Metrics'!$C$3:$G$17,5,FALSE)/100)*X151)</f>
        <v>450.54229465930342</v>
      </c>
      <c r="AB151" s="777">
        <f t="shared" si="114"/>
        <v>51.846063827307646</v>
      </c>
      <c r="AC151" s="776">
        <f t="shared" si="115"/>
        <v>728280.38333333342</v>
      </c>
      <c r="AD151" s="753">
        <f>VLOOKUP("*"&amp;$B151&amp;"*",'S4 - Summ PRS Characteristics'!$C$21:$Q$28,14,FALSE)*$J151</f>
        <v>440.33388824818286</v>
      </c>
      <c r="AE151" s="753">
        <f t="shared" si="125"/>
        <v>428.66611175181714</v>
      </c>
      <c r="AF151" s="753">
        <f>IF($C151="other",(1-$C136)*AD151,(1-(VLOOKUP($C151,'S3 - Screening Tool Metrics'!$C$3:$G$17,5,FALSE)/100))*AD151)</f>
        <v>88.066777649636549</v>
      </c>
      <c r="AG151" s="753">
        <f>IF($C151="other",$C136*AD151,(VLOOKUP($C151,'S3 - Screening Tool Metrics'!$C$3:$G$17,5,FALSE)/100)*AD151)</f>
        <v>352.26711059854631</v>
      </c>
      <c r="AH151" s="777">
        <f t="shared" si="116"/>
        <v>40.537066812260797</v>
      </c>
      <c r="AI151" s="776">
        <f t="shared" si="117"/>
        <v>145656.07666666669</v>
      </c>
      <c r="AJ151" s="753">
        <f>VLOOKUP("*"&amp;$B151&amp;"*",'S4 - Summ PRS Characteristics'!$C$21:$Q$28,15,FALSE)*$J151</f>
        <v>219.97187744028255</v>
      </c>
      <c r="AK151" s="753">
        <f t="shared" si="124"/>
        <v>649.02812255971742</v>
      </c>
      <c r="AL151" s="753">
        <f>IF($C151="other",(1-$C136)*AJ151,(1-(VLOOKUP($C151,'S3 - Screening Tool Metrics'!$C$3:$G$17,5,FALSE)/100))*AJ151)</f>
        <v>43.994375488056498</v>
      </c>
      <c r="AM151" s="753">
        <f>IF($C151="other",$C136*AJ151,(VLOOKUP($C151,'S3 - Screening Tool Metrics'!$C$3:$G$17,5,FALSE)/100)*AJ151)</f>
        <v>175.97750195222605</v>
      </c>
      <c r="AN151" s="778">
        <f t="shared" si="118"/>
        <v>20.250575598645113</v>
      </c>
    </row>
    <row r="152" spans="2:40" ht="17" thickBot="1" x14ac:dyDescent="0.25">
      <c r="B152" s="785" t="s">
        <v>17</v>
      </c>
      <c r="C152" s="786" t="str">
        <f>$C137</f>
        <v>other</v>
      </c>
      <c r="D152" s="787" t="s">
        <v>205</v>
      </c>
      <c r="E152" s="788">
        <f>VLOOKUP($B152&amp;"_"&amp;$D152,'App5 - CRUK Inci Rates'!C:H,6,FALSE)</f>
        <v>7.2</v>
      </c>
      <c r="F152" s="789">
        <f>VLOOKUP($B152&amp;"_"&amp;$D152,'App5 - CRUK Inci Rates'!C:H,3,FALSE)</f>
        <v>0</v>
      </c>
      <c r="G152" s="790">
        <f>VLOOKUP($B152&amp;"_"&amp;$D152,'App5 - CRUK Inci Rates'!C:J,8,FALSE)</f>
        <v>32583225.666666668</v>
      </c>
      <c r="H152" s="791">
        <f>VLOOKUP($B152&amp;"_"&amp;$D152,'App5 - CRUK Inci Rates'!C:J,7,FALSE)</f>
        <v>32583225.666666668</v>
      </c>
      <c r="I152" s="791">
        <f>VLOOKUP($B152&amp;"_"&amp;$D152,'App5 - CRUK Inci Rates'!C:J,4,FALSE)</f>
        <v>0</v>
      </c>
      <c r="J152" s="802">
        <f>VLOOKUP($B152&amp;"_"&amp;$D152,'App5 - CRUK Inci Rates'!C:K,9,FALSE)</f>
        <v>2354</v>
      </c>
      <c r="K152" s="794"/>
      <c r="L152" s="794"/>
      <c r="M152" s="794"/>
      <c r="N152" s="794"/>
      <c r="O152" s="794"/>
      <c r="P152" s="794"/>
      <c r="Q152" s="793"/>
      <c r="R152" s="794"/>
      <c r="S152" s="794"/>
      <c r="T152" s="794"/>
      <c r="U152" s="794"/>
      <c r="V152" s="795"/>
      <c r="W152" s="794"/>
      <c r="X152" s="794"/>
      <c r="Y152" s="794"/>
      <c r="Z152" s="794"/>
      <c r="AA152" s="794"/>
      <c r="AB152" s="795"/>
      <c r="AC152" s="793"/>
      <c r="AD152" s="794"/>
      <c r="AE152" s="794"/>
      <c r="AF152" s="794"/>
      <c r="AG152" s="794"/>
      <c r="AH152" s="795"/>
      <c r="AI152" s="793"/>
      <c r="AJ152" s="794"/>
      <c r="AK152" s="794"/>
      <c r="AL152" s="794"/>
      <c r="AM152" s="794"/>
      <c r="AN152" s="796"/>
    </row>
    <row r="154" spans="2:40" x14ac:dyDescent="0.2">
      <c r="B154" s="750" t="s">
        <v>352</v>
      </c>
    </row>
  </sheetData>
  <mergeCells count="56">
    <mergeCell ref="AC5:AC6"/>
    <mergeCell ref="AD5:AD6"/>
    <mergeCell ref="AE5:AE6"/>
    <mergeCell ref="AM5:AM6"/>
    <mergeCell ref="AG5:AG6"/>
    <mergeCell ref="AH5:AH6"/>
    <mergeCell ref="AI5:AI6"/>
    <mergeCell ref="AJ5:AJ6"/>
    <mergeCell ref="AK5:AK6"/>
    <mergeCell ref="AL5:AL6"/>
    <mergeCell ref="X5:X6"/>
    <mergeCell ref="Y5:Y6"/>
    <mergeCell ref="Z5:Z6"/>
    <mergeCell ref="AA5:AA6"/>
    <mergeCell ref="AB5:AB6"/>
    <mergeCell ref="B2:B6"/>
    <mergeCell ref="C2:C6"/>
    <mergeCell ref="D2:D6"/>
    <mergeCell ref="E2:F4"/>
    <mergeCell ref="G2:J4"/>
    <mergeCell ref="E5:E6"/>
    <mergeCell ref="F5:F6"/>
    <mergeCell ref="G5:G6"/>
    <mergeCell ref="H5:H6"/>
    <mergeCell ref="I5:I6"/>
    <mergeCell ref="J5:J6"/>
    <mergeCell ref="Q5:Q6"/>
    <mergeCell ref="R5:R6"/>
    <mergeCell ref="S5:S6"/>
    <mergeCell ref="T5:T6"/>
    <mergeCell ref="U5:U6"/>
    <mergeCell ref="V5:V6"/>
    <mergeCell ref="AC4:AH4"/>
    <mergeCell ref="AI2:AN2"/>
    <mergeCell ref="AI3:AN3"/>
    <mergeCell ref="AI4:AN4"/>
    <mergeCell ref="AC2:AH2"/>
    <mergeCell ref="AC3:AH3"/>
    <mergeCell ref="AF5:AF6"/>
    <mergeCell ref="AN5:AN6"/>
    <mergeCell ref="Q4:V4"/>
    <mergeCell ref="W2:AB2"/>
    <mergeCell ref="W3:AB3"/>
    <mergeCell ref="W4:AB4"/>
    <mergeCell ref="Q2:V2"/>
    <mergeCell ref="Q3:V3"/>
    <mergeCell ref="W5:W6"/>
    <mergeCell ref="K2:P2"/>
    <mergeCell ref="K3:P3"/>
    <mergeCell ref="K4:P4"/>
    <mergeCell ref="K5:K6"/>
    <mergeCell ref="L5:L6"/>
    <mergeCell ref="M5:M6"/>
    <mergeCell ref="N5:N6"/>
    <mergeCell ref="O5:O6"/>
    <mergeCell ref="P5:P6"/>
  </mergeCells>
  <phoneticPr fontId="24" type="noConversion"/>
  <dataValidations count="18">
    <dataValidation allowBlank="1" showInputMessage="1" showErrorMessage="1" promptTitle="Testis screening sensitivity" prompt="Select 'other' below and input screening sensitivity here. _x000a_" sqref="C136" xr:uid="{2DFC64D4-7624-4AD8-A617-AA43AB9539CC}"/>
    <dataValidation allowBlank="1" showInputMessage="1" showErrorMessage="1" promptTitle="Lung screening sensitivity" prompt="Select 'other' below and input screening sensitivity here. _x000a_" sqref="C120" xr:uid="{06FEDC62-B8DB-4EF6-A57A-17710C064F4A}"/>
    <dataValidation allowBlank="1" showInputMessage="1" showErrorMessage="1" promptTitle="Kidney screening sensitivity" prompt="Select 'other' below and input screening sensitivity here. _x000a_" sqref="C88" xr:uid="{7EE6F964-22DB-44C7-8651-7E2876D71B83}"/>
    <dataValidation allowBlank="1" showInputMessage="1" showErrorMessage="1" promptTitle="Ovary screening sensitivity" prompt="Select 'other' below and input screening sensitivity here. _x000a_" sqref="C72" xr:uid="{987C6C93-645D-4049-AF43-3AC7727A54DF}"/>
    <dataValidation allowBlank="1" showInputMessage="1" showErrorMessage="1" promptTitle="Pancreas screening sensitivity" prompt="Select 'other' below and input screening sensitivity here. _x000a_" sqref="C56" xr:uid="{DA237F24-204E-4B2A-A036-F454409528EB}"/>
    <dataValidation allowBlank="1" showInputMessage="1" showErrorMessage="1" promptTitle="Colorectal screening sensitivity" prompt="Select 'other' below and input screening sensitivity here. _x000a_" sqref="C40" xr:uid="{41C0AE94-F179-4709-B323-1082759188F8}"/>
    <dataValidation allowBlank="1" showInputMessage="1" showErrorMessage="1" promptTitle="Prostate screening sensitivity" prompt="Select 'other' below and input screening sensitivity here. _x000a_" sqref="C23" xr:uid="{F21404C1-511D-4168-A8B2-E74376C902DF}"/>
    <dataValidation allowBlank="1" showInputMessage="1" showErrorMessage="1" promptTitle="CLL screening sensitivity" prompt="Select 'other' below and input screening sensitivity here._x000a_" sqref="C104" xr:uid="{A1433BCF-EF5C-4CD4-A8C7-E68870C8675D}"/>
    <dataValidation type="list" allowBlank="1" showInputMessage="1" showErrorMessage="1" sqref="C137" xr:uid="{BE51945D-4C98-4FAD-B446-EF26AD31F26F}">
      <formula1>Testis_sensitivity</formula1>
    </dataValidation>
    <dataValidation type="list" allowBlank="1" showInputMessage="1" showErrorMessage="1" sqref="C121" xr:uid="{BA679359-701A-4997-9EB0-5737BA7D4785}">
      <formula1>Lung_sensitivity</formula1>
    </dataValidation>
    <dataValidation type="list" allowBlank="1" showInputMessage="1" showErrorMessage="1" sqref="C105" xr:uid="{E7CCE926-F8EF-45C9-A334-64BB8F0116D7}">
      <formula1>CLL_sensitivity</formula1>
    </dataValidation>
    <dataValidation type="list" allowBlank="1" showInputMessage="1" showErrorMessage="1" sqref="C89" xr:uid="{C42283F2-95CA-42F2-A48B-411895DF81D0}">
      <formula1>Kidney_sensitivity</formula1>
    </dataValidation>
    <dataValidation type="list" allowBlank="1" showInputMessage="1" showErrorMessage="1" sqref="C73" xr:uid="{602CC5A6-4F1B-4CD8-AADD-EB22E5B671FB}">
      <formula1>Ovary_sensitivity</formula1>
    </dataValidation>
    <dataValidation type="list" allowBlank="1" showInputMessage="1" showErrorMessage="1" sqref="C57" xr:uid="{93F5BD3D-F563-40C2-9734-656C38A6CBDA}">
      <formula1>Pancreas_Sensitivity</formula1>
    </dataValidation>
    <dataValidation type="list" allowBlank="1" showInputMessage="1" showErrorMessage="1" sqref="C41" xr:uid="{5C60423F-D5A4-497C-8469-0466A528D9F9}">
      <formula1>Colorectal_Sensitivity</formula1>
    </dataValidation>
    <dataValidation type="list" allowBlank="1" showInputMessage="1" showErrorMessage="1" sqref="C24" xr:uid="{F3DB424C-A613-4DAE-89EC-010173359C8C}">
      <formula1>Prostate_sensitivity</formula1>
    </dataValidation>
    <dataValidation allowBlank="1" showInputMessage="1" showErrorMessage="1" promptTitle="Breast screening sensitivity" prompt="Select 'other' below and input screening sensitivity here. _x000a_" sqref="C7" xr:uid="{D43D538B-C425-4C21-9AE6-B9390A0877D7}"/>
    <dataValidation type="list" allowBlank="1" showInputMessage="1" showErrorMessage="1" sqref="C8" xr:uid="{A00AF4B8-99D3-4F87-BDCA-58CB4DAD66E8}">
      <formula1>Breast_sensitivity</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010BA-2A07-0249-8EA7-9F5699F6EF27}">
  <dimension ref="A2:BR231"/>
  <sheetViews>
    <sheetView topLeftCell="A12" zoomScale="110" zoomScaleNormal="110" workbookViewId="0">
      <selection activeCell="V16" sqref="V16"/>
    </sheetView>
  </sheetViews>
  <sheetFormatPr baseColWidth="10" defaultColWidth="11.1640625" defaultRowHeight="16" x14ac:dyDescent="0.2"/>
  <cols>
    <col min="1" max="1" width="6.83203125" customWidth="1"/>
    <col min="2" max="2" width="12.5" customWidth="1"/>
    <col min="3" max="3" width="24.1640625" style="44" customWidth="1"/>
    <col min="4" max="4" width="10.5" customWidth="1"/>
    <col min="5" max="6" width="8.6640625" customWidth="1"/>
    <col min="7" max="7" width="15" style="14" customWidth="1"/>
    <col min="8" max="8" width="11" customWidth="1"/>
    <col min="9" max="12" width="10.1640625" style="14" customWidth="1"/>
    <col min="13" max="14" width="8" style="14" customWidth="1"/>
    <col min="15" max="20" width="8" customWidth="1"/>
    <col min="21" max="22" width="9" customWidth="1"/>
    <col min="23" max="23" width="10.6640625" hidden="1" customWidth="1"/>
    <col min="24" max="24" width="11.1640625" hidden="1" customWidth="1"/>
    <col min="25" max="25" width="14.6640625" hidden="1" customWidth="1"/>
    <col min="26" max="26" width="10.83203125" hidden="1" customWidth="1"/>
    <col min="27" max="27" width="11.1640625" hidden="1" customWidth="1"/>
    <col min="28" max="28" width="10.1640625" hidden="1" customWidth="1"/>
    <col min="29" max="30" width="8.83203125" hidden="1" customWidth="1"/>
    <col min="31" max="42" width="11.1640625" hidden="1" customWidth="1"/>
    <col min="43" max="43" width="13.5" hidden="1" customWidth="1"/>
    <col min="44" max="44" width="10.1640625" hidden="1" customWidth="1"/>
    <col min="45" max="45" width="12.6640625" hidden="1" customWidth="1"/>
    <col min="46" max="46" width="13.83203125" hidden="1" customWidth="1"/>
    <col min="47" max="48" width="11.1640625" hidden="1" customWidth="1"/>
    <col min="49" max="49" width="18.33203125" hidden="1" customWidth="1"/>
    <col min="50" max="67" width="11.1640625" hidden="1" customWidth="1"/>
    <col min="68" max="68" width="9.83203125" hidden="1" customWidth="1"/>
    <col min="69" max="70" width="13.6640625" hidden="1" customWidth="1"/>
  </cols>
  <sheetData>
    <row r="2" spans="1:70" x14ac:dyDescent="0.2">
      <c r="B2" s="1" t="s">
        <v>405</v>
      </c>
      <c r="L2" s="462"/>
      <c r="M2" s="462"/>
      <c r="N2" s="462"/>
      <c r="O2" s="851"/>
      <c r="U2" s="462"/>
      <c r="V2" s="462"/>
      <c r="AR2" s="462"/>
      <c r="BP2" s="462"/>
    </row>
    <row r="3" spans="1:70" ht="17" hidden="1" thickBot="1" x14ac:dyDescent="0.25">
      <c r="B3" s="1"/>
      <c r="C3" s="43"/>
    </row>
    <row r="4" spans="1:70" ht="16" hidden="1" customHeight="1" x14ac:dyDescent="0.2">
      <c r="F4" s="998"/>
      <c r="H4" s="1"/>
      <c r="I4" s="927"/>
      <c r="J4" s="927"/>
      <c r="K4" s="927"/>
      <c r="L4" s="927"/>
      <c r="M4" s="927"/>
      <c r="N4" s="927"/>
      <c r="O4" s="927"/>
      <c r="P4" s="927"/>
      <c r="Q4" s="927"/>
      <c r="R4" s="927"/>
      <c r="S4" s="927"/>
      <c r="T4" s="927"/>
      <c r="U4" s="927"/>
      <c r="V4" s="924"/>
      <c r="W4" s="910" t="s">
        <v>208</v>
      </c>
      <c r="X4" s="911"/>
      <c r="Y4" s="911"/>
      <c r="Z4" s="911"/>
      <c r="AA4" s="911"/>
      <c r="AB4" s="912"/>
      <c r="AC4" s="829"/>
      <c r="AD4" s="830"/>
      <c r="AE4" s="913" t="s">
        <v>392</v>
      </c>
      <c r="AF4" s="913"/>
      <c r="AG4" s="913"/>
      <c r="AH4" s="913"/>
      <c r="AI4" s="913"/>
      <c r="AJ4" s="913"/>
      <c r="AK4" s="913"/>
      <c r="AL4" s="913"/>
      <c r="AM4" s="913"/>
      <c r="AN4" s="913"/>
      <c r="AO4" s="913"/>
      <c r="AP4" s="913"/>
      <c r="AQ4" s="913"/>
      <c r="AR4" s="913"/>
      <c r="AS4" s="913"/>
      <c r="AT4" s="914"/>
      <c r="AU4" s="1298" t="s">
        <v>208</v>
      </c>
      <c r="AV4" s="1299"/>
      <c r="AW4" s="1299"/>
      <c r="AX4" s="1299"/>
      <c r="AY4" s="1299"/>
      <c r="AZ4" s="1299"/>
      <c r="BA4" s="852"/>
      <c r="BB4" s="853"/>
      <c r="BC4" s="1250" t="s">
        <v>393</v>
      </c>
      <c r="BD4" s="1251"/>
      <c r="BE4" s="1251"/>
      <c r="BF4" s="1251"/>
      <c r="BG4" s="1251"/>
      <c r="BH4" s="1251"/>
      <c r="BI4" s="1251"/>
      <c r="BJ4" s="1251"/>
      <c r="BK4" s="1251"/>
      <c r="BL4" s="1251"/>
      <c r="BM4" s="1251"/>
      <c r="BN4" s="1251"/>
      <c r="BO4" s="1251"/>
      <c r="BP4" s="1251"/>
      <c r="BQ4" s="1251"/>
      <c r="BR4" s="1252"/>
    </row>
    <row r="5" spans="1:70" hidden="1" x14ac:dyDescent="0.2">
      <c r="B5" s="927"/>
      <c r="C5" s="927"/>
      <c r="D5" s="997"/>
      <c r="E5" s="998"/>
      <c r="F5" s="998"/>
      <c r="G5" s="1"/>
      <c r="H5" s="1"/>
      <c r="I5" s="927"/>
      <c r="J5" s="927"/>
      <c r="K5" s="927"/>
      <c r="L5" s="927"/>
      <c r="M5" s="927"/>
      <c r="N5" s="927"/>
      <c r="O5" s="927"/>
      <c r="P5" s="927"/>
      <c r="Q5" s="927"/>
      <c r="R5" s="927"/>
      <c r="S5" s="927"/>
      <c r="T5" s="927"/>
      <c r="U5" s="927"/>
      <c r="V5" s="925"/>
      <c r="W5" s="1258">
        <v>0.2</v>
      </c>
      <c r="X5" s="1259"/>
      <c r="Y5" s="1259"/>
      <c r="Z5" s="1259"/>
      <c r="AA5" s="1259"/>
      <c r="AB5" s="1260"/>
      <c r="AC5" s="837"/>
      <c r="AD5" s="838"/>
      <c r="AE5" s="915"/>
      <c r="AF5" s="915"/>
      <c r="AG5" s="915"/>
      <c r="AH5" s="915"/>
      <c r="AI5" s="915"/>
      <c r="AJ5" s="915"/>
      <c r="AK5" s="915"/>
      <c r="AL5" s="915"/>
      <c r="AM5" s="915"/>
      <c r="AN5" s="915"/>
      <c r="AO5" s="915"/>
      <c r="AP5" s="915"/>
      <c r="AQ5" s="915"/>
      <c r="AR5" s="915"/>
      <c r="AS5" s="915"/>
      <c r="AT5" s="916"/>
      <c r="AU5" s="1261">
        <v>0.1</v>
      </c>
      <c r="AV5" s="1262"/>
      <c r="AW5" s="1262"/>
      <c r="AX5" s="1262"/>
      <c r="AY5" s="1262"/>
      <c r="AZ5" s="1262"/>
      <c r="BA5" s="854"/>
      <c r="BB5" s="855"/>
      <c r="BC5" s="1253"/>
      <c r="BD5" s="1254"/>
      <c r="BE5" s="1254"/>
      <c r="BF5" s="1254"/>
      <c r="BG5" s="1254"/>
      <c r="BH5" s="1254"/>
      <c r="BI5" s="1254"/>
      <c r="BJ5" s="1254"/>
      <c r="BK5" s="1254"/>
      <c r="BL5" s="1254"/>
      <c r="BM5" s="1254"/>
      <c r="BN5" s="1254"/>
      <c r="BO5" s="1254"/>
      <c r="BP5" s="1254"/>
      <c r="BQ5" s="1254"/>
      <c r="BR5" s="1254"/>
    </row>
    <row r="6" spans="1:70" ht="17" thickBot="1" x14ac:dyDescent="0.25">
      <c r="B6" s="928"/>
      <c r="C6" s="928"/>
      <c r="D6" s="997"/>
      <c r="E6" s="999"/>
      <c r="F6" s="999"/>
      <c r="G6" s="1000"/>
      <c r="H6" s="1000"/>
      <c r="I6" s="928"/>
      <c r="J6" s="928"/>
      <c r="K6" s="928"/>
      <c r="L6" s="928"/>
      <c r="M6" s="928"/>
      <c r="N6" s="928"/>
      <c r="O6" s="928"/>
      <c r="P6" s="928"/>
      <c r="Q6" s="928"/>
      <c r="R6" s="928"/>
      <c r="S6" s="928"/>
      <c r="T6" s="928"/>
      <c r="U6" s="928"/>
      <c r="V6" s="926"/>
      <c r="W6" s="1263" t="s">
        <v>185</v>
      </c>
      <c r="X6" s="1264"/>
      <c r="Y6" s="1264"/>
      <c r="Z6" s="1264"/>
      <c r="AA6" s="1264"/>
      <c r="AB6" s="1265"/>
      <c r="AC6" s="839"/>
      <c r="AD6" s="840"/>
      <c r="AE6" s="917"/>
      <c r="AF6" s="917"/>
      <c r="AG6" s="917"/>
      <c r="AH6" s="917"/>
      <c r="AI6" s="917"/>
      <c r="AJ6" s="917"/>
      <c r="AK6" s="917"/>
      <c r="AL6" s="917"/>
      <c r="AM6" s="917"/>
      <c r="AN6" s="917"/>
      <c r="AO6" s="917"/>
      <c r="AP6" s="917"/>
      <c r="AQ6" s="917"/>
      <c r="AR6" s="917"/>
      <c r="AS6" s="917"/>
      <c r="AT6" s="918"/>
      <c r="AU6" s="1266" t="s">
        <v>185</v>
      </c>
      <c r="AV6" s="1267"/>
      <c r="AW6" s="1267"/>
      <c r="AX6" s="1267"/>
      <c r="AY6" s="1267"/>
      <c r="AZ6" s="1267"/>
      <c r="BA6" s="856"/>
      <c r="BB6" s="857"/>
      <c r="BC6" s="1255"/>
      <c r="BD6" s="1256"/>
      <c r="BE6" s="1256"/>
      <c r="BF6" s="1256"/>
      <c r="BG6" s="1256"/>
      <c r="BH6" s="1256"/>
      <c r="BI6" s="1256"/>
      <c r="BJ6" s="1256"/>
      <c r="BK6" s="1256"/>
      <c r="BL6" s="1256"/>
      <c r="BM6" s="1256"/>
      <c r="BN6" s="1256"/>
      <c r="BO6" s="1256"/>
      <c r="BP6" s="1256"/>
      <c r="BQ6" s="1256"/>
      <c r="BR6" s="1257"/>
    </row>
    <row r="7" spans="1:70" ht="41" customHeight="1" thickBot="1" x14ac:dyDescent="0.25">
      <c r="A7" s="1302"/>
      <c r="B7" s="1288" t="s">
        <v>181</v>
      </c>
      <c r="C7" s="1288" t="s">
        <v>207</v>
      </c>
      <c r="D7" s="1290" t="s">
        <v>182</v>
      </c>
      <c r="E7" s="1286" t="s">
        <v>183</v>
      </c>
      <c r="F7" s="1287"/>
      <c r="G7" s="1284" t="s">
        <v>184</v>
      </c>
      <c r="H7" s="1285"/>
      <c r="I7" s="1300" t="s">
        <v>216</v>
      </c>
      <c r="J7" s="1300"/>
      <c r="K7" s="1300"/>
      <c r="L7" s="1301"/>
      <c r="M7" s="1292" t="s">
        <v>217</v>
      </c>
      <c r="N7" s="1293"/>
      <c r="O7" s="1293"/>
      <c r="P7" s="1294"/>
      <c r="Q7" s="1293" t="s">
        <v>218</v>
      </c>
      <c r="R7" s="1293"/>
      <c r="S7" s="1293"/>
      <c r="T7" s="1293"/>
      <c r="U7" s="1293"/>
      <c r="V7" s="1296" t="s">
        <v>290</v>
      </c>
      <c r="W7" s="1295" t="s">
        <v>190</v>
      </c>
      <c r="X7" s="1278" t="s">
        <v>347</v>
      </c>
      <c r="Y7" s="1279" t="s">
        <v>191</v>
      </c>
      <c r="Z7" s="1279" t="s">
        <v>210</v>
      </c>
      <c r="AA7" s="1280" t="s">
        <v>211</v>
      </c>
      <c r="AB7" s="1281" t="s">
        <v>212</v>
      </c>
      <c r="AC7" s="858"/>
      <c r="AD7" s="827"/>
      <c r="AE7" s="1273" t="s">
        <v>219</v>
      </c>
      <c r="AF7" s="1273"/>
      <c r="AG7" s="1273"/>
      <c r="AH7" s="1283"/>
      <c r="AI7" s="1269" t="s">
        <v>220</v>
      </c>
      <c r="AJ7" s="1270"/>
      <c r="AK7" s="1270"/>
      <c r="AL7" s="1271"/>
      <c r="AM7" s="1272" t="s">
        <v>221</v>
      </c>
      <c r="AN7" s="1273"/>
      <c r="AO7" s="1273"/>
      <c r="AP7" s="1273"/>
      <c r="AQ7" s="1273"/>
      <c r="AR7" s="464"/>
      <c r="AS7" s="1274" t="s">
        <v>222</v>
      </c>
      <c r="AT7" s="1276" t="s">
        <v>223</v>
      </c>
      <c r="AU7" s="1268" t="s">
        <v>190</v>
      </c>
      <c r="AV7" s="1268" t="s">
        <v>347</v>
      </c>
      <c r="AW7" s="1268" t="s">
        <v>191</v>
      </c>
      <c r="AX7" s="1268" t="s">
        <v>210</v>
      </c>
      <c r="AY7" s="1268" t="s">
        <v>211</v>
      </c>
      <c r="AZ7" s="1268" t="s">
        <v>212</v>
      </c>
      <c r="BA7" s="859"/>
      <c r="BB7" s="860"/>
      <c r="BC7" s="1273" t="s">
        <v>219</v>
      </c>
      <c r="BD7" s="1273"/>
      <c r="BE7" s="1273"/>
      <c r="BF7" s="1283"/>
      <c r="BG7" s="1269" t="s">
        <v>220</v>
      </c>
      <c r="BH7" s="1270"/>
      <c r="BI7" s="1270"/>
      <c r="BJ7" s="1271"/>
      <c r="BK7" s="1272" t="s">
        <v>221</v>
      </c>
      <c r="BL7" s="1273"/>
      <c r="BM7" s="1273"/>
      <c r="BN7" s="1273"/>
      <c r="BO7" s="1273"/>
      <c r="BP7" s="464"/>
      <c r="BQ7" s="1274" t="s">
        <v>222</v>
      </c>
      <c r="BR7" s="1276" t="s">
        <v>223</v>
      </c>
    </row>
    <row r="8" spans="1:70" ht="91" customHeight="1" thickBot="1" x14ac:dyDescent="0.25">
      <c r="A8" s="1303"/>
      <c r="B8" s="1289"/>
      <c r="C8" s="1289"/>
      <c r="D8" s="1291"/>
      <c r="E8" s="929" t="s">
        <v>40</v>
      </c>
      <c r="F8" s="930" t="s">
        <v>41</v>
      </c>
      <c r="G8" s="1002" t="s">
        <v>186</v>
      </c>
      <c r="H8" s="1003" t="s">
        <v>189</v>
      </c>
      <c r="I8" s="919" t="s">
        <v>224</v>
      </c>
      <c r="J8" s="919" t="s">
        <v>225</v>
      </c>
      <c r="K8" s="919" t="s">
        <v>226</v>
      </c>
      <c r="L8" s="920" t="s">
        <v>227</v>
      </c>
      <c r="M8" s="921">
        <v>1</v>
      </c>
      <c r="N8" s="922">
        <v>2</v>
      </c>
      <c r="O8" s="922">
        <v>3</v>
      </c>
      <c r="P8" s="923">
        <v>4</v>
      </c>
      <c r="Q8" s="921">
        <v>1</v>
      </c>
      <c r="R8" s="922">
        <v>2</v>
      </c>
      <c r="S8" s="922">
        <v>3</v>
      </c>
      <c r="T8" s="923">
        <v>4</v>
      </c>
      <c r="U8" s="922" t="s">
        <v>228</v>
      </c>
      <c r="V8" s="1297"/>
      <c r="W8" s="1295"/>
      <c r="X8" s="1278"/>
      <c r="Y8" s="1279"/>
      <c r="Z8" s="1279"/>
      <c r="AA8" s="1280"/>
      <c r="AB8" s="1282"/>
      <c r="AC8" s="861"/>
      <c r="AD8" s="828"/>
      <c r="AE8" s="73" t="s">
        <v>224</v>
      </c>
      <c r="AF8" s="73" t="s">
        <v>225</v>
      </c>
      <c r="AG8" s="73" t="s">
        <v>226</v>
      </c>
      <c r="AH8" s="76" t="s">
        <v>227</v>
      </c>
      <c r="AI8" s="74">
        <v>1</v>
      </c>
      <c r="AJ8" s="74">
        <v>2</v>
      </c>
      <c r="AK8" s="74">
        <v>3</v>
      </c>
      <c r="AL8" s="77">
        <v>4</v>
      </c>
      <c r="AM8" s="78">
        <v>1</v>
      </c>
      <c r="AN8" s="74">
        <v>2</v>
      </c>
      <c r="AO8" s="74">
        <v>3</v>
      </c>
      <c r="AP8" s="74">
        <v>4</v>
      </c>
      <c r="AQ8" s="79" t="s">
        <v>228</v>
      </c>
      <c r="AR8" s="465" t="s">
        <v>290</v>
      </c>
      <c r="AS8" s="1275"/>
      <c r="AT8" s="1277"/>
      <c r="AU8" s="1268"/>
      <c r="AV8" s="1268"/>
      <c r="AW8" s="1268"/>
      <c r="AX8" s="1268"/>
      <c r="AY8" s="1268"/>
      <c r="AZ8" s="1268"/>
      <c r="BA8" s="859"/>
      <c r="BB8" s="860"/>
      <c r="BC8" s="73" t="s">
        <v>224</v>
      </c>
      <c r="BD8" s="73" t="s">
        <v>225</v>
      </c>
      <c r="BE8" s="73" t="s">
        <v>226</v>
      </c>
      <c r="BF8" s="76" t="s">
        <v>227</v>
      </c>
      <c r="BG8" s="74">
        <v>1</v>
      </c>
      <c r="BH8" s="74">
        <v>2</v>
      </c>
      <c r="BI8" s="74">
        <v>3</v>
      </c>
      <c r="BJ8" s="77">
        <v>4</v>
      </c>
      <c r="BK8" s="78">
        <v>1</v>
      </c>
      <c r="BL8" s="74">
        <v>2</v>
      </c>
      <c r="BM8" s="74">
        <v>3</v>
      </c>
      <c r="BN8" s="74">
        <v>4</v>
      </c>
      <c r="BO8" s="79" t="s">
        <v>228</v>
      </c>
      <c r="BP8" s="465" t="s">
        <v>290</v>
      </c>
      <c r="BQ8" s="1275"/>
      <c r="BR8" s="1277"/>
    </row>
    <row r="9" spans="1:70" ht="17" thickBot="1" x14ac:dyDescent="0.25">
      <c r="A9" s="1304" t="s">
        <v>400</v>
      </c>
      <c r="B9" s="948" t="s">
        <v>8</v>
      </c>
      <c r="C9" s="948"/>
      <c r="D9" s="949"/>
      <c r="E9" s="949"/>
      <c r="F9" s="950"/>
      <c r="G9" s="949"/>
      <c r="H9" s="950"/>
      <c r="I9" s="951"/>
      <c r="J9" s="951"/>
      <c r="K9" s="951"/>
      <c r="L9" s="951"/>
      <c r="M9" s="952"/>
      <c r="N9" s="952"/>
      <c r="O9" s="952"/>
      <c r="P9" s="952"/>
      <c r="Q9" s="952"/>
      <c r="R9" s="952"/>
      <c r="S9" s="952"/>
      <c r="T9" s="952"/>
      <c r="U9" s="950"/>
      <c r="V9" s="948"/>
      <c r="W9" s="40"/>
      <c r="X9" s="39"/>
      <c r="Y9" s="39"/>
      <c r="Z9" s="39"/>
      <c r="AA9" s="39"/>
      <c r="AB9" s="41"/>
      <c r="AC9" s="40"/>
      <c r="AD9" s="41"/>
      <c r="AS9" s="39"/>
      <c r="AT9" s="39"/>
      <c r="AU9" s="39"/>
      <c r="AV9" s="39"/>
      <c r="AW9" s="39"/>
      <c r="AX9" s="39"/>
      <c r="AY9" s="39"/>
      <c r="AZ9" s="39"/>
      <c r="BA9" s="40"/>
      <c r="BB9" s="41"/>
      <c r="BC9" s="39"/>
      <c r="BD9" s="39"/>
      <c r="BE9" s="39"/>
      <c r="BF9" s="39"/>
      <c r="BG9" s="39"/>
      <c r="BH9" s="39"/>
      <c r="BI9" s="39"/>
      <c r="BJ9" s="39"/>
      <c r="BK9" s="39"/>
      <c r="BL9" s="39"/>
      <c r="BM9" s="39"/>
      <c r="BN9" s="39"/>
      <c r="BO9" s="39"/>
      <c r="BP9" s="466"/>
      <c r="BQ9" s="39"/>
      <c r="BR9" s="39"/>
    </row>
    <row r="10" spans="1:70" ht="15.5" hidden="1" customHeight="1" x14ac:dyDescent="0.2">
      <c r="A10" s="1305"/>
      <c r="B10" s="700" t="s">
        <v>8</v>
      </c>
      <c r="C10" s="973" t="s">
        <v>162</v>
      </c>
      <c r="D10" s="975" t="s">
        <v>192</v>
      </c>
      <c r="E10" s="980">
        <f>VLOOKUP($B10&amp;"_"&amp;$D10,'App5 - CRUK Inci Rates'!C:H,6,FALSE)</f>
        <v>0</v>
      </c>
      <c r="F10" s="981">
        <f>VLOOKUP($B10&amp;"_"&amp;$D10,'App5 - CRUK Inci Rates'!C:H,3,FALSE)</f>
        <v>124.6</v>
      </c>
      <c r="G10" s="992">
        <f>VLOOKUP($B10&amp;"_"&amp;$D10,'App5 - CRUK Inci Rates'!C:J,8,FALSE)</f>
        <v>2054223.3333333333</v>
      </c>
      <c r="H10" s="709">
        <f>VLOOKUP($B10&amp;"_"&amp;$D10,'App5 - CRUK Inci Rates'!C:K,9,FALSE)</f>
        <v>2559</v>
      </c>
      <c r="I10" s="935"/>
      <c r="J10" s="935"/>
      <c r="K10" s="935"/>
      <c r="L10" s="935"/>
      <c r="M10" s="935"/>
      <c r="N10" s="935"/>
      <c r="O10" s="935"/>
      <c r="P10" s="935"/>
      <c r="Q10" s="935"/>
      <c r="R10" s="935"/>
      <c r="S10" s="935"/>
      <c r="T10" s="935"/>
      <c r="U10" s="936"/>
      <c r="V10" s="933"/>
      <c r="W10" s="26">
        <f>$G10*W$5</f>
        <v>410844.66666666669</v>
      </c>
      <c r="X10" s="25">
        <f>VLOOKUP("*"&amp;$B10&amp;"*",'S4 - Summ PRS Characteristics'!$C$5:$Q$12,12,FALSE)*$H10</f>
        <v>955.07961416628802</v>
      </c>
      <c r="Y10" s="25">
        <f>$H10-X10</f>
        <v>1603.9203858337119</v>
      </c>
      <c r="Z10" s="25">
        <f>IF($C10="other",(1-#REF!)*X10,(1-(VLOOKUP($C10,'S3 - Screening Tool Metrics'!$C$3:$G$19,5,FALSE)/100))*X10)</f>
        <v>286.52388424988646</v>
      </c>
      <c r="AA10" s="25">
        <f>IF($C10="other",#REF!*X10,(VLOOKUP($C10,'S3 - Screening Tool Metrics'!$C$3:$G$19,5,FALSE)/100)*X10)</f>
        <v>668.55572991640156</v>
      </c>
      <c r="AB10" s="27">
        <f>$AA10/$H10*100</f>
        <v>26.125663537178646</v>
      </c>
      <c r="AC10" s="26"/>
      <c r="AD10" s="27"/>
      <c r="AS10" s="81"/>
      <c r="AT10" s="81"/>
      <c r="AU10" s="26">
        <f>$G10*AU$5</f>
        <v>205422.33333333334</v>
      </c>
      <c r="AV10" s="25">
        <f>VLOOKUP("*"&amp;$B10&amp;"*",'S4 - Summ PRS Characteristics'!$C$5:$Q$12,13,FALSE)*$H10</f>
        <v>569.77399305665142</v>
      </c>
      <c r="AW10" s="25">
        <f>$H10-AV10</f>
        <v>1989.2260069433487</v>
      </c>
      <c r="AX10" s="25">
        <f>IF($C10="other",(1-$C9)*AV10,(1-(VLOOKUP($C10,'S3 - Screening Tool Metrics'!$C$3:$G$19,5,FALSE)/100))*AV10)</f>
        <v>170.93219791699545</v>
      </c>
      <c r="AY10" s="25">
        <f>IF($C10="other",$C9*AV10,(VLOOKUP($C10,'S3 - Screening Tool Metrics'!$C$3:$G$19,5,FALSE)/100)*AV10)</f>
        <v>398.84179513965597</v>
      </c>
      <c r="AZ10" s="25">
        <f>$AY10/$H10*100</f>
        <v>15.585845843675497</v>
      </c>
      <c r="BA10" s="26"/>
      <c r="BB10" s="27"/>
      <c r="BC10" s="81"/>
      <c r="BD10" s="81"/>
      <c r="BE10" s="81"/>
      <c r="BF10" s="81"/>
      <c r="BG10" s="81"/>
      <c r="BH10" s="81"/>
      <c r="BI10" s="81"/>
      <c r="BJ10" s="81"/>
      <c r="BK10" s="81"/>
      <c r="BL10" s="81"/>
      <c r="BM10" s="81"/>
      <c r="BN10" s="81"/>
      <c r="BO10" s="81"/>
      <c r="BP10" s="467"/>
      <c r="BQ10" s="81"/>
      <c r="BR10" s="92"/>
    </row>
    <row r="11" spans="1:70" ht="15.5" hidden="1" customHeight="1" x14ac:dyDescent="0.2">
      <c r="A11" s="1305"/>
      <c r="B11" s="700" t="s">
        <v>8</v>
      </c>
      <c r="C11" s="934" t="str">
        <f>$C10</f>
        <v>Digital mammography</v>
      </c>
      <c r="D11" s="975" t="s">
        <v>193</v>
      </c>
      <c r="E11" s="980">
        <f>VLOOKUP($B11&amp;"_"&amp;$D11,'App5 - CRUK Inci Rates'!C:H,6,FALSE)</f>
        <v>0</v>
      </c>
      <c r="F11" s="981">
        <f>VLOOKUP($B11&amp;"_"&amp;$D11,'App5 - CRUK Inci Rates'!C:H,3,FALSE)</f>
        <v>214.8</v>
      </c>
      <c r="G11" s="992">
        <f>VLOOKUP($B11&amp;"_"&amp;$D11,'App5 - CRUK Inci Rates'!C:J,8,FALSE)</f>
        <v>2315479.3333333335</v>
      </c>
      <c r="H11" s="709">
        <f>VLOOKUP($B11&amp;"_"&amp;$D11,'App5 - CRUK Inci Rates'!C:K,9,FALSE)</f>
        <v>4974</v>
      </c>
      <c r="I11" s="935"/>
      <c r="J11" s="935"/>
      <c r="K11" s="935"/>
      <c r="L11" s="935"/>
      <c r="M11" s="935"/>
      <c r="N11" s="935"/>
      <c r="O11" s="935"/>
      <c r="P11" s="935"/>
      <c r="Q11" s="935"/>
      <c r="R11" s="935"/>
      <c r="S11" s="935"/>
      <c r="T11" s="935"/>
      <c r="U11" s="936"/>
      <c r="V11" s="937"/>
      <c r="W11" s="18">
        <f>$G11*W$5</f>
        <v>463095.8666666667</v>
      </c>
      <c r="X11" s="14">
        <f>VLOOKUP("*"&amp;$B11&amp;"*",'S4 - Summ PRS Characteristics'!$C$5:$Q$12,12,FALSE)*$H11</f>
        <v>1856.4150061989515</v>
      </c>
      <c r="Y11" s="14">
        <f>$H11-X11</f>
        <v>3117.5849938010488</v>
      </c>
      <c r="Z11" s="14">
        <f>IF($C11="other",(1-#REF!)*X11,(1-(VLOOKUP($C11,'S3 - Screening Tool Metrics'!$C$3:$G$19,5,FALSE)/100))*X11)</f>
        <v>556.92450185968551</v>
      </c>
      <c r="AA11" s="14">
        <f>IF($C11="other",#REF!*X11,(VLOOKUP($C11,'S3 - Screening Tool Metrics'!$C$3:$G$19,5,FALSE)/100)*X11)</f>
        <v>1299.490504339266</v>
      </c>
      <c r="AB11" s="19">
        <f>$AA11/$H11*100</f>
        <v>26.125663537178649</v>
      </c>
      <c r="AC11" s="18"/>
      <c r="AD11" s="19"/>
      <c r="AS11" s="80"/>
      <c r="AT11" s="80"/>
      <c r="AU11" s="18">
        <f>$G11*AU$5</f>
        <v>231547.93333333335</v>
      </c>
      <c r="AV11" s="14">
        <f>VLOOKUP("*"&amp;$B11&amp;"*",'S4 - Summ PRS Characteristics'!$C$5:$Q$12,13,FALSE)*$H11</f>
        <v>1107.4856746634562</v>
      </c>
      <c r="AW11" s="14">
        <f>$H11-AV11</f>
        <v>3866.5143253365441</v>
      </c>
      <c r="AX11" s="14">
        <f>IF($C11="other",(1-$C9)*AV11,(1-(VLOOKUP($C11,'S3 - Screening Tool Metrics'!$C$3:$G$19,5,FALSE)/100))*AV11)</f>
        <v>332.24570239903687</v>
      </c>
      <c r="AY11" s="14">
        <f>IF($C11="other",$C10*AV11,(VLOOKUP($C11,'S3 - Screening Tool Metrics'!$C$3:$G$19,5,FALSE)/100)*AV11)</f>
        <v>775.23997226441929</v>
      </c>
      <c r="AZ11" s="14">
        <f>$AY11/$H11*100</f>
        <v>15.585845843675497</v>
      </c>
      <c r="BA11" s="18"/>
      <c r="BB11" s="19"/>
      <c r="BC11" s="80"/>
      <c r="BD11" s="80"/>
      <c r="BE11" s="80"/>
      <c r="BF11" s="80"/>
      <c r="BG11" s="80"/>
      <c r="BH11" s="80"/>
      <c r="BI11" s="80"/>
      <c r="BJ11" s="80"/>
      <c r="BK11" s="80"/>
      <c r="BL11" s="80"/>
      <c r="BM11" s="80"/>
      <c r="BN11" s="80"/>
      <c r="BO11" s="80"/>
      <c r="BP11" s="468"/>
      <c r="BQ11" s="80"/>
      <c r="BR11" s="94"/>
    </row>
    <row r="12" spans="1:70" ht="17" thickBot="1" x14ac:dyDescent="0.25">
      <c r="A12" s="1305"/>
      <c r="B12" s="974" t="s">
        <v>8</v>
      </c>
      <c r="C12" s="1004" t="str">
        <f>$C11</f>
        <v>Digital mammography</v>
      </c>
      <c r="D12" s="976" t="s">
        <v>229</v>
      </c>
      <c r="E12" s="982">
        <f>VLOOKUP($B12&amp;"_"&amp;$D12,'App5 - CRUK Inci Rates'!C:H,6,FALSE)</f>
        <v>0</v>
      </c>
      <c r="F12" s="983">
        <f>VLOOKUP($B12&amp;"_"&amp;$D12,'App5 - CRUK Inci Rates'!C:H,3,FALSE)</f>
        <v>172.40296040749985</v>
      </c>
      <c r="G12" s="993">
        <f>VLOOKUP($B12&amp;"_"&amp;$D12,'App5 - CRUK Inci Rates'!C:J,8,FALSE)</f>
        <v>4369702.666666667</v>
      </c>
      <c r="H12" s="944">
        <f>VLOOKUP($B12&amp;"_"&amp;$D12,'App5 - CRUK Inci Rates'!C:K,9,FALSE)</f>
        <v>7533</v>
      </c>
      <c r="I12" s="945">
        <f>VLOOKUP($B12&amp;I$8&amp;$D12,'App6 - Stage-Route-Surv Data'!$E$5:$G$76,3,FALSE)+(VLOOKUP($B12&amp;J$8&amp;$D12,'App6 - Stage-Route-Surv Data'!$E$5:$G$76,3,FALSE)*(VLOOKUP($B12&amp;I$8&amp;$D12,'App6 - Stage-Route-Surv Data'!$E$5:$G$76,3,FALSE)/SUM(VLOOKUP($B12&amp;I$8&amp;$D12,'App6 - Stage-Route-Surv Data'!$E$5:$G$76,3,FALSE),VLOOKUP($B12&amp;K$8&amp;$D12,'App6 - Stage-Route-Surv Data'!$E$5:$G$76,3,FALSE),VLOOKUP($B12&amp;L$8&amp;$D12,'App6 - Stage-Route-Surv Data'!$E$5:$G$76,3,FALSE))))</f>
        <v>0.81706422018348623</v>
      </c>
      <c r="J12" s="945">
        <v>0</v>
      </c>
      <c r="K12" s="945">
        <f>VLOOKUP($B12&amp;K$8&amp;$D12,'App6 - Stage-Route-Surv Data'!$E$5:$G$76,3,FALSE)+(VLOOKUP($B12&amp;J$8&amp;$D12,'App6 - Stage-Route-Surv Data'!$E$5:$G$76,3,FALSE)*(VLOOKUP($B12&amp;K$8&amp;$D12,'App6 - Stage-Route-Surv Data'!$E$5:$G$76,3,FALSE)/SUM(VLOOKUP($B12&amp;I$8&amp;$D12,'App6 - Stage-Route-Surv Data'!$E$5:$G$76,3,FALSE),VLOOKUP($B12&amp;K$8&amp;$D12,'App6 - Stage-Route-Surv Data'!$E$5:$G$76,3,FALSE),VLOOKUP($B12&amp;L$8&amp;$D12,'App6 - Stage-Route-Surv Data'!$E$5:$G$76,3,FALSE))))</f>
        <v>1.7981651376146789E-2</v>
      </c>
      <c r="L12" s="945">
        <f>VLOOKUP($B12&amp;L$8&amp;$D12,'App6 - Stage-Route-Surv Data'!$E$5:$G$76,3,FALSE)+(VLOOKUP($B12&amp;J$8&amp;$D12,'App6 - Stage-Route-Surv Data'!$E$5:$G$76,3,FALSE)*(VLOOKUP($B12&amp;L$8&amp;$D12,'App6 - Stage-Route-Surv Data'!$E$5:$G$76,3,FALSE)/SUM(VLOOKUP($B12&amp;I$8&amp;$D12,'App6 - Stage-Route-Surv Data'!$E$5:$G$76,3,FALSE),VLOOKUP($B12&amp;K$8&amp;$D12,'App6 - Stage-Route-Surv Data'!$E$5:$G$76,3,FALSE),VLOOKUP($B12&amp;L$8&amp;$D12,'App6 - Stage-Route-Surv Data'!$E$5:$G$76,3,FALSE))))</f>
        <v>0.16495412844036697</v>
      </c>
      <c r="M12" s="946">
        <f>(($H12*$I12)*VLOOKUP($B12&amp;$I$8&amp;M$8,'App6 - Stage-Route-Surv Data'!$L$5:$N$36,3,FALSE))+(($H12*$J12)*VLOOKUP($B12&amp;$J$8&amp;M$8,'App6 - Stage-Route-Surv Data'!$L$5:$N$36,3,FALSE))+(($H12*$K12)*VLOOKUP($B12&amp;$K$8&amp;M$8,'App6 - Stage-Route-Surv Data'!$L$5:$N$36,3,FALSE))+(($H12*$L12)*VLOOKUP($B12&amp;$L$8&amp;M$8,'App6 - Stage-Route-Surv Data'!$L$5:$N$36,3,FALSE))</f>
        <v>2495.7609995082994</v>
      </c>
      <c r="N12" s="946">
        <f>(($H12*$I12)*VLOOKUP($B12&amp;$I$8&amp;N$8,'App6 - Stage-Route-Surv Data'!$L$5:$N$36,3,FALSE))+(($H12*$J12)*VLOOKUP($B12&amp;$J$8&amp;N$8,'App6 - Stage-Route-Surv Data'!$L$5:$N$36,3,FALSE))+(($H12*$K12)*VLOOKUP($B12&amp;$K$8&amp;N$8,'App6 - Stage-Route-Surv Data'!$L$5:$N$36,3,FALSE))+(($H12*$L12)*VLOOKUP($B12&amp;$L$8&amp;N$8,'App6 - Stage-Route-Surv Data'!$L$5:$N$36,3,FALSE))</f>
        <v>3667.1468638486499</v>
      </c>
      <c r="O12" s="946">
        <f>(($H12*$I12)*VLOOKUP($B12&amp;$I$8&amp;O$8,'App6 - Stage-Route-Surv Data'!$L$5:$N$36,3,FALSE))+(($H12*$J12)*VLOOKUP($B12&amp;$J$8&amp;O$8,'App6 - Stage-Route-Surv Data'!$L$5:$N$36,3,FALSE))+(($H12*$K12)*VLOOKUP($B12&amp;$K$8&amp;O$8,'App6 - Stage-Route-Surv Data'!$L$5:$N$36,3,FALSE))+(($H12*$L12)*VLOOKUP($B12&amp;$L$8&amp;O$8,'App6 - Stage-Route-Surv Data'!$L$5:$N$36,3,FALSE))</f>
        <v>876.94450317825601</v>
      </c>
      <c r="P12" s="946">
        <f>(($H12*$I12)*VLOOKUP($B12&amp;$I$8&amp;P$8,'App6 - Stage-Route-Surv Data'!$L$5:$N$36,3,FALSE))+(($H12*$J12)*VLOOKUP($B12&amp;$J$8&amp;P$8,'App6 - Stage-Route-Surv Data'!$L$5:$N$36,3,FALSE))+(($H12*$K12)*VLOOKUP($B12&amp;$K$8&amp;P$8,'App6 - Stage-Route-Surv Data'!$L$5:$N$36,3,FALSE))+(($H12*$L12)*VLOOKUP($B12&amp;$L$8&amp;P$8,'App6 - Stage-Route-Surv Data'!$L$5:$N$36,3,FALSE))</f>
        <v>493.14763346479504</v>
      </c>
      <c r="Q12" s="946">
        <f>M12*VLOOKUP($B12&amp;$D12&amp;Q$8,'App6 - Stage-Route-Surv Data'!$S$5:$T$20,2,FALSE)</f>
        <v>2451.667657302879</v>
      </c>
      <c r="R12" s="946">
        <f>N12*VLOOKUP($B12&amp;$D12&amp;R$8,'App6 - Stage-Route-Surv Data'!$S$5:$T$20,2,FALSE)</f>
        <v>3430.430193418299</v>
      </c>
      <c r="S12" s="946">
        <f>O12*VLOOKUP($B12&amp;$D12&amp;S$8,'App6 - Stage-Route-Surv Data'!$S$5:$T$20,2,FALSE)</f>
        <v>729.33438167461213</v>
      </c>
      <c r="T12" s="946">
        <f>P12*VLOOKUP($B12&amp;$D12&amp;T$8,'App6 - Stage-Route-Surv Data'!$S$5:$T$20,2,FALSE)</f>
        <v>227.13193396638405</v>
      </c>
      <c r="U12" s="944">
        <f>SUM(Q12:T12)</f>
        <v>6838.5641663621745</v>
      </c>
      <c r="V12" s="947">
        <f>U12/H12</f>
        <v>0.90781417315308299</v>
      </c>
      <c r="W12" s="87">
        <f>$G12*W$5</f>
        <v>873940.53333333344</v>
      </c>
      <c r="X12" s="84">
        <f>VLOOKUP("*"&amp;$B12&amp;"*",'S4 - Summ PRS Characteristics'!$C$5:$Q$12,12,FALSE)*$H12</f>
        <v>2811.4946203652394</v>
      </c>
      <c r="Y12" s="84">
        <f>$H12-X12</f>
        <v>4721.5053796347602</v>
      </c>
      <c r="Z12" s="84">
        <f>IF($C12="other",(1-#REF!)*X12,(1-(VLOOKUP($C12,'S3 - Screening Tool Metrics'!$C$3:$G$19,5,FALSE)/100))*X12)</f>
        <v>843.44838610957197</v>
      </c>
      <c r="AA12" s="84">
        <f>IF($C12="other",#REF!*X12,(VLOOKUP($C12,'S3 - Screening Tool Metrics'!$C$3:$G$19,5,FALSE)/100)*X12)</f>
        <v>1968.0462342556675</v>
      </c>
      <c r="AB12" s="88">
        <f>$AA12/$H12*100</f>
        <v>26.125663537178646</v>
      </c>
      <c r="AC12" s="87"/>
      <c r="AD12" s="88"/>
      <c r="AS12" s="90">
        <f>U34-U12</f>
        <v>102.34076429342895</v>
      </c>
      <c r="AT12" s="865">
        <f>(U34/$H12)-($U12/$H12)</f>
        <v>1.3585658342417317E-2</v>
      </c>
      <c r="AU12" s="87">
        <f>$G12*AU$5</f>
        <v>436970.26666666672</v>
      </c>
      <c r="AV12" s="84">
        <f>VLOOKUP("*"&amp;$B12&amp;"*",'S4 - Summ PRS Characteristics'!$C$5:$Q$12,13,FALSE)*$H12</f>
        <v>1677.2596677201075</v>
      </c>
      <c r="AW12" s="84">
        <f>$H12-AV12</f>
        <v>5855.7403322798928</v>
      </c>
      <c r="AX12" s="84">
        <f>IF($C12="other",(1-$C9)*AV12,(1-(VLOOKUP($C12,'S3 - Screening Tool Metrics'!$C$3:$G$19,5,FALSE)/100))*AV12)</f>
        <v>503.17790031603232</v>
      </c>
      <c r="AY12" s="84">
        <f>IF($C12="other",$C11*AV12,(VLOOKUP($C12,'S3 - Screening Tool Metrics'!$C$3:$G$19,5,FALSE)/100)*AV12)</f>
        <v>1174.0817674040752</v>
      </c>
      <c r="AZ12" s="84">
        <f>$AY12/$H12*100</f>
        <v>15.585845843675497</v>
      </c>
      <c r="BA12" s="87"/>
      <c r="BB12" s="88"/>
      <c r="BC12" s="864">
        <f>(1-BD12)*($I12/SUM($I12,$K12,$L12))</f>
        <v>0.68971785038185873</v>
      </c>
      <c r="BD12" s="89">
        <f>AY12/$H12</f>
        <v>0.15585845843675497</v>
      </c>
      <c r="BE12" s="89">
        <f>(1-BD12)*($K12/SUM($I12,$K12,$L12))</f>
        <v>1.5179058912513397E-2</v>
      </c>
      <c r="BF12" s="89">
        <f>(1-BD12)*($L12/SUM($I12,$K12,$L12))</f>
        <v>0.1392446322688729</v>
      </c>
      <c r="BG12" s="86">
        <f>(($H12*$BC12)*VLOOKUP($B12&amp;$BC$8&amp;BG$8,'App6 - Stage-Route-Surv Data'!$L$5:$N$52,3,FALSE))+(($H12*$BD12)*VLOOKUP($B12&amp;$BD$8&amp;BG$8,'App6 - Stage-Route-Surv Data'!$L$5:$N$52,3,FALSE))+(($H12*$BE12)*VLOOKUP($B12&amp;$BE$8&amp;BG$8,'App6 - Stage-Route-Surv Data'!$L$5:$N$52,3,FALSE))+(($H12*$BF12)*VLOOKUP($B12&amp;$BF$8&amp;BG$8,'App6 - Stage-Route-Surv Data'!$L$5:$N$52,3,FALSE))</f>
        <v>2905.545965957519</v>
      </c>
      <c r="BH12" s="86">
        <f>(($H12*$BC12)*VLOOKUP($B12&amp;$BC$8&amp;BH$8,'App6 - Stage-Route-Surv Data'!$L$5:$N$52,3,FALSE))+(($H12*$BD12)*VLOOKUP($B12&amp;$BD$8&amp;BH$8,'App6 - Stage-Route-Surv Data'!$L$5:$N$52,3,FALSE))+(($H12*$BE12)*VLOOKUP($B12&amp;$BE$8&amp;BH$8,'App6 - Stage-Route-Surv Data'!$L$5:$N$52,3,FALSE))+(($H12*$BF12)*VLOOKUP($B12&amp;$BF$8&amp;BH$8,'App6 - Stage-Route-Surv Data'!$L$5:$N$52,3,FALSE))</f>
        <v>3416.1992676213099</v>
      </c>
      <c r="BI12" s="86">
        <f>(($H12*$BC12)*VLOOKUP($B12&amp;$BC$8&amp;BI$8,'App6 - Stage-Route-Surv Data'!$L$5:$N$52,3,FALSE))+(($H12*$BD12)*VLOOKUP($B12&amp;$BD$8&amp;BI$8,'App6 - Stage-Route-Surv Data'!$L$5:$N$52,3,FALSE))+(($H12*$BE12)*VLOOKUP($B12&amp;$BE$8&amp;BI$8,'App6 - Stage-Route-Surv Data'!$L$5:$N$52,3,FALSE))+(($H12*$BF12)*VLOOKUP($B12&amp;$BF$8&amp;BI$8,'App6 - Stage-Route-Surv Data'!$L$5:$N$52,3,FALSE))</f>
        <v>785.98900220470478</v>
      </c>
      <c r="BJ12" s="86">
        <f>(($H12*$BC12)*VLOOKUP($B12&amp;$BC$8&amp;BJ$8,'App6 - Stage-Route-Surv Data'!$L$5:$N$52,3,FALSE))+(($H12*$BD12)*VLOOKUP($B12&amp;$BD$8&amp;BJ$8,'App6 - Stage-Route-Surv Data'!$L$5:$N$52,3,FALSE))+(($H12*$BE12)*VLOOKUP($B12&amp;$BE$8&amp;BJ$8,'App6 - Stage-Route-Surv Data'!$L$5:$N$52,3,FALSE))+(($H12*$BF12)*VLOOKUP($B12&amp;$BF$8&amp;BJ$8,'App6 - Stage-Route-Surv Data'!$L$5:$N$52,3,FALSE))</f>
        <v>425.62962899383001</v>
      </c>
      <c r="BK12" s="86">
        <f>BG12*VLOOKUP($B12&amp;$D12&amp;BK$8,'App6 - Stage-Route-Surv Data'!$S$5:$T$40,2,FALSE)</f>
        <v>2854.2128324580435</v>
      </c>
      <c r="BL12" s="86">
        <f>BH12*VLOOKUP($B12&amp;$D12&amp;BL$8,'App6 - Stage-Route-Surv Data'!$S$5:$T$40,2,FALSE)</f>
        <v>3195.6814246819017</v>
      </c>
      <c r="BM12" s="86">
        <f>BI12*VLOOKUP($B12&amp;$D12&amp;BM$8,'App6 - Stage-Route-Surv Data'!$S$5:$T$40,2,FALSE)</f>
        <v>653.68880339454017</v>
      </c>
      <c r="BN12" s="86">
        <f>BJ12*VLOOKUP($B12&amp;$D12&amp;BN$8,'App6 - Stage-Route-Surv Data'!$S$5:$T$40,2,FALSE)</f>
        <v>196.03476571010358</v>
      </c>
      <c r="BO12" s="86">
        <f>SUM(BK12:BN12)</f>
        <v>6899.6178262445892</v>
      </c>
      <c r="BP12" s="469">
        <f>BO12/H12</f>
        <v>0.91591899989971981</v>
      </c>
      <c r="BQ12" s="90">
        <f>BO12-U12</f>
        <v>61.053659882414649</v>
      </c>
      <c r="BR12" s="95">
        <f>(BO12/$H12)-($U12/$H12)</f>
        <v>8.1048267466368173E-3</v>
      </c>
    </row>
    <row r="13" spans="1:70" ht="17" thickBot="1" x14ac:dyDescent="0.25">
      <c r="A13" s="1305"/>
      <c r="B13" s="953" t="s">
        <v>10</v>
      </c>
      <c r="C13" s="965"/>
      <c r="D13" s="966"/>
      <c r="E13" s="966"/>
      <c r="F13" s="967"/>
      <c r="G13" s="968"/>
      <c r="H13" s="969"/>
      <c r="I13" s="970"/>
      <c r="J13" s="970"/>
      <c r="K13" s="970"/>
      <c r="L13" s="970"/>
      <c r="M13" s="971"/>
      <c r="N13" s="971"/>
      <c r="O13" s="971"/>
      <c r="P13" s="971"/>
      <c r="Q13" s="971"/>
      <c r="R13" s="971"/>
      <c r="S13" s="971"/>
      <c r="T13" s="971"/>
      <c r="U13" s="971"/>
      <c r="V13" s="972"/>
      <c r="W13" s="867"/>
      <c r="X13" s="868"/>
      <c r="Y13" s="868"/>
      <c r="Z13" s="868"/>
      <c r="AA13" s="868"/>
      <c r="AB13" s="869"/>
      <c r="AC13" s="867"/>
      <c r="AD13" s="869"/>
      <c r="AS13" s="39"/>
      <c r="AT13" s="39"/>
      <c r="AU13" s="868"/>
      <c r="AV13" s="868"/>
      <c r="AW13" s="868"/>
      <c r="AX13" s="868"/>
      <c r="AY13" s="868"/>
      <c r="AZ13" s="868"/>
      <c r="BA13" s="867"/>
      <c r="BB13" s="869"/>
      <c r="BC13" s="39"/>
      <c r="BD13" s="39"/>
      <c r="BE13" s="39"/>
      <c r="BF13" s="39"/>
      <c r="BG13" s="39"/>
      <c r="BH13" s="39"/>
      <c r="BI13" s="39"/>
      <c r="BJ13" s="39"/>
      <c r="BK13" s="39"/>
      <c r="BL13" s="39"/>
      <c r="BM13" s="39"/>
      <c r="BN13" s="39"/>
      <c r="BO13" s="39"/>
      <c r="BP13" s="470"/>
      <c r="BQ13" s="39"/>
      <c r="BR13" s="41"/>
    </row>
    <row r="14" spans="1:70" ht="15.5" hidden="1" customHeight="1" x14ac:dyDescent="0.2">
      <c r="A14" s="1305"/>
      <c r="B14" s="700" t="s">
        <v>10</v>
      </c>
      <c r="C14" s="720" t="s">
        <v>266</v>
      </c>
      <c r="D14" s="975" t="s">
        <v>194</v>
      </c>
      <c r="E14" s="980">
        <f>VLOOKUP($B14&amp;"_"&amp;$D14,'App5 - CRUK Inci Rates'!C:H,6,FALSE)</f>
        <v>75.7</v>
      </c>
      <c r="F14" s="981">
        <f>VLOOKUP($B14&amp;"_"&amp;$D14,'App5 - CRUK Inci Rates'!C:H,3,FALSE)</f>
        <v>0</v>
      </c>
      <c r="G14" s="992">
        <f>VLOOKUP($B14&amp;"_"&amp;$D14,'App5 - CRUK Inci Rates'!C:J,8,FALSE)</f>
        <v>2293472.6666666665</v>
      </c>
      <c r="H14" s="709">
        <f>VLOOKUP($B14&amp;"_"&amp;$D14,'App5 - CRUK Inci Rates'!C:K,9,FALSE)</f>
        <v>1737</v>
      </c>
      <c r="I14" s="935"/>
      <c r="J14" s="935"/>
      <c r="K14" s="935"/>
      <c r="L14" s="935"/>
      <c r="M14" s="935"/>
      <c r="N14" s="935"/>
      <c r="O14" s="935"/>
      <c r="P14" s="935"/>
      <c r="Q14" s="935"/>
      <c r="R14" s="935"/>
      <c r="S14" s="935"/>
      <c r="T14" s="935"/>
      <c r="U14" s="936"/>
      <c r="V14" s="937"/>
      <c r="W14" s="18">
        <f t="shared" ref="W14:W19" si="0">$G14*W$5</f>
        <v>458694.53333333333</v>
      </c>
      <c r="X14" s="14">
        <f>VLOOKUP("*"&amp;$B14&amp;"*",'S4 - Summ PRS Characteristics'!$C$5:$Q$12,12,FALSE)*$H14</f>
        <v>796.51244967533421</v>
      </c>
      <c r="Y14" s="14">
        <f t="shared" ref="Y14:Y19" si="1">$H14-X14</f>
        <v>940.48755032466579</v>
      </c>
      <c r="Z14" s="14">
        <f>IF($C14="other",(1-#REF!)*X14,(1-(VLOOKUP($C14,'S3 - Screening Tool Metrics'!$C$3:$G$19,5,FALSE)/100))*X14)</f>
        <v>87.616369464286748</v>
      </c>
      <c r="AA14" s="14">
        <f>IF($C14="other",#REF!*X14,(VLOOKUP($C14,'S3 - Screening Tool Metrics'!$C$3:$G$19,5,FALSE)/100)*X14)</f>
        <v>708.89608021104743</v>
      </c>
      <c r="AB14" s="19">
        <f t="shared" ref="AB14:AB19" si="2">$AA14/$H14*100</f>
        <v>40.811518722570376</v>
      </c>
      <c r="AC14" s="18"/>
      <c r="AD14" s="19"/>
      <c r="AS14" s="80"/>
      <c r="AT14" s="94"/>
      <c r="AU14" s="18">
        <f t="shared" ref="AU14:AU19" si="3">$G14*AU$5</f>
        <v>229347.26666666666</v>
      </c>
      <c r="AV14" s="14">
        <f>VLOOKUP("*"&amp;$B14&amp;"*",'S4 - Summ PRS Characteristics'!$C$5:$Q$12,13,FALSE)*$H14</f>
        <v>509.32345424426677</v>
      </c>
      <c r="AW14" s="14">
        <f t="shared" ref="AW14:AW19" si="4">$H14-AV14</f>
        <v>1227.6765457557333</v>
      </c>
      <c r="AX14" s="14">
        <f>IF($C14="other",(1-$C13)*AV14,(1-(VLOOKUP($C14,'S3 - Screening Tool Metrics'!$C$3:$G$19,5,FALSE)/100))*AV14)</f>
        <v>56.025579966869337</v>
      </c>
      <c r="AY14" s="14">
        <f>IF($C14="other",$C13*AV14,(VLOOKUP($C14,'S3 - Screening Tool Metrics'!$C$3:$G$19,5,FALSE)/100)*AV14)</f>
        <v>453.29787427739745</v>
      </c>
      <c r="AZ14" s="14">
        <f t="shared" ref="AZ14:AZ19" si="5">$AY14/$H14*100</f>
        <v>26.096596101174292</v>
      </c>
      <c r="BA14" s="18"/>
      <c r="BB14" s="19"/>
      <c r="BC14" s="80"/>
      <c r="BD14" s="80"/>
      <c r="BE14" s="80"/>
      <c r="BF14" s="80"/>
      <c r="BG14" s="80"/>
      <c r="BH14" s="80"/>
      <c r="BI14" s="80"/>
      <c r="BJ14" s="80"/>
      <c r="BK14" s="80"/>
      <c r="BL14" s="80"/>
      <c r="BM14" s="80"/>
      <c r="BN14" s="80"/>
      <c r="BO14" s="80"/>
      <c r="BP14" s="468"/>
      <c r="BQ14" s="80"/>
      <c r="BR14" s="94"/>
    </row>
    <row r="15" spans="1:70" ht="15.5" hidden="1" customHeight="1" x14ac:dyDescent="0.2">
      <c r="A15" s="1305"/>
      <c r="B15" s="700" t="s">
        <v>10</v>
      </c>
      <c r="C15" s="721" t="str">
        <f>C14</f>
        <v>mpMRI</v>
      </c>
      <c r="D15" s="975" t="s">
        <v>195</v>
      </c>
      <c r="E15" s="980">
        <f>VLOOKUP($B15&amp;"_"&amp;$D15,'App5 - CRUK Inci Rates'!C:H,6,FALSE)</f>
        <v>201.8</v>
      </c>
      <c r="F15" s="981">
        <f>VLOOKUP($B15&amp;"_"&amp;$D15,'App5 - CRUK Inci Rates'!C:H,3,FALSE)</f>
        <v>0</v>
      </c>
      <c r="G15" s="992">
        <f>VLOOKUP($B15&amp;"_"&amp;$D15,'App5 - CRUK Inci Rates'!C:J,8,FALSE)</f>
        <v>2061918.6666666667</v>
      </c>
      <c r="H15" s="709">
        <f>VLOOKUP($B15&amp;"_"&amp;$D15,'App5 - CRUK Inci Rates'!C:K,9,FALSE)</f>
        <v>4160</v>
      </c>
      <c r="I15" s="935"/>
      <c r="J15" s="935"/>
      <c r="K15" s="935"/>
      <c r="L15" s="935"/>
      <c r="M15" s="935"/>
      <c r="N15" s="935"/>
      <c r="O15" s="935"/>
      <c r="P15" s="935"/>
      <c r="Q15" s="935"/>
      <c r="R15" s="935"/>
      <c r="S15" s="935"/>
      <c r="T15" s="935"/>
      <c r="U15" s="936"/>
      <c r="V15" s="937"/>
      <c r="W15" s="18">
        <f t="shared" si="0"/>
        <v>412383.7333333334</v>
      </c>
      <c r="X15" s="14">
        <f>VLOOKUP("*"&amp;$B15&amp;"*",'S4 - Summ PRS Characteristics'!$C$5:$Q$12,12,FALSE)*$H15</f>
        <v>1907.5945829875593</v>
      </c>
      <c r="Y15" s="14">
        <f t="shared" si="1"/>
        <v>2252.4054170124409</v>
      </c>
      <c r="Z15" s="14">
        <f>IF($C15="other",(1-#REF!)*X15,(1-(VLOOKUP($C15,'S3 - Screening Tool Metrics'!$C$3:$G$19,5,FALSE)/100))*X15)</f>
        <v>209.8354041286315</v>
      </c>
      <c r="AA15" s="14">
        <f>IF($C15="other",#REF!*X15,(VLOOKUP($C15,'S3 - Screening Tool Metrics'!$C$3:$G$19,5,FALSE)/100)*X15)</f>
        <v>1697.7591788589277</v>
      </c>
      <c r="AB15" s="19">
        <f t="shared" si="2"/>
        <v>40.811518722570376</v>
      </c>
      <c r="AC15" s="18"/>
      <c r="AD15" s="19"/>
      <c r="AS15" s="80"/>
      <c r="AT15" s="94"/>
      <c r="AU15" s="18">
        <f t="shared" si="3"/>
        <v>206191.8666666667</v>
      </c>
      <c r="AV15" s="14">
        <f>VLOOKUP("*"&amp;$B15&amp;"*",'S4 - Summ PRS Characteristics'!$C$5:$Q$12,13,FALSE)*$H15</f>
        <v>1219.795952594214</v>
      </c>
      <c r="AW15" s="14">
        <f t="shared" si="4"/>
        <v>2940.2040474057858</v>
      </c>
      <c r="AX15" s="14">
        <f>IF($C15="other",(1-$C13)*AV15,(1-(VLOOKUP($C15,'S3 - Screening Tool Metrics'!$C$3:$G$19,5,FALSE)/100))*AV15)</f>
        <v>134.17755478536353</v>
      </c>
      <c r="AY15" s="14">
        <f>IF($C15="other",$C14*AV15,(VLOOKUP($C15,'S3 - Screening Tool Metrics'!$C$3:$G$19,5,FALSE)/100)*AV15)</f>
        <v>1085.6183978088504</v>
      </c>
      <c r="AZ15" s="14">
        <f t="shared" si="5"/>
        <v>26.096596101174292</v>
      </c>
      <c r="BA15" s="18"/>
      <c r="BB15" s="19"/>
      <c r="BC15" s="80"/>
      <c r="BD15" s="80"/>
      <c r="BE15" s="80"/>
      <c r="BF15" s="80"/>
      <c r="BG15" s="80"/>
      <c r="BH15" s="80"/>
      <c r="BI15" s="80"/>
      <c r="BJ15" s="80"/>
      <c r="BK15" s="80"/>
      <c r="BL15" s="80"/>
      <c r="BM15" s="80"/>
      <c r="BN15" s="80"/>
      <c r="BO15" s="80"/>
      <c r="BP15" s="468"/>
      <c r="BQ15" s="80"/>
      <c r="BR15" s="94"/>
    </row>
    <row r="16" spans="1:70" ht="17" thickBot="1" x14ac:dyDescent="0.25">
      <c r="A16" s="1305"/>
      <c r="B16" s="700" t="s">
        <v>10</v>
      </c>
      <c r="C16" s="1005" t="str">
        <f>C14</f>
        <v>mpMRI</v>
      </c>
      <c r="D16" s="976" t="s">
        <v>230</v>
      </c>
      <c r="E16" s="982">
        <f>VLOOKUP($B16&amp;"_"&amp;$D16,'App5 - CRUK Inci Rates'!C:H,6,FALSE)</f>
        <v>135.39541108208113</v>
      </c>
      <c r="F16" s="983">
        <f>VLOOKUP($B16&amp;"_"&amp;$D16,'App5 - CRUK Inci Rates'!C:H,3,FALSE)</f>
        <v>0</v>
      </c>
      <c r="G16" s="993">
        <f>VLOOKUP($B16&amp;"_"&amp;$D16,'App5 - CRUK Inci Rates'!C:J,8,FALSE)</f>
        <v>4355391.333333333</v>
      </c>
      <c r="H16" s="944">
        <f>VLOOKUP($B16&amp;"_"&amp;$D16,'App5 - CRUK Inci Rates'!C:K,9,FALSE)</f>
        <v>5897</v>
      </c>
      <c r="I16" s="945">
        <f>VLOOKUP($B16&amp;I$8&amp;$D16,'App6 - Stage-Route-Surv Data'!$E$5:$G$76,3,FALSE)</f>
        <v>0.59247594050743657</v>
      </c>
      <c r="J16" s="945">
        <f>VLOOKUP($B16&amp;J$8&amp;$D16,'App6 - Stage-Route-Surv Data'!$E$5:$G$76,3,FALSE)</f>
        <v>0</v>
      </c>
      <c r="K16" s="945">
        <f>VLOOKUP($B16&amp;K$8&amp;$D16,'App6 - Stage-Route-Surv Data'!$E$5:$G$76,3,FALSE)</f>
        <v>2.5721784776902887E-2</v>
      </c>
      <c r="L16" s="945">
        <f>VLOOKUP($B16&amp;L$8&amp;$D16,'App6 - Stage-Route-Surv Data'!$E$5:$G$76,3,FALSE)</f>
        <v>0.38180227471566053</v>
      </c>
      <c r="M16" s="946">
        <f>(($H16*$I16)*VLOOKUP($B16&amp;$I$8&amp;M$8,'App6 - Stage-Route-Surv Data'!$L$5:$N$52,3,FALSE))+(($H16*$J16)*VLOOKUP($B16&amp;$J$8&amp;M$8,'App6 - Stage-Route-Surv Data'!$L$5:$N$52,3,FALSE))+(($H16*$K16)*VLOOKUP($B16&amp;$K$8&amp;M$8,'App6 - Stage-Route-Surv Data'!$L$5:$N$52,3,FALSE))+(($H16*$L16)*VLOOKUP($B16&amp;$L$8&amp;M$8,'App6 - Stage-Route-Surv Data'!$L$5:$N$52,3,FALSE))</f>
        <v>2384.5650832956467</v>
      </c>
      <c r="N16" s="946">
        <f>(($H16*$I16)*VLOOKUP($B16&amp;$I$8&amp;N$8,'App6 - Stage-Route-Surv Data'!$L$5:$N$52,3,FALSE))+(($H16*$J16)*VLOOKUP($B16&amp;$J$8&amp;N$8,'App6 - Stage-Route-Surv Data'!$L$5:$N$52,3,FALSE))+(($H16*$K16)*VLOOKUP($B16&amp;$K$8&amp;N$8,'App6 - Stage-Route-Surv Data'!$L$5:$N$52,3,FALSE))+(($H16*$L16)*VLOOKUP($B16&amp;$L$8&amp;N$8,'App6 - Stage-Route-Surv Data'!$L$5:$N$52,3,FALSE))</f>
        <v>910.55055948256927</v>
      </c>
      <c r="O16" s="946">
        <f>(($H16*$I16)*VLOOKUP($B16&amp;$I$8&amp;O$8,'App6 - Stage-Route-Surv Data'!$L$5:$N$52,3,FALSE))+(($H16*$J16)*VLOOKUP($B16&amp;$J$8&amp;O$8,'App6 - Stage-Route-Surv Data'!$L$5:$N$52,3,FALSE))+(($H16*$K16)*VLOOKUP($B16&amp;$K$8&amp;O$8,'App6 - Stage-Route-Surv Data'!$L$5:$N$52,3,FALSE))+(($H16*$L16)*VLOOKUP($B16&amp;$L$8&amp;O$8,'App6 - Stage-Route-Surv Data'!$L$5:$N$52,3,FALSE))</f>
        <v>1579.7620982099547</v>
      </c>
      <c r="P16" s="946">
        <f>(($H16*$I16)*VLOOKUP($B16&amp;$I$8&amp;P$8,'App6 - Stage-Route-Surv Data'!$L$5:$N$52,3,FALSE))+(($H16*$J16)*VLOOKUP($B16&amp;$J$8&amp;P$8,'App6 - Stage-Route-Surv Data'!$L$5:$N$52,3,FALSE))+(($H16*$K16)*VLOOKUP($B16&amp;$K$8&amp;P$8,'App6 - Stage-Route-Surv Data'!$L$5:$N$52,3,FALSE))+(($H16*$L16)*VLOOKUP($B16&amp;$L$8&amp;P$8,'App6 - Stage-Route-Surv Data'!$L$5:$N$52,3,FALSE))</f>
        <v>1022.1222590118294</v>
      </c>
      <c r="Q16" s="946">
        <f>M16*VLOOKUP($B16&amp;$D16&amp;Q$8,'App6 - Stage-Route-Surv Data'!$S$5:$T$40,2,FALSE)</f>
        <v>2384.5650832956467</v>
      </c>
      <c r="R16" s="946">
        <f>N16*VLOOKUP($B16&amp;$D16&amp;R$8,'App6 - Stage-Route-Surv Data'!$S$5:$T$40,2,FALSE)</f>
        <v>910.55055948256927</v>
      </c>
      <c r="S16" s="946">
        <f>O16*VLOOKUP($B16&amp;$D16&amp;S$8,'App6 - Stage-Route-Surv Data'!$S$5:$T$40,2,FALSE)</f>
        <v>1548.1668562457555</v>
      </c>
      <c r="T16" s="946">
        <f>P16*VLOOKUP($B16&amp;$D16&amp;T$8,'App6 - Stage-Route-Surv Data'!$S$5:$T$40,2,FALSE)</f>
        <v>541.72479727626967</v>
      </c>
      <c r="U16" s="944">
        <f>SUM(Q16:T16)</f>
        <v>5385.0072963002413</v>
      </c>
      <c r="V16" s="947">
        <f>U16/H16</f>
        <v>0.91317742857389206</v>
      </c>
      <c r="W16" s="87">
        <f t="shared" si="0"/>
        <v>871078.2666666666</v>
      </c>
      <c r="X16" s="84">
        <f>VLOOKUP("*"&amp;$B16&amp;"*",'S4 - Summ PRS Characteristics'!$C$5:$Q$12,12,FALSE)*$H16</f>
        <v>2704.1070326628937</v>
      </c>
      <c r="Y16" s="84">
        <f t="shared" si="1"/>
        <v>3192.8929673371063</v>
      </c>
      <c r="Z16" s="84">
        <f>IF($C16="other",(1-#REF!)*X16,(1-(VLOOKUP($C16,'S3 - Screening Tool Metrics'!$C$3:$G$19,5,FALSE)/100))*X16)</f>
        <v>297.4517735929183</v>
      </c>
      <c r="AA16" s="84">
        <f>IF($C16="other",#REF!*X16,(VLOOKUP($C16,'S3 - Screening Tool Metrics'!$C$3:$G$19,5,FALSE)/100)*X16)</f>
        <v>2406.6552590699753</v>
      </c>
      <c r="AB16" s="88">
        <f t="shared" si="2"/>
        <v>40.811518722570376</v>
      </c>
      <c r="AC16" s="87"/>
      <c r="AD16" s="88"/>
      <c r="AS16" s="90">
        <f>U38-U16</f>
        <v>162.08072779822123</v>
      </c>
      <c r="AT16" s="95">
        <f>(U38/$H16)-($U16/$H16)</f>
        <v>2.748528536513839E-2</v>
      </c>
      <c r="AU16" s="87">
        <f t="shared" si="3"/>
        <v>435539.1333333333</v>
      </c>
      <c r="AV16" s="84">
        <f>VLOOKUP("*"&amp;$B16&amp;"*",'S4 - Summ PRS Characteristics'!$C$5:$Q$12,13,FALSE)*$H16</f>
        <v>1729.1194068384809</v>
      </c>
      <c r="AW16" s="84">
        <f t="shared" si="4"/>
        <v>4167.8805931615188</v>
      </c>
      <c r="AX16" s="84">
        <f>IF($C16="other",(1-$C13)*AV16,(1-(VLOOKUP($C16,'S3 - Screening Tool Metrics'!$C$3:$G$19,5,FALSE)/100))*AV16)</f>
        <v>190.20313475223287</v>
      </c>
      <c r="AY16" s="84">
        <f>IF($C16="other",$C15*AV16,(VLOOKUP($C16,'S3 - Screening Tool Metrics'!$C$3:$G$19,5,FALSE)/100)*AV16)</f>
        <v>1538.916272086248</v>
      </c>
      <c r="AZ16" s="84">
        <f t="shared" si="5"/>
        <v>26.096596101174292</v>
      </c>
      <c r="BA16" s="87"/>
      <c r="BB16" s="88"/>
      <c r="BC16" s="864">
        <f>(1-BD16)*($I16/SUM($I16,$K16,$L16))</f>
        <v>0.43785988731657716</v>
      </c>
      <c r="BD16" s="89">
        <f>AY16/$H16</f>
        <v>0.26096596101174291</v>
      </c>
      <c r="BE16" s="89">
        <f>(1-BD16)*($K16/SUM($I16,$K16,$L16))</f>
        <v>1.9009274493661205E-2</v>
      </c>
      <c r="BF16" s="89">
        <f>(1-BD16)*($L16/SUM($I16,$K16,$L16))</f>
        <v>0.28216487717801869</v>
      </c>
      <c r="BG16" s="86">
        <f>(($H16*$BC16)*VLOOKUP($B16&amp;$BC$8&amp;BG$8,'App6 - Stage-Route-Surv Data'!$L$5:$N$52,3,FALSE))+(($H16*$BD16)*VLOOKUP($B16&amp;$BD$8&amp;BG$8,'App6 - Stage-Route-Surv Data'!$L$5:$N$52,3,FALSE))+(($H16*$BE16)*VLOOKUP($B16&amp;$BE$8&amp;BG$8,'App6 - Stage-Route-Surv Data'!$L$5:$N$52,3,FALSE))+(($H16*$BF16)*VLOOKUP($B16&amp;$BF$8&amp;BG$8,'App6 - Stage-Route-Surv Data'!$L$5:$N$52,3,FALSE))</f>
        <v>2676.91368116697</v>
      </c>
      <c r="BH16" s="86">
        <f>(($H16*$BC16)*VLOOKUP($B16&amp;$BC$8&amp;BH$8,'App6 - Stage-Route-Surv Data'!$L$5:$N$52,3,FALSE))+(($H16*$BD16)*VLOOKUP($B16&amp;$BD$8&amp;BH$8,'App6 - Stage-Route-Surv Data'!$L$5:$N$52,3,FALSE))+(($H16*$BE16)*VLOOKUP($B16&amp;$BE$8&amp;BH$8,'App6 - Stage-Route-Surv Data'!$L$5:$N$52,3,FALSE))+(($H16*$BF16)*VLOOKUP($B16&amp;$BF$8&amp;BH$8,'App6 - Stage-Route-Surv Data'!$L$5:$N$52,3,FALSE))</f>
        <v>1111.5413307266758</v>
      </c>
      <c r="BI16" s="86">
        <f>(($H16*$BC16)*VLOOKUP($B16&amp;$BC$8&amp;BI$8,'App6 - Stage-Route-Surv Data'!$L$5:$N$52,3,FALSE))+(($H16*$BD16)*VLOOKUP($B16&amp;$BD$8&amp;BI$8,'App6 - Stage-Route-Surv Data'!$L$5:$N$52,3,FALSE))+(($H16*$BE16)*VLOOKUP($B16&amp;$BE$8&amp;BI$8,'App6 - Stage-Route-Surv Data'!$L$5:$N$52,3,FALSE))+(($H16*$BF16)*VLOOKUP($B16&amp;$BF$8&amp;BI$8,'App6 - Stage-Route-Surv Data'!$L$5:$N$52,3,FALSE))</f>
        <v>1294.8103407264084</v>
      </c>
      <c r="BJ16" s="86">
        <f>(($H16*$BC16)*VLOOKUP($B16&amp;$BC$8&amp;BJ$8,'App6 - Stage-Route-Surv Data'!$L$5:$N$52,3,FALSE))+(($H16*$BD16)*VLOOKUP($B16&amp;$BD$8&amp;BJ$8,'App6 - Stage-Route-Surv Data'!$L$5:$N$52,3,FALSE))+(($H16*$BE16)*VLOOKUP($B16&amp;$BE$8&amp;BJ$8,'App6 - Stage-Route-Surv Data'!$L$5:$N$52,3,FALSE))+(($H16*$BF16)*VLOOKUP($B16&amp;$BF$8&amp;BJ$8,'App6 - Stage-Route-Surv Data'!$L$5:$N$52,3,FALSE))</f>
        <v>813.7346473799455</v>
      </c>
      <c r="BK16" s="86">
        <f>BG16*VLOOKUP($B16&amp;$D16&amp;BK$8,'App6 - Stage-Route-Surv Data'!$S$5:$T$40,2,FALSE)</f>
        <v>2676.91368116697</v>
      </c>
      <c r="BL16" s="86">
        <f>BH16*VLOOKUP($B16&amp;$D16&amp;BL$8,'App6 - Stage-Route-Surv Data'!$S$5:$T$40,2,FALSE)</f>
        <v>1111.5413307266758</v>
      </c>
      <c r="BM16" s="86">
        <f>BI16*VLOOKUP($B16&amp;$D16&amp;BM$8,'App6 - Stage-Route-Surv Data'!$S$5:$T$40,2,FALSE)</f>
        <v>1268.9141339118803</v>
      </c>
      <c r="BN16" s="86">
        <f>BJ16*VLOOKUP($B16&amp;$D16&amp;BN$8,'App6 - Stage-Route-Surv Data'!$S$5:$T$40,2,FALSE)</f>
        <v>431.27936311137114</v>
      </c>
      <c r="BO16" s="86">
        <f>SUM(BK16:BN16)</f>
        <v>5488.6485089168973</v>
      </c>
      <c r="BP16" s="469">
        <f>BO16/H16</f>
        <v>0.9307526723616919</v>
      </c>
      <c r="BQ16" s="90">
        <f>BO16-U16</f>
        <v>103.64121261665605</v>
      </c>
      <c r="BR16" s="95">
        <f>(BO16/$H16)-($U16/$H16)</f>
        <v>1.7575243787799844E-2</v>
      </c>
    </row>
    <row r="17" spans="1:70" ht="16" hidden="1" customHeight="1" thickBot="1" x14ac:dyDescent="0.25">
      <c r="A17" s="1305"/>
      <c r="B17" s="700" t="s">
        <v>10</v>
      </c>
      <c r="C17" s="721" t="str">
        <f>C14</f>
        <v>mpMRI</v>
      </c>
      <c r="D17" s="975" t="s">
        <v>196</v>
      </c>
      <c r="E17" s="984">
        <f>VLOOKUP($B17&amp;"_"&amp;$D17,'App5 - CRUK Inci Rates'!C:H,6,FALSE)</f>
        <v>356.1</v>
      </c>
      <c r="F17" s="981">
        <f>VLOOKUP($B17&amp;"_"&amp;$D17,'App5 - CRUK Inci Rates'!C:H,3,FALSE)</f>
        <v>0</v>
      </c>
      <c r="G17" s="992">
        <f>VLOOKUP($B17&amp;"_"&amp;$D17,'App5 - CRUK Inci Rates'!C:J,8,FALSE)</f>
        <v>1764828</v>
      </c>
      <c r="H17" s="709">
        <f>VLOOKUP($B17&amp;"_"&amp;$D17,'App5 - CRUK Inci Rates'!C:K,9,FALSE)</f>
        <v>6285</v>
      </c>
      <c r="I17" s="935"/>
      <c r="J17" s="935"/>
      <c r="K17" s="935"/>
      <c r="L17" s="935"/>
      <c r="M17" s="935"/>
      <c r="N17" s="935"/>
      <c r="O17" s="935"/>
      <c r="P17" s="935"/>
      <c r="Q17" s="935"/>
      <c r="R17" s="935"/>
      <c r="S17" s="935"/>
      <c r="T17" s="935"/>
      <c r="U17" s="936"/>
      <c r="V17" s="937"/>
      <c r="W17" s="18">
        <f t="shared" si="0"/>
        <v>352965.60000000003</v>
      </c>
      <c r="X17" s="14">
        <f>VLOOKUP("*"&amp;$B17&amp;"*",'S4 - Summ PRS Characteristics'!$C$5:$Q$12,12,FALSE)*$H17</f>
        <v>2882.0269120376947</v>
      </c>
      <c r="Y17" s="14">
        <f t="shared" si="1"/>
        <v>3402.9730879623053</v>
      </c>
      <c r="Z17" s="14">
        <f>IF($C17="other",(1-#REF!)*X17,(1-(VLOOKUP($C17,'S3 - Screening Tool Metrics'!$C$3:$G$19,5,FALSE)/100))*X17)</f>
        <v>317.02296032414637</v>
      </c>
      <c r="AA17" s="14">
        <f>IF($C17="other",#REF!*X17,(VLOOKUP($C17,'S3 - Screening Tool Metrics'!$C$3:$G$19,5,FALSE)/100)*X17)</f>
        <v>2565.0039517135483</v>
      </c>
      <c r="AB17" s="19">
        <f t="shared" si="2"/>
        <v>40.811518722570376</v>
      </c>
      <c r="AC17" s="18"/>
      <c r="AD17" s="19"/>
      <c r="AS17" s="80"/>
      <c r="AT17" s="94"/>
      <c r="AU17" s="18">
        <f t="shared" si="3"/>
        <v>176482.80000000002</v>
      </c>
      <c r="AV17" s="14">
        <f>VLOOKUP("*"&amp;$B17&amp;"*",'S4 - Summ PRS Characteristics'!$C$5:$Q$12,13,FALSE)*$H17</f>
        <v>1842.8888370323643</v>
      </c>
      <c r="AW17" s="14">
        <f t="shared" si="4"/>
        <v>4442.1111629676361</v>
      </c>
      <c r="AX17" s="14">
        <f>IF($C17="other",(1-$C13)*AV17,(1-(VLOOKUP($C17,'S3 - Screening Tool Metrics'!$C$3:$G$19,5,FALSE)/100))*AV17)</f>
        <v>202.71777207356004</v>
      </c>
      <c r="AY17" s="14">
        <f>IF($C17="other",$C16*AV17,(VLOOKUP($C17,'S3 - Screening Tool Metrics'!$C$3:$G$19,5,FALSE)/100)*AV17)</f>
        <v>1640.1710649588042</v>
      </c>
      <c r="AZ17" s="14">
        <f t="shared" si="5"/>
        <v>26.096596101174292</v>
      </c>
      <c r="BA17" s="18"/>
      <c r="BB17" s="19"/>
      <c r="BC17" s="80"/>
      <c r="BD17" s="80"/>
      <c r="BE17" s="80"/>
      <c r="BF17" s="80"/>
      <c r="BG17" s="80"/>
      <c r="BH17" s="80"/>
      <c r="BI17" s="80"/>
      <c r="BJ17" s="80"/>
      <c r="BK17" s="80"/>
      <c r="BL17" s="80"/>
      <c r="BM17" s="80"/>
      <c r="BN17" s="80"/>
      <c r="BO17" s="80"/>
      <c r="BP17" s="468"/>
      <c r="BQ17" s="80"/>
      <c r="BR17" s="94"/>
    </row>
    <row r="18" spans="1:70" ht="15.5" hidden="1" customHeight="1" x14ac:dyDescent="0.2">
      <c r="A18" s="1305"/>
      <c r="B18" s="700" t="s">
        <v>10</v>
      </c>
      <c r="C18" s="721" t="str">
        <f>C14</f>
        <v>mpMRI</v>
      </c>
      <c r="D18" s="975" t="s">
        <v>197</v>
      </c>
      <c r="E18" s="985">
        <f>VLOOKUP($B18&amp;"_"&amp;$D18,'App5 - CRUK Inci Rates'!C:H,6,FALSE)</f>
        <v>622.70000000000005</v>
      </c>
      <c r="F18" s="981">
        <f>VLOOKUP($B18&amp;"_"&amp;$D18,'App5 - CRUK Inci Rates'!C:H,3,FALSE)</f>
        <v>0</v>
      </c>
      <c r="G18" s="992">
        <f>VLOOKUP($B18&amp;"_"&amp;$D18,'App5 - CRUK Inci Rates'!C:J,8,FALSE)</f>
        <v>1696993.3333333333</v>
      </c>
      <c r="H18" s="709">
        <f>VLOOKUP($B18&amp;"_"&amp;$D18,'App5 - CRUK Inci Rates'!C:K,9,FALSE)</f>
        <v>10568</v>
      </c>
      <c r="I18" s="935"/>
      <c r="J18" s="935"/>
      <c r="K18" s="935"/>
      <c r="L18" s="935"/>
      <c r="M18" s="935"/>
      <c r="N18" s="935"/>
      <c r="O18" s="935"/>
      <c r="P18" s="935"/>
      <c r="Q18" s="935"/>
      <c r="R18" s="935"/>
      <c r="S18" s="935"/>
      <c r="T18" s="935"/>
      <c r="U18" s="936"/>
      <c r="V18" s="937"/>
      <c r="W18" s="18">
        <f t="shared" si="0"/>
        <v>339398.66666666669</v>
      </c>
      <c r="X18" s="14">
        <f>VLOOKUP("*"&amp;$B18&amp;"*",'S4 - Summ PRS Characteristics'!$C$5:$Q$12,12,FALSE)*$H18</f>
        <v>4846.0239310126262</v>
      </c>
      <c r="Y18" s="14">
        <f t="shared" si="1"/>
        <v>5721.9760689873738</v>
      </c>
      <c r="Z18" s="14">
        <f>IF($C18="other",(1-#REF!)*X18,(1-(VLOOKUP($C18,'S3 - Screening Tool Metrics'!$C$3:$G$19,5,FALSE)/100))*X18)</f>
        <v>533.06263241138879</v>
      </c>
      <c r="AA18" s="14">
        <f>IF($C18="other",#REF!*X18,(VLOOKUP($C18,'S3 - Screening Tool Metrics'!$C$3:$G$19,5,FALSE)/100)*X18)</f>
        <v>4312.9612986012371</v>
      </c>
      <c r="AB18" s="19">
        <f t="shared" si="2"/>
        <v>40.811518722570369</v>
      </c>
      <c r="AC18" s="18"/>
      <c r="AD18" s="19"/>
      <c r="AS18" s="80"/>
      <c r="AT18" s="94"/>
      <c r="AU18" s="18">
        <f t="shared" si="3"/>
        <v>169699.33333333334</v>
      </c>
      <c r="AV18" s="14">
        <f>VLOOKUP("*"&amp;$B18&amp;"*",'S4 - Summ PRS Characteristics'!$C$5:$Q$12,13,FALSE)*$H18</f>
        <v>3098.7508718787631</v>
      </c>
      <c r="AW18" s="14">
        <f t="shared" si="4"/>
        <v>7469.2491281212369</v>
      </c>
      <c r="AX18" s="14">
        <f>IF($C18="other",(1-$C13)*AV18,(1-(VLOOKUP($C18,'S3 - Screening Tool Metrics'!$C$3:$G$19,5,FALSE)/100))*AV18)</f>
        <v>340.8625959066639</v>
      </c>
      <c r="AY18" s="14">
        <f>IF($C18="other",$C17*AV18,(VLOOKUP($C18,'S3 - Screening Tool Metrics'!$C$3:$G$19,5,FALSE)/100)*AV18)</f>
        <v>2757.8882759720991</v>
      </c>
      <c r="AZ18" s="14">
        <f t="shared" si="5"/>
        <v>26.096596101174292</v>
      </c>
      <c r="BA18" s="18"/>
      <c r="BB18" s="19"/>
      <c r="BC18" s="80"/>
      <c r="BD18" s="80"/>
      <c r="BE18" s="80"/>
      <c r="BF18" s="80"/>
      <c r="BG18" s="80"/>
      <c r="BH18" s="80"/>
      <c r="BI18" s="80"/>
      <c r="BJ18" s="80"/>
      <c r="BK18" s="80"/>
      <c r="BL18" s="80"/>
      <c r="BM18" s="80"/>
      <c r="BN18" s="80"/>
      <c r="BO18" s="80"/>
      <c r="BP18" s="468"/>
      <c r="BQ18" s="80"/>
      <c r="BR18" s="94"/>
    </row>
    <row r="19" spans="1:70" ht="17" thickBot="1" x14ac:dyDescent="0.25">
      <c r="A19" s="1305"/>
      <c r="B19" s="961" t="s">
        <v>10</v>
      </c>
      <c r="C19" s="1004" t="str">
        <f>$C15</f>
        <v>mpMRI</v>
      </c>
      <c r="D19" s="976" t="s">
        <v>239</v>
      </c>
      <c r="E19" s="982">
        <f>VLOOKUP($B19&amp;"_"&amp;$D19,'App5 - CRUK Inci Rates'!C:H,6,FALSE)</f>
        <v>486.82466185429951</v>
      </c>
      <c r="F19" s="983">
        <f>VLOOKUP($B19&amp;"_"&amp;$D19,'App5 - CRUK Inci Rates'!C:H,3,FALSE)</f>
        <v>0</v>
      </c>
      <c r="G19" s="993">
        <f>VLOOKUP($B19&amp;"_"&amp;$D19,'App5 - CRUK Inci Rates'!C:J,8,FALSE)</f>
        <v>3461821.333333333</v>
      </c>
      <c r="H19" s="944">
        <f>VLOOKUP($B19&amp;"_"&amp;$D19,'App5 - CRUK Inci Rates'!C:K,9,FALSE)</f>
        <v>16853</v>
      </c>
      <c r="I19" s="945">
        <f>VLOOKUP($B19&amp;I$8&amp;$D19,'App6 - Stage-Route-Surv Data'!$E$5:$G$76,3,FALSE)</f>
        <v>0.6049957385432374</v>
      </c>
      <c r="J19" s="945">
        <f>VLOOKUP($B19&amp;J$8&amp;$D19,'App6 - Stage-Route-Surv Data'!$E$5:$G$76,3,FALSE)</f>
        <v>0</v>
      </c>
      <c r="K19" s="945">
        <f>VLOOKUP($B19&amp;K$8&amp;$D19,'App6 - Stage-Route-Surv Data'!$E$5:$G$76,3,FALSE)</f>
        <v>3.1141414803645184E-2</v>
      </c>
      <c r="L19" s="945">
        <f>VLOOKUP($B19&amp;L$8&amp;$D19,'App6 - Stage-Route-Surv Data'!$E$5:$G$76,3,FALSE)</f>
        <v>0.36386284665311741</v>
      </c>
      <c r="M19" s="946">
        <f>(($H19*$I19)*VLOOKUP($B19&amp;$I$8&amp;M$8,'App6 - Stage-Route-Surv Data'!$L$5:$N$52,3,FALSE))+(($H19*$J19)*VLOOKUP($B19&amp;$J$8&amp;M$8,'App6 - Stage-Route-Surv Data'!$L$5:$N$52,3,FALSE))+(($H19*$K19)*VLOOKUP($B19&amp;$K$8&amp;M$8,'App6 - Stage-Route-Surv Data'!$L$5:$N$52,3,FALSE))+(($H19*$L19)*VLOOKUP($B19&amp;$L$8&amp;M$8,'App6 - Stage-Route-Surv Data'!$L$5:$N$52,3,FALSE))</f>
        <v>6756.8901734408828</v>
      </c>
      <c r="N19" s="946">
        <f>(($H19*$I19)*VLOOKUP($B19&amp;$I$8&amp;N$8,'App6 - Stage-Route-Surv Data'!$L$5:$N$52,3,FALSE))+(($H19*$J19)*VLOOKUP($B19&amp;$J$8&amp;N$8,'App6 - Stage-Route-Surv Data'!$L$5:$N$52,3,FALSE))+(($H19*$K19)*VLOOKUP($B19&amp;$K$8&amp;N$8,'App6 - Stage-Route-Surv Data'!$L$5:$N$52,3,FALSE))+(($H19*$L19)*VLOOKUP($B19&amp;$L$8&amp;N$8,'App6 - Stage-Route-Surv Data'!$L$5:$N$52,3,FALSE))</f>
        <v>2587.4263745897233</v>
      </c>
      <c r="O19" s="946">
        <f>(($H19*$I19)*VLOOKUP($B19&amp;$I$8&amp;O$8,'App6 - Stage-Route-Surv Data'!$L$5:$N$52,3,FALSE))+(($H19*$J19)*VLOOKUP($B19&amp;$J$8&amp;O$8,'App6 - Stage-Route-Surv Data'!$L$5:$N$52,3,FALSE))+(($H19*$K19)*VLOOKUP($B19&amp;$K$8&amp;O$8,'App6 - Stage-Route-Surv Data'!$L$5:$N$52,3,FALSE))+(($H19*$L19)*VLOOKUP($B19&amp;$L$8&amp;O$8,'App6 - Stage-Route-Surv Data'!$L$5:$N$52,3,FALSE))</f>
        <v>4520.6898367553804</v>
      </c>
      <c r="P19" s="946">
        <f>(($H19*$I19)*VLOOKUP($B19&amp;$I$8&amp;P$8,'App6 - Stage-Route-Surv Data'!$L$5:$N$52,3,FALSE))+(($H19*$J19)*VLOOKUP($B19&amp;$J$8&amp;P$8,'App6 - Stage-Route-Surv Data'!$L$5:$N$52,3,FALSE))+(($H19*$K19)*VLOOKUP($B19&amp;$K$8&amp;P$8,'App6 - Stage-Route-Surv Data'!$L$5:$N$52,3,FALSE))+(($H19*$L19)*VLOOKUP($B19&amp;$L$8&amp;P$8,'App6 - Stage-Route-Surv Data'!$L$5:$N$52,3,FALSE))</f>
        <v>2987.9936152140158</v>
      </c>
      <c r="Q19" s="946">
        <f>M19*VLOOKUP($B19&amp;$D19&amp;Q$8,'App6 - Stage-Route-Surv Data'!$S$5:$T$40,2,FALSE)</f>
        <v>6824.4590751752921</v>
      </c>
      <c r="R19" s="946">
        <f>N19*VLOOKUP($B19&amp;$D19&amp;R$8,'App6 - Stage-Route-Surv Data'!$S$5:$T$40,2,FALSE)</f>
        <v>2587.4263745897233</v>
      </c>
      <c r="S19" s="946">
        <f>O19*VLOOKUP($B19&amp;$D19&amp;S$8,'App6 - Stage-Route-Surv Data'!$S$5:$T$40,2,FALSE)</f>
        <v>4475.4829383878268</v>
      </c>
      <c r="T19" s="946">
        <f>P19*VLOOKUP($B19&amp;$D19&amp;T$8,'App6 - Stage-Route-Surv Data'!$S$5:$T$40,2,FALSE)</f>
        <v>1703.1563606719888</v>
      </c>
      <c r="U19" s="944">
        <f>SUM(Q19:T19)</f>
        <v>15590.52474882483</v>
      </c>
      <c r="V19" s="947">
        <f>U19/H19</f>
        <v>0.92508899002105438</v>
      </c>
      <c r="W19" s="101">
        <f t="shared" si="0"/>
        <v>692364.2666666666</v>
      </c>
      <c r="X19" s="98">
        <f>VLOOKUP("*"&amp;$B19&amp;"*",'S4 - Summ PRS Characteristics'!$C$5:$Q$12,12,FALSE)*$H19</f>
        <v>7728.0508430503214</v>
      </c>
      <c r="Y19" s="98">
        <f t="shared" si="1"/>
        <v>9124.9491569496786</v>
      </c>
      <c r="Z19" s="98">
        <f>IF($C19="other",(1-#REF!)*X19,(1-(VLOOKUP($C19,'S3 - Screening Tool Metrics'!$C$3:$G$19,5,FALSE)/100))*X19)</f>
        <v>850.08559273553522</v>
      </c>
      <c r="AA19" s="98">
        <f>IF($C19="other",#REF!*X19,(VLOOKUP($C19,'S3 - Screening Tool Metrics'!$C$3:$G$19,5,FALSE)/100)*X19)</f>
        <v>6877.9652503147863</v>
      </c>
      <c r="AB19" s="102">
        <f t="shared" si="2"/>
        <v>40.811518722570383</v>
      </c>
      <c r="AC19" s="101"/>
      <c r="AD19" s="102"/>
      <c r="AS19" s="104">
        <f>U41-U19</f>
        <v>438.28247208844914</v>
      </c>
      <c r="AT19" s="105">
        <f>(U41/$H19)-($U19/$H19)</f>
        <v>2.6006199020260468E-2</v>
      </c>
      <c r="AU19" s="101">
        <f t="shared" si="3"/>
        <v>346182.1333333333</v>
      </c>
      <c r="AV19" s="98">
        <f>VLOOKUP("*"&amp;$B19&amp;"*",'S4 - Summ PRS Characteristics'!$C$5:$Q$12,13,FALSE)*$H19</f>
        <v>4941.6397089111279</v>
      </c>
      <c r="AW19" s="98">
        <f t="shared" si="4"/>
        <v>11911.360291088873</v>
      </c>
      <c r="AX19" s="98">
        <f>IF($C19="other",(1-$C13)*AV19,(1-(VLOOKUP($C19,'S3 - Screening Tool Metrics'!$C$3:$G$19,5,FALSE)/100))*AV19)</f>
        <v>543.58036798022397</v>
      </c>
      <c r="AY19" s="98">
        <f>IF($C19="other",$C18*AV19,(VLOOKUP($C19,'S3 - Screening Tool Metrics'!$C$3:$G$19,5,FALSE)/100)*AV19)</f>
        <v>4398.059340930904</v>
      </c>
      <c r="AZ19" s="98">
        <f t="shared" si="5"/>
        <v>26.096596101174296</v>
      </c>
      <c r="BA19" s="101"/>
      <c r="BB19" s="102"/>
      <c r="BC19" s="873">
        <f>(1-BD19)*($I19/SUM($I19,$K19,$L19))</f>
        <v>0.44711244422629226</v>
      </c>
      <c r="BD19" s="103">
        <f>AY19/$H19</f>
        <v>0.26096596101174296</v>
      </c>
      <c r="BE19" s="103">
        <f>(1-BD19)*($K19/SUM($I19,$K19,$L19))</f>
        <v>2.3014565562146601E-2</v>
      </c>
      <c r="BF19" s="103">
        <f>(1-BD19)*($L19/SUM($I19,$K19,$L19))</f>
        <v>0.26890702919981818</v>
      </c>
      <c r="BG19" s="100">
        <f>(($H19*$BC19)*VLOOKUP($B19&amp;$BC$8&amp;BG$8,'App6 - Stage-Route-Surv Data'!$L$5:$N$52,3,FALSE))+(($H19*$BD19)*VLOOKUP($B19&amp;$BD$8&amp;BG$8,'App6 - Stage-Route-Surv Data'!$L$5:$N$52,3,FALSE))+(($H19*$BE19)*VLOOKUP($B19&amp;$BE$8&amp;BG$8,'App6 - Stage-Route-Surv Data'!$L$5:$N$52,3,FALSE))+(($H19*$BF19)*VLOOKUP($B19&amp;$BF$8&amp;BG$8,'App6 - Stage-Route-Surv Data'!$L$5:$N$52,3,FALSE))</f>
        <v>7607.5127649219157</v>
      </c>
      <c r="BH19" s="100">
        <f>(($H19*$BC19)*VLOOKUP($B19&amp;$BC$8&amp;BH$8,'App6 - Stage-Route-Surv Data'!$L$5:$N$52,3,FALSE))+(($H19*$BD19)*VLOOKUP($B19&amp;$BD$8&amp;BH$8,'App6 - Stage-Route-Surv Data'!$L$5:$N$52,3,FALSE))+(($H19*$BE19)*VLOOKUP($B19&amp;$BE$8&amp;BH$8,'App6 - Stage-Route-Surv Data'!$L$5:$N$52,3,FALSE))+(($H19*$BF19)*VLOOKUP($B19&amp;$BF$8&amp;BH$8,'App6 - Stage-Route-Surv Data'!$L$5:$N$52,3,FALSE))</f>
        <v>3165.7069088644134</v>
      </c>
      <c r="BI19" s="100">
        <f>(($H19*$BC19)*VLOOKUP($B19&amp;$BC$8&amp;BI$8,'App6 - Stage-Route-Surv Data'!$L$5:$N$52,3,FALSE))+(($H19*$BD19)*VLOOKUP($B19&amp;$BD$8&amp;BI$8,'App6 - Stage-Route-Surv Data'!$L$5:$N$52,3,FALSE))+(($H19*$BE19)*VLOOKUP($B19&amp;$BE$8&amp;BI$8,'App6 - Stage-Route-Surv Data'!$L$5:$N$52,3,FALSE))+(($H19*$BF19)*VLOOKUP($B19&amp;$BF$8&amp;BI$8,'App6 - Stage-Route-Surv Data'!$L$5:$N$52,3,FALSE))</f>
        <v>3704.7889265930789</v>
      </c>
      <c r="BJ19" s="100">
        <f>(($H19*$BC19)*VLOOKUP($B19&amp;$BC$8&amp;BJ$8,'App6 - Stage-Route-Surv Data'!$L$5:$N$52,3,FALSE))+(($H19*$BD19)*VLOOKUP($B19&amp;$BD$8&amp;BJ$8,'App6 - Stage-Route-Surv Data'!$L$5:$N$52,3,FALSE))+(($H19*$BE19)*VLOOKUP($B19&amp;$BE$8&amp;BJ$8,'App6 - Stage-Route-Surv Data'!$L$5:$N$52,3,FALSE))+(($H19*$BF19)*VLOOKUP($B19&amp;$BF$8&amp;BJ$8,'App6 - Stage-Route-Surv Data'!$L$5:$N$52,3,FALSE))</f>
        <v>2374.9913996205896</v>
      </c>
      <c r="BK19" s="100">
        <f>BG19*VLOOKUP($B19&amp;$D19&amp;BK$8,'App6 - Stage-Route-Surv Data'!$S$5:$T$40,2,FALSE)</f>
        <v>7683.5878925711349</v>
      </c>
      <c r="BL19" s="100">
        <f>BH19*VLOOKUP($B19&amp;$D19&amp;BL$8,'App6 - Stage-Route-Surv Data'!$S$5:$T$40,2,FALSE)</f>
        <v>3165.7069088644134</v>
      </c>
      <c r="BM19" s="100">
        <f>BI19*VLOOKUP($B19&amp;$D19&amp;BM$8,'App6 - Stage-Route-Surv Data'!$S$5:$T$40,2,FALSE)</f>
        <v>3667.7410373271482</v>
      </c>
      <c r="BN19" s="100">
        <f>BJ19*VLOOKUP($B19&amp;$D19&amp;BN$8,'App6 - Stage-Route-Surv Data'!$S$5:$T$40,2,FALSE)</f>
        <v>1353.7450977837359</v>
      </c>
      <c r="BO19" s="100">
        <f>SUM(BK19:BN19)</f>
        <v>15870.780936546433</v>
      </c>
      <c r="BP19" s="469">
        <f>BO19/H19</f>
        <v>0.94171844398898907</v>
      </c>
      <c r="BQ19" s="104">
        <f>BO19-U19</f>
        <v>280.25618772160306</v>
      </c>
      <c r="BR19" s="105">
        <f>(BO19/$H19)-($U19/$H19)</f>
        <v>1.6629453967934693E-2</v>
      </c>
    </row>
    <row r="20" spans="1:70" ht="16" hidden="1" customHeight="1" thickBot="1" x14ac:dyDescent="0.25">
      <c r="A20" s="1305"/>
      <c r="B20" s="956" t="s">
        <v>10</v>
      </c>
      <c r="C20" s="957"/>
      <c r="D20" s="977"/>
      <c r="E20" s="986"/>
      <c r="F20" s="987"/>
      <c r="G20" s="994"/>
      <c r="H20" s="962"/>
      <c r="I20" s="963"/>
      <c r="J20" s="963"/>
      <c r="K20" s="963"/>
      <c r="L20" s="963"/>
      <c r="M20" s="963"/>
      <c r="N20" s="963"/>
      <c r="O20" s="963"/>
      <c r="P20" s="963"/>
      <c r="Q20" s="963"/>
      <c r="R20" s="963"/>
      <c r="S20" s="963"/>
      <c r="T20" s="963"/>
      <c r="U20" s="964"/>
      <c r="V20" s="943"/>
      <c r="W20" s="867"/>
      <c r="X20" s="868"/>
      <c r="Y20" s="868"/>
      <c r="Z20" s="868"/>
      <c r="AA20" s="868"/>
      <c r="AB20" s="869"/>
      <c r="AC20" s="867"/>
      <c r="AD20" s="869"/>
      <c r="AS20" s="39"/>
      <c r="AT20" s="39"/>
      <c r="AU20" s="868"/>
      <c r="AV20" s="868"/>
      <c r="AW20" s="868"/>
      <c r="AX20" s="868"/>
      <c r="AY20" s="868"/>
      <c r="AZ20" s="868"/>
      <c r="BA20" s="867"/>
      <c r="BB20" s="869"/>
      <c r="BC20" s="39"/>
      <c r="BD20" s="39"/>
      <c r="BE20" s="39"/>
      <c r="BF20" s="39"/>
      <c r="BG20" s="39"/>
      <c r="BH20" s="39"/>
      <c r="BI20" s="39"/>
      <c r="BJ20" s="39"/>
      <c r="BK20" s="39"/>
      <c r="BL20" s="39"/>
      <c r="BM20" s="39"/>
      <c r="BN20" s="39"/>
      <c r="BO20" s="39"/>
      <c r="BP20" s="470"/>
      <c r="BQ20" s="39"/>
      <c r="BR20" s="41"/>
    </row>
    <row r="21" spans="1:70" ht="15.5" hidden="1" customHeight="1" x14ac:dyDescent="0.2">
      <c r="A21" s="1305"/>
      <c r="B21" s="700" t="s">
        <v>10</v>
      </c>
      <c r="C21" s="720" t="s">
        <v>172</v>
      </c>
      <c r="D21" s="975" t="s">
        <v>194</v>
      </c>
      <c r="E21" s="980">
        <f>VLOOKUP($B21&amp;"_"&amp;$D21,'App5 - CRUK Inci Rates'!C:H,6,FALSE)</f>
        <v>75.7</v>
      </c>
      <c r="F21" s="981">
        <f>VLOOKUP($B21&amp;"_"&amp;$D21,'App5 - CRUK Inci Rates'!C:H,3,FALSE)</f>
        <v>0</v>
      </c>
      <c r="G21" s="992">
        <f>VLOOKUP($B21&amp;"_"&amp;$D21,'App5 - CRUK Inci Rates'!C:J,8,FALSE)</f>
        <v>2293472.6666666665</v>
      </c>
      <c r="H21" s="709">
        <f>VLOOKUP($B21&amp;"_"&amp;$D21,'App5 - CRUK Inci Rates'!C:K,9,FALSE)</f>
        <v>1737</v>
      </c>
      <c r="I21" s="935"/>
      <c r="J21" s="935"/>
      <c r="K21" s="935"/>
      <c r="L21" s="935"/>
      <c r="M21" s="935"/>
      <c r="N21" s="935"/>
      <c r="O21" s="935"/>
      <c r="P21" s="935"/>
      <c r="Q21" s="935"/>
      <c r="R21" s="935"/>
      <c r="S21" s="935"/>
      <c r="T21" s="935"/>
      <c r="U21" s="936"/>
      <c r="V21" s="937"/>
      <c r="W21" s="18">
        <f t="shared" ref="W21:W26" si="6">$G21*W$5</f>
        <v>458694.53333333333</v>
      </c>
      <c r="X21" s="14">
        <f>VLOOKUP("*"&amp;$B21&amp;"*",'S4 - Summ PRS Characteristics'!$C$5:$Q$12,12,FALSE)*$H21</f>
        <v>796.51244967533421</v>
      </c>
      <c r="Y21" s="14">
        <f t="shared" ref="Y21:Y26" si="7">$H21-X21</f>
        <v>940.48755032466579</v>
      </c>
      <c r="Z21" s="14">
        <f>IF($C21="other",(1-#REF!)*X21,(1-(VLOOKUP($C21,'S3 - Screening Tool Metrics'!$C$3:$G$19,5,FALSE)/100))*X21)</f>
        <v>541.62846577922721</v>
      </c>
      <c r="AA21" s="14">
        <f>IF($C21="other",#REF!*X21,(VLOOKUP($C21,'S3 - Screening Tool Metrics'!$C$3:$G$19,5,FALSE)/100)*X21)</f>
        <v>254.88398389610694</v>
      </c>
      <c r="AB21" s="19">
        <f t="shared" ref="AB21:AB26" si="8">$AA21/$H21*100</f>
        <v>14.673804484519687</v>
      </c>
      <c r="AC21" s="18"/>
      <c r="AD21" s="19"/>
      <c r="AS21" s="80"/>
      <c r="AT21" s="94"/>
      <c r="AU21" s="18">
        <f t="shared" ref="AU21:AU26" si="9">$G21*AU$5</f>
        <v>229347.26666666666</v>
      </c>
      <c r="AV21" s="14">
        <f>VLOOKUP("*"&amp;$B21&amp;"*",'S4 - Summ PRS Characteristics'!$C$5:$Q$12,13,FALSE)*$H21</f>
        <v>509.32345424426677</v>
      </c>
      <c r="AW21" s="14">
        <f t="shared" ref="AW21:AW26" si="10">$H21-AV21</f>
        <v>1227.6765457557333</v>
      </c>
      <c r="AX21" s="14">
        <f>IF($C21="other",(1-$C20)*AV21,(1-(VLOOKUP($C21,'S3 - Screening Tool Metrics'!$C$3:$G$19,5,FALSE)/100))*AV21)</f>
        <v>346.33994888610135</v>
      </c>
      <c r="AY21" s="14">
        <f>IF($C21="other",$C20*AV21,(VLOOKUP($C21,'S3 - Screening Tool Metrics'!$C$3:$G$19,5,FALSE)/100)*AV21)</f>
        <v>162.98350535816536</v>
      </c>
      <c r="AZ21" s="14">
        <f t="shared" ref="AZ21:AZ26" si="11">$AY21/$H21*100</f>
        <v>9.3830457891862622</v>
      </c>
      <c r="BA21" s="18"/>
      <c r="BB21" s="19"/>
      <c r="BC21" s="80"/>
      <c r="BD21" s="80"/>
      <c r="BE21" s="80"/>
      <c r="BF21" s="80"/>
      <c r="BG21" s="80"/>
      <c r="BH21" s="80"/>
      <c r="BI21" s="80"/>
      <c r="BJ21" s="80"/>
      <c r="BK21" s="80"/>
      <c r="BL21" s="80"/>
      <c r="BM21" s="80"/>
      <c r="BN21" s="80"/>
      <c r="BO21" s="80"/>
      <c r="BP21" s="468"/>
      <c r="BQ21" s="80"/>
      <c r="BR21" s="94"/>
    </row>
    <row r="22" spans="1:70" ht="15.5" hidden="1" customHeight="1" x14ac:dyDescent="0.2">
      <c r="A22" s="1305"/>
      <c r="B22" s="700" t="s">
        <v>10</v>
      </c>
      <c r="C22" s="721" t="str">
        <f>C21</f>
        <v>PSA_3ng/mL cut-off</v>
      </c>
      <c r="D22" s="975" t="s">
        <v>195</v>
      </c>
      <c r="E22" s="980">
        <f>VLOOKUP($B22&amp;"_"&amp;$D22,'App5 - CRUK Inci Rates'!C:H,6,FALSE)</f>
        <v>201.8</v>
      </c>
      <c r="F22" s="981">
        <f>VLOOKUP($B22&amp;"_"&amp;$D22,'App5 - CRUK Inci Rates'!C:H,3,FALSE)</f>
        <v>0</v>
      </c>
      <c r="G22" s="992">
        <f>VLOOKUP($B22&amp;"_"&amp;$D22,'App5 - CRUK Inci Rates'!C:J,8,FALSE)</f>
        <v>2061918.6666666667</v>
      </c>
      <c r="H22" s="709">
        <f>VLOOKUP($B22&amp;"_"&amp;$D22,'App5 - CRUK Inci Rates'!C:K,9,FALSE)</f>
        <v>4160</v>
      </c>
      <c r="I22" s="935"/>
      <c r="J22" s="935"/>
      <c r="K22" s="935"/>
      <c r="L22" s="935"/>
      <c r="M22" s="935"/>
      <c r="N22" s="935"/>
      <c r="O22" s="935"/>
      <c r="P22" s="935"/>
      <c r="Q22" s="935"/>
      <c r="R22" s="935"/>
      <c r="S22" s="935"/>
      <c r="T22" s="935"/>
      <c r="U22" s="936"/>
      <c r="V22" s="937"/>
      <c r="W22" s="18">
        <f t="shared" si="6"/>
        <v>412383.7333333334</v>
      </c>
      <c r="X22" s="14">
        <f>VLOOKUP("*"&amp;$B22&amp;"*",'S4 - Summ PRS Characteristics'!$C$5:$Q$12,12,FALSE)*$H22</f>
        <v>1907.5945829875593</v>
      </c>
      <c r="Y22" s="14">
        <f t="shared" si="7"/>
        <v>2252.4054170124409</v>
      </c>
      <c r="Z22" s="14">
        <f>IF($C22="other",(1-#REF!)*X22,(1-(VLOOKUP($C22,'S3 - Screening Tool Metrics'!$C$3:$G$19,5,FALSE)/100))*X22)</f>
        <v>1297.1643164315401</v>
      </c>
      <c r="AA22" s="14">
        <f>IF($C22="other",#REF!*X22,(VLOOKUP($C22,'S3 - Screening Tool Metrics'!$C$3:$G$19,5,FALSE)/100)*X22)</f>
        <v>610.43026655601898</v>
      </c>
      <c r="AB22" s="19">
        <f t="shared" si="8"/>
        <v>14.673804484519687</v>
      </c>
      <c r="AC22" s="18"/>
      <c r="AD22" s="19"/>
      <c r="AS22" s="80"/>
      <c r="AT22" s="94"/>
      <c r="AU22" s="18">
        <f t="shared" si="9"/>
        <v>206191.8666666667</v>
      </c>
      <c r="AV22" s="14">
        <f>VLOOKUP("*"&amp;$B22&amp;"*",'S4 - Summ PRS Characteristics'!$C$5:$Q$12,13,FALSE)*$H22</f>
        <v>1219.795952594214</v>
      </c>
      <c r="AW22" s="14">
        <f t="shared" si="10"/>
        <v>2940.2040474057858</v>
      </c>
      <c r="AX22" s="14">
        <f>IF($C22="other",(1-$C20)*AV22,(1-(VLOOKUP($C22,'S3 - Screening Tool Metrics'!$C$3:$G$19,5,FALSE)/100))*AV22)</f>
        <v>829.46124776406543</v>
      </c>
      <c r="AY22" s="14">
        <f>IF($C22="other",$C21*AV22,(VLOOKUP($C22,'S3 - Screening Tool Metrics'!$C$3:$G$19,5,FALSE)/100)*AV22)</f>
        <v>390.3347048301485</v>
      </c>
      <c r="AZ22" s="14">
        <f t="shared" si="11"/>
        <v>9.3830457891862622</v>
      </c>
      <c r="BA22" s="18"/>
      <c r="BB22" s="19"/>
      <c r="BC22" s="80"/>
      <c r="BD22" s="80"/>
      <c r="BE22" s="80"/>
      <c r="BF22" s="80"/>
      <c r="BG22" s="80"/>
      <c r="BH22" s="80"/>
      <c r="BI22" s="80"/>
      <c r="BJ22" s="80"/>
      <c r="BK22" s="80"/>
      <c r="BL22" s="80"/>
      <c r="BM22" s="80"/>
      <c r="BN22" s="80"/>
      <c r="BO22" s="80"/>
      <c r="BP22" s="468"/>
      <c r="BQ22" s="80"/>
      <c r="BR22" s="94"/>
    </row>
    <row r="23" spans="1:70" ht="17" hidden="1" thickBot="1" x14ac:dyDescent="0.25">
      <c r="A23" s="1305"/>
      <c r="B23" s="958" t="s">
        <v>10</v>
      </c>
      <c r="C23" s="1006" t="str">
        <f>C21</f>
        <v>PSA_3ng/mL cut-off</v>
      </c>
      <c r="D23" s="976" t="s">
        <v>230</v>
      </c>
      <c r="E23" s="982">
        <f>VLOOKUP($B23&amp;"_"&amp;$D23,'App5 - CRUK Inci Rates'!C:H,6,FALSE)</f>
        <v>135.39541108208113</v>
      </c>
      <c r="F23" s="983">
        <f>VLOOKUP($B23&amp;"_"&amp;$D23,'App5 - CRUK Inci Rates'!C:H,3,FALSE)</f>
        <v>0</v>
      </c>
      <c r="G23" s="993">
        <f>VLOOKUP($B23&amp;"_"&amp;$D23,'App5 - CRUK Inci Rates'!C:J,8,FALSE)</f>
        <v>4355391.333333333</v>
      </c>
      <c r="H23" s="944">
        <f>VLOOKUP($B23&amp;"_"&amp;$D23,'App5 - CRUK Inci Rates'!C:K,9,FALSE)</f>
        <v>5897</v>
      </c>
      <c r="I23" s="945">
        <f>VLOOKUP($B23&amp;I$8&amp;$D23,'App6 - Stage-Route-Surv Data'!$E$5:$G$76,3,FALSE)</f>
        <v>0.59247594050743657</v>
      </c>
      <c r="J23" s="945">
        <f>VLOOKUP($B23&amp;J$8&amp;$D23,'App6 - Stage-Route-Surv Data'!$E$5:$G$76,3,FALSE)</f>
        <v>0</v>
      </c>
      <c r="K23" s="945">
        <f>VLOOKUP($B23&amp;K$8&amp;$D23,'App6 - Stage-Route-Surv Data'!$E$5:$G$76,3,FALSE)</f>
        <v>2.5721784776902887E-2</v>
      </c>
      <c r="L23" s="945">
        <f>VLOOKUP($B23&amp;L$8&amp;$D23,'App6 - Stage-Route-Surv Data'!$E$5:$G$76,3,FALSE)</f>
        <v>0.38180227471566053</v>
      </c>
      <c r="M23" s="946">
        <f>(($H23*$I23)*VLOOKUP($B23&amp;$I$8&amp;M$8,'App6 - Stage-Route-Surv Data'!$L$5:$N$52,3,FALSE))+(($H23*$J23)*VLOOKUP($B23&amp;$J$8&amp;M$8,'App6 - Stage-Route-Surv Data'!$L$5:$N$52,3,FALSE))+(($H23*$K23)*VLOOKUP($B23&amp;$K$8&amp;M$8,'App6 - Stage-Route-Surv Data'!$L$5:$N$52,3,FALSE))+(($H23*$L23)*VLOOKUP($B23&amp;$L$8&amp;M$8,'App6 - Stage-Route-Surv Data'!$L$5:$N$52,3,FALSE))</f>
        <v>2384.5650832956467</v>
      </c>
      <c r="N23" s="946">
        <f>(($H23*$I23)*VLOOKUP($B23&amp;$I$8&amp;N$8,'App6 - Stage-Route-Surv Data'!$L$5:$N$52,3,FALSE))+(($H23*$J23)*VLOOKUP($B23&amp;$J$8&amp;N$8,'App6 - Stage-Route-Surv Data'!$L$5:$N$52,3,FALSE))+(($H23*$K23)*VLOOKUP($B23&amp;$K$8&amp;N$8,'App6 - Stage-Route-Surv Data'!$L$5:$N$52,3,FALSE))+(($H23*$L23)*VLOOKUP($B23&amp;$L$8&amp;N$8,'App6 - Stage-Route-Surv Data'!$L$5:$N$52,3,FALSE))</f>
        <v>910.55055948256927</v>
      </c>
      <c r="O23" s="946">
        <f>(($H23*$I23)*VLOOKUP($B23&amp;$I$8&amp;O$8,'App6 - Stage-Route-Surv Data'!$L$5:$N$52,3,FALSE))+(($H23*$J23)*VLOOKUP($B23&amp;$J$8&amp;O$8,'App6 - Stage-Route-Surv Data'!$L$5:$N$52,3,FALSE))+(($H23*$K23)*VLOOKUP($B23&amp;$K$8&amp;O$8,'App6 - Stage-Route-Surv Data'!$L$5:$N$52,3,FALSE))+(($H23*$L23)*VLOOKUP($B23&amp;$L$8&amp;O$8,'App6 - Stage-Route-Surv Data'!$L$5:$N$52,3,FALSE))</f>
        <v>1579.7620982099547</v>
      </c>
      <c r="P23" s="946">
        <f>(($H23*$I23)*VLOOKUP($B23&amp;$I$8&amp;P$8,'App6 - Stage-Route-Surv Data'!$L$5:$N$52,3,FALSE))+(($H23*$J23)*VLOOKUP($B23&amp;$J$8&amp;P$8,'App6 - Stage-Route-Surv Data'!$L$5:$N$52,3,FALSE))+(($H23*$K23)*VLOOKUP($B23&amp;$K$8&amp;P$8,'App6 - Stage-Route-Surv Data'!$L$5:$N$52,3,FALSE))+(($H23*$L23)*VLOOKUP($B23&amp;$L$8&amp;P$8,'App6 - Stage-Route-Surv Data'!$L$5:$N$52,3,FALSE))</f>
        <v>1022.1222590118294</v>
      </c>
      <c r="Q23" s="946">
        <f>M23*VLOOKUP($B23&amp;$D23&amp;Q$8,'App6 - Stage-Route-Surv Data'!$S$5:$T$40,2,FALSE)</f>
        <v>2384.5650832956467</v>
      </c>
      <c r="R23" s="946">
        <f>N23*VLOOKUP($B23&amp;$D23&amp;R$8,'App6 - Stage-Route-Surv Data'!$S$5:$T$40,2,FALSE)</f>
        <v>910.55055948256927</v>
      </c>
      <c r="S23" s="946">
        <f>O23*VLOOKUP($B23&amp;$D23&amp;S$8,'App6 - Stage-Route-Surv Data'!$S$5:$T$40,2,FALSE)</f>
        <v>1548.1668562457555</v>
      </c>
      <c r="T23" s="946">
        <f>P23*VLOOKUP($B23&amp;$D23&amp;T$8,'App6 - Stage-Route-Surv Data'!$S$5:$T$40,2,FALSE)</f>
        <v>541.72479727626967</v>
      </c>
      <c r="U23" s="944">
        <f>SUM(Q23:T23)</f>
        <v>5385.0072963002413</v>
      </c>
      <c r="V23" s="947">
        <f>U23/H23</f>
        <v>0.91317742857389206</v>
      </c>
      <c r="W23" s="87">
        <f t="shared" si="6"/>
        <v>871078.2666666666</v>
      </c>
      <c r="X23" s="84">
        <f>VLOOKUP("*"&amp;$B23&amp;"*",'S4 - Summ PRS Characteristics'!$C$5:$Q$12,12,FALSE)*$H23</f>
        <v>2704.1070326628937</v>
      </c>
      <c r="Y23" s="84">
        <f t="shared" si="7"/>
        <v>3192.8929673371063</v>
      </c>
      <c r="Z23" s="84">
        <f>IF($C23="other",(1-#REF!)*X23,(1-(VLOOKUP($C23,'S3 - Screening Tool Metrics'!$C$3:$G$19,5,FALSE)/100))*X23)</f>
        <v>1838.7927822107677</v>
      </c>
      <c r="AA23" s="84">
        <f>IF($C23="other",#REF!*X23,(VLOOKUP($C23,'S3 - Screening Tool Metrics'!$C$3:$G$19,5,FALSE)/100)*X23)</f>
        <v>865.31425045212598</v>
      </c>
      <c r="AB23" s="88">
        <f t="shared" si="8"/>
        <v>14.673804484519687</v>
      </c>
      <c r="AC23" s="87"/>
      <c r="AD23" s="88"/>
      <c r="AS23" s="90">
        <f>U45-U23</f>
        <v>58.276216736438073</v>
      </c>
      <c r="AT23" s="95">
        <f>(U45/$H23)-($U23/$H23)</f>
        <v>9.8823497942068794E-3</v>
      </c>
      <c r="AU23" s="87">
        <f t="shared" si="9"/>
        <v>435539.1333333333</v>
      </c>
      <c r="AV23" s="84">
        <f>VLOOKUP("*"&amp;$B23&amp;"*",'S4 - Summ PRS Characteristics'!$C$5:$Q$12,13,FALSE)*$H23</f>
        <v>1729.1194068384809</v>
      </c>
      <c r="AW23" s="84">
        <f t="shared" si="10"/>
        <v>4167.8805931615188</v>
      </c>
      <c r="AX23" s="84">
        <f>IF($C23="other",(1-$C20)*AV23,(1-(VLOOKUP($C23,'S3 - Screening Tool Metrics'!$C$3:$G$19,5,FALSE)/100))*AV23)</f>
        <v>1175.801196650167</v>
      </c>
      <c r="AY23" s="84">
        <f>IF($C23="other",$C22*AV23,(VLOOKUP($C23,'S3 - Screening Tool Metrics'!$C$3:$G$19,5,FALSE)/100)*AV23)</f>
        <v>553.31821018831386</v>
      </c>
      <c r="AZ23" s="84">
        <f t="shared" si="11"/>
        <v>9.3830457891862622</v>
      </c>
      <c r="BA23" s="87"/>
      <c r="BB23" s="88"/>
      <c r="BC23" s="864">
        <f>(1-BD23)*($I23/SUM($I23,$K23,$L23))</f>
        <v>0.53688365171971186</v>
      </c>
      <c r="BD23" s="89">
        <f>AY23/$H23</f>
        <v>9.3830457891862618E-2</v>
      </c>
      <c r="BE23" s="89">
        <f>(1-BD23)*($K23/SUM($I23,$K23,$L23))</f>
        <v>2.3308297933490148E-2</v>
      </c>
      <c r="BF23" s="89">
        <f>(1-BD23)*($L23/SUM($I23,$K23,$L23))</f>
        <v>0.34597759245493537</v>
      </c>
      <c r="BG23" s="86">
        <f>(($H23*$BC23)*VLOOKUP($B23&amp;$BC$8&amp;BG$8,'App6 - Stage-Route-Surv Data'!$L$5:$N$52,3,FALSE))+(($H23*$BD23)*VLOOKUP($B23&amp;$BD$8&amp;BG$8,'App6 - Stage-Route-Surv Data'!$L$5:$N$52,3,FALSE))+(($H23*$BE23)*VLOOKUP($B23&amp;$BE$8&amp;BG$8,'App6 - Stage-Route-Surv Data'!$L$5:$N$52,3,FALSE))+(($H23*$BF23)*VLOOKUP($B23&amp;$BF$8&amp;BG$8,'App6 - Stage-Route-Surv Data'!$L$5:$N$52,3,FALSE))</f>
        <v>2489.6791859010664</v>
      </c>
      <c r="BH23" s="86">
        <f>(($H23*$BC23)*VLOOKUP($B23&amp;$BC$8&amp;BH$8,'App6 - Stage-Route-Surv Data'!$L$5:$N$52,3,FALSE))+(($H23*$BD23)*VLOOKUP($B23&amp;$BD$8&amp;BH$8,'App6 - Stage-Route-Surv Data'!$L$5:$N$52,3,FALSE))+(($H23*$BE23)*VLOOKUP($B23&amp;$BE$8&amp;BH$8,'App6 - Stage-Route-Surv Data'!$L$5:$N$52,3,FALSE))+(($H23*$BF23)*VLOOKUP($B23&amp;$BF$8&amp;BH$8,'App6 - Stage-Route-Surv Data'!$L$5:$N$52,3,FALSE))</f>
        <v>982.81690419955123</v>
      </c>
      <c r="BI23" s="86">
        <f>(($H23*$BC23)*VLOOKUP($B23&amp;$BC$8&amp;BI$8,'App6 - Stage-Route-Surv Data'!$L$5:$N$52,3,FALSE))+(($H23*$BD23)*VLOOKUP($B23&amp;$BD$8&amp;BI$8,'App6 - Stage-Route-Surv Data'!$L$5:$N$52,3,FALSE))+(($H23*$BE23)*VLOOKUP($B23&amp;$BE$8&amp;BI$8,'App6 - Stage-Route-Surv Data'!$L$5:$N$52,3,FALSE))+(($H23*$BF23)*VLOOKUP($B23&amp;$BF$8&amp;BI$8,'App6 - Stage-Route-Surv Data'!$L$5:$N$52,3,FALSE))</f>
        <v>1477.3075337214887</v>
      </c>
      <c r="BJ23" s="86">
        <f>(($H23*$BC23)*VLOOKUP($B23&amp;$BC$8&amp;BJ$8,'App6 - Stage-Route-Surv Data'!$L$5:$N$52,3,FALSE))+(($H23*$BD23)*VLOOKUP($B23&amp;$BD$8&amp;BJ$8,'App6 - Stage-Route-Surv Data'!$L$5:$N$52,3,FALSE))+(($H23*$BE23)*VLOOKUP($B23&amp;$BE$8&amp;BJ$8,'App6 - Stage-Route-Surv Data'!$L$5:$N$52,3,FALSE))+(($H23*$BF23)*VLOOKUP($B23&amp;$BF$8&amp;BJ$8,'App6 - Stage-Route-Surv Data'!$L$5:$N$52,3,FALSE))</f>
        <v>947.19637617789374</v>
      </c>
      <c r="BK23" s="86">
        <f>BG23*VLOOKUP($B23&amp;$D23&amp;BK$8,'App6 - Stage-Route-Surv Data'!$S$5:$T$40,2,FALSE)</f>
        <v>2489.6791859010664</v>
      </c>
      <c r="BL23" s="86">
        <f>BH23*VLOOKUP($B23&amp;$D23&amp;BL$8,'App6 - Stage-Route-Surv Data'!$S$5:$T$40,2,FALSE)</f>
        <v>982.81690419955123</v>
      </c>
      <c r="BM23" s="86">
        <f>BI23*VLOOKUP($B23&amp;$D23&amp;BM$8,'App6 - Stage-Route-Surv Data'!$S$5:$T$40,2,FALSE)</f>
        <v>1447.7613830470589</v>
      </c>
      <c r="BN23" s="86">
        <f>BJ23*VLOOKUP($B23&amp;$D23&amp;BN$8,'App6 - Stage-Route-Surv Data'!$S$5:$T$40,2,FALSE)</f>
        <v>502.01407937428371</v>
      </c>
      <c r="BO23" s="86">
        <f>SUM(BK23:BN23)</f>
        <v>5422.2715525219601</v>
      </c>
      <c r="BP23" s="469">
        <f>BO23/H23</f>
        <v>0.91949661735152788</v>
      </c>
      <c r="BQ23" s="90">
        <f>BO23-U23</f>
        <v>37.264256221718824</v>
      </c>
      <c r="BR23" s="95">
        <f>(BO23/$H23)-($U23/$H23)</f>
        <v>6.3191887776358202E-3</v>
      </c>
    </row>
    <row r="24" spans="1:70" ht="15.5" hidden="1" customHeight="1" x14ac:dyDescent="0.2">
      <c r="A24" s="1305"/>
      <c r="B24" s="700" t="s">
        <v>10</v>
      </c>
      <c r="C24" s="721" t="str">
        <f>C21</f>
        <v>PSA_3ng/mL cut-off</v>
      </c>
      <c r="D24" s="975" t="s">
        <v>196</v>
      </c>
      <c r="E24" s="984">
        <f>VLOOKUP($B24&amp;"_"&amp;$D24,'App5 - CRUK Inci Rates'!C:H,6,FALSE)</f>
        <v>356.1</v>
      </c>
      <c r="F24" s="981">
        <f>VLOOKUP($B24&amp;"_"&amp;$D24,'App5 - CRUK Inci Rates'!C:H,3,FALSE)</f>
        <v>0</v>
      </c>
      <c r="G24" s="992">
        <f>VLOOKUP($B24&amp;"_"&amp;$D24,'App5 - CRUK Inci Rates'!C:J,8,FALSE)</f>
        <v>1764828</v>
      </c>
      <c r="H24" s="709">
        <f>VLOOKUP($B24&amp;"_"&amp;$D24,'App5 - CRUK Inci Rates'!C:K,9,FALSE)</f>
        <v>6285</v>
      </c>
      <c r="I24" s="935"/>
      <c r="J24" s="935"/>
      <c r="K24" s="935"/>
      <c r="L24" s="935"/>
      <c r="M24" s="935"/>
      <c r="N24" s="935"/>
      <c r="O24" s="935"/>
      <c r="P24" s="935"/>
      <c r="Q24" s="935"/>
      <c r="R24" s="935"/>
      <c r="S24" s="935"/>
      <c r="T24" s="935"/>
      <c r="U24" s="936"/>
      <c r="V24" s="937"/>
      <c r="W24" s="18">
        <f t="shared" si="6"/>
        <v>352965.60000000003</v>
      </c>
      <c r="X24" s="14">
        <f>VLOOKUP("*"&amp;$B24&amp;"*",'S4 - Summ PRS Characteristics'!$C$5:$Q$12,12,FALSE)*$H24</f>
        <v>2882.0269120376947</v>
      </c>
      <c r="Y24" s="14">
        <f t="shared" si="7"/>
        <v>3402.9730879623053</v>
      </c>
      <c r="Z24" s="14">
        <f>IF($C24="other",(1-#REF!)*X24,(1-(VLOOKUP($C24,'S3 - Screening Tool Metrics'!$C$3:$G$19,5,FALSE)/100))*X24)</f>
        <v>1959.7783001856321</v>
      </c>
      <c r="AA24" s="14">
        <f>IF($C24="other",#REF!*X24,(VLOOKUP($C24,'S3 - Screening Tool Metrics'!$C$3:$G$19,5,FALSE)/100)*X24)</f>
        <v>922.24861185206237</v>
      </c>
      <c r="AB24" s="19">
        <f t="shared" si="8"/>
        <v>14.673804484519687</v>
      </c>
      <c r="AC24" s="18"/>
      <c r="AD24" s="19"/>
      <c r="AS24" s="80"/>
      <c r="AT24" s="94"/>
      <c r="AU24" s="18">
        <f t="shared" si="9"/>
        <v>176482.80000000002</v>
      </c>
      <c r="AV24" s="14">
        <f>VLOOKUP("*"&amp;$B24&amp;"*",'S4 - Summ PRS Characteristics'!$C$5:$Q$12,13,FALSE)*$H24</f>
        <v>1842.8888370323643</v>
      </c>
      <c r="AW24" s="14">
        <f t="shared" si="10"/>
        <v>4442.1111629676361</v>
      </c>
      <c r="AX24" s="14">
        <f>IF($C24="other",(1-$C20)*AV24,(1-(VLOOKUP($C24,'S3 - Screening Tool Metrics'!$C$3:$G$19,5,FALSE)/100))*AV24)</f>
        <v>1253.1644091820076</v>
      </c>
      <c r="AY24" s="14">
        <f>IF($C24="other",$C23*AV24,(VLOOKUP($C24,'S3 - Screening Tool Metrics'!$C$3:$G$19,5,FALSE)/100)*AV24)</f>
        <v>589.72442785035662</v>
      </c>
      <c r="AZ24" s="14">
        <f t="shared" si="11"/>
        <v>9.383045789186264</v>
      </c>
      <c r="BA24" s="18"/>
      <c r="BB24" s="19"/>
      <c r="BC24" s="80"/>
      <c r="BD24" s="80"/>
      <c r="BE24" s="80"/>
      <c r="BF24" s="80"/>
      <c r="BG24" s="80"/>
      <c r="BH24" s="80"/>
      <c r="BI24" s="80"/>
      <c r="BJ24" s="80"/>
      <c r="BK24" s="80"/>
      <c r="BL24" s="80"/>
      <c r="BM24" s="80"/>
      <c r="BN24" s="80"/>
      <c r="BO24" s="80"/>
      <c r="BP24" s="468"/>
      <c r="BQ24" s="80"/>
      <c r="BR24" s="94"/>
    </row>
    <row r="25" spans="1:70" ht="15.5" hidden="1" customHeight="1" x14ac:dyDescent="0.2">
      <c r="A25" s="1305"/>
      <c r="B25" s="700" t="s">
        <v>10</v>
      </c>
      <c r="C25" s="721" t="str">
        <f>C21</f>
        <v>PSA_3ng/mL cut-off</v>
      </c>
      <c r="D25" s="975" t="s">
        <v>197</v>
      </c>
      <c r="E25" s="985">
        <f>VLOOKUP($B25&amp;"_"&amp;$D25,'App5 - CRUK Inci Rates'!C:H,6,FALSE)</f>
        <v>622.70000000000005</v>
      </c>
      <c r="F25" s="981">
        <f>VLOOKUP($B25&amp;"_"&amp;$D25,'App5 - CRUK Inci Rates'!C:H,3,FALSE)</f>
        <v>0</v>
      </c>
      <c r="G25" s="992">
        <f>VLOOKUP($B25&amp;"_"&amp;$D25,'App5 - CRUK Inci Rates'!C:J,8,FALSE)</f>
        <v>1696993.3333333333</v>
      </c>
      <c r="H25" s="709">
        <f>VLOOKUP($B25&amp;"_"&amp;$D25,'App5 - CRUK Inci Rates'!C:K,9,FALSE)</f>
        <v>10568</v>
      </c>
      <c r="I25" s="935"/>
      <c r="J25" s="935"/>
      <c r="K25" s="935"/>
      <c r="L25" s="935"/>
      <c r="M25" s="935"/>
      <c r="N25" s="935"/>
      <c r="O25" s="935"/>
      <c r="P25" s="935"/>
      <c r="Q25" s="935"/>
      <c r="R25" s="935"/>
      <c r="S25" s="935"/>
      <c r="T25" s="935"/>
      <c r="U25" s="936"/>
      <c r="V25" s="937"/>
      <c r="W25" s="18">
        <f t="shared" si="6"/>
        <v>339398.66666666669</v>
      </c>
      <c r="X25" s="14">
        <f>VLOOKUP("*"&amp;$B25&amp;"*",'S4 - Summ PRS Characteristics'!$C$5:$Q$12,12,FALSE)*$H25</f>
        <v>4846.0239310126262</v>
      </c>
      <c r="Y25" s="14">
        <f t="shared" si="7"/>
        <v>5721.9760689873738</v>
      </c>
      <c r="Z25" s="14">
        <f>IF($C25="other",(1-#REF!)*X25,(1-(VLOOKUP($C25,'S3 - Screening Tool Metrics'!$C$3:$G$19,5,FALSE)/100))*X25)</f>
        <v>3295.2962730885856</v>
      </c>
      <c r="AA25" s="14">
        <f>IF($C25="other",#REF!*X25,(VLOOKUP($C25,'S3 - Screening Tool Metrics'!$C$3:$G$19,5,FALSE)/100)*X25)</f>
        <v>1550.7276579240404</v>
      </c>
      <c r="AB25" s="19">
        <f t="shared" si="8"/>
        <v>14.673804484519687</v>
      </c>
      <c r="AC25" s="18"/>
      <c r="AD25" s="19"/>
      <c r="AS25" s="80"/>
      <c r="AT25" s="94"/>
      <c r="AU25" s="18">
        <f t="shared" si="9"/>
        <v>169699.33333333334</v>
      </c>
      <c r="AV25" s="14">
        <f>VLOOKUP("*"&amp;$B25&amp;"*",'S4 - Summ PRS Characteristics'!$C$5:$Q$12,13,FALSE)*$H25</f>
        <v>3098.7508718787631</v>
      </c>
      <c r="AW25" s="14">
        <f t="shared" si="10"/>
        <v>7469.2491281212369</v>
      </c>
      <c r="AX25" s="14">
        <f>IF($C25="other",(1-$C20)*AV25,(1-(VLOOKUP($C25,'S3 - Screening Tool Metrics'!$C$3:$G$19,5,FALSE)/100))*AV25)</f>
        <v>2107.1505928775587</v>
      </c>
      <c r="AY25" s="14">
        <f>IF($C25="other",$C24*AV25,(VLOOKUP($C25,'S3 - Screening Tool Metrics'!$C$3:$G$19,5,FALSE)/100)*AV25)</f>
        <v>991.60027900120417</v>
      </c>
      <c r="AZ25" s="14">
        <f t="shared" si="11"/>
        <v>9.3830457891862622</v>
      </c>
      <c r="BA25" s="18"/>
      <c r="BB25" s="19"/>
      <c r="BC25" s="80"/>
      <c r="BD25" s="80"/>
      <c r="BE25" s="80"/>
      <c r="BF25" s="80"/>
      <c r="BG25" s="80"/>
      <c r="BH25" s="80"/>
      <c r="BI25" s="80"/>
      <c r="BJ25" s="80"/>
      <c r="BK25" s="80"/>
      <c r="BL25" s="80"/>
      <c r="BM25" s="80"/>
      <c r="BN25" s="80"/>
      <c r="BO25" s="80"/>
      <c r="BP25" s="468"/>
      <c r="BQ25" s="80"/>
      <c r="BR25" s="94"/>
    </row>
    <row r="26" spans="1:70" ht="17" hidden="1" thickBot="1" x14ac:dyDescent="0.25">
      <c r="A26" s="1305"/>
      <c r="B26" s="700" t="s">
        <v>10</v>
      </c>
      <c r="C26" s="1005" t="str">
        <f>$C22</f>
        <v>PSA_3ng/mL cut-off</v>
      </c>
      <c r="D26" s="976" t="s">
        <v>239</v>
      </c>
      <c r="E26" s="982">
        <f>VLOOKUP($B26&amp;"_"&amp;$D26,'App5 - CRUK Inci Rates'!C:H,6,FALSE)</f>
        <v>486.82466185429951</v>
      </c>
      <c r="F26" s="983">
        <f>VLOOKUP($B26&amp;"_"&amp;$D26,'App5 - CRUK Inci Rates'!C:H,3,FALSE)</f>
        <v>0</v>
      </c>
      <c r="G26" s="993">
        <f>VLOOKUP($B26&amp;"_"&amp;$D26,'App5 - CRUK Inci Rates'!C:J,8,FALSE)</f>
        <v>3461821.333333333</v>
      </c>
      <c r="H26" s="944">
        <f>VLOOKUP($B26&amp;"_"&amp;$D26,'App5 - CRUK Inci Rates'!C:K,9,FALSE)</f>
        <v>16853</v>
      </c>
      <c r="I26" s="945">
        <f>VLOOKUP($B26&amp;I$8&amp;$D26,'App6 - Stage-Route-Surv Data'!$E$5:$G$76,3,FALSE)</f>
        <v>0.6049957385432374</v>
      </c>
      <c r="J26" s="945">
        <f>VLOOKUP($B26&amp;J$8&amp;$D26,'App6 - Stage-Route-Surv Data'!$E$5:$G$76,3,FALSE)</f>
        <v>0</v>
      </c>
      <c r="K26" s="945">
        <f>VLOOKUP($B26&amp;K$8&amp;$D26,'App6 - Stage-Route-Surv Data'!$E$5:$G$76,3,FALSE)</f>
        <v>3.1141414803645184E-2</v>
      </c>
      <c r="L26" s="945">
        <f>VLOOKUP($B26&amp;L$8&amp;$D26,'App6 - Stage-Route-Surv Data'!$E$5:$G$76,3,FALSE)</f>
        <v>0.36386284665311741</v>
      </c>
      <c r="M26" s="946">
        <f>(($H26*$I26)*VLOOKUP($B26&amp;$I$8&amp;M$8,'App6 - Stage-Route-Surv Data'!$L$5:$N$52,3,FALSE))+(($H26*$J26)*VLOOKUP($B26&amp;$J$8&amp;M$8,'App6 - Stage-Route-Surv Data'!$L$5:$N$52,3,FALSE))+(($H26*$K26)*VLOOKUP($B26&amp;$K$8&amp;M$8,'App6 - Stage-Route-Surv Data'!$L$5:$N$52,3,FALSE))+(($H26*$L26)*VLOOKUP($B26&amp;$L$8&amp;M$8,'App6 - Stage-Route-Surv Data'!$L$5:$N$52,3,FALSE))</f>
        <v>6756.8901734408828</v>
      </c>
      <c r="N26" s="946">
        <f>(($H26*$I26)*VLOOKUP($B26&amp;$I$8&amp;N$8,'App6 - Stage-Route-Surv Data'!$L$5:$N$52,3,FALSE))+(($H26*$J26)*VLOOKUP($B26&amp;$J$8&amp;N$8,'App6 - Stage-Route-Surv Data'!$L$5:$N$52,3,FALSE))+(($H26*$K26)*VLOOKUP($B26&amp;$K$8&amp;N$8,'App6 - Stage-Route-Surv Data'!$L$5:$N$52,3,FALSE))+(($H26*$L26)*VLOOKUP($B26&amp;$L$8&amp;N$8,'App6 - Stage-Route-Surv Data'!$L$5:$N$52,3,FALSE))</f>
        <v>2587.4263745897233</v>
      </c>
      <c r="O26" s="946">
        <f>(($H26*$I26)*VLOOKUP($B26&amp;$I$8&amp;O$8,'App6 - Stage-Route-Surv Data'!$L$5:$N$52,3,FALSE))+(($H26*$J26)*VLOOKUP($B26&amp;$J$8&amp;O$8,'App6 - Stage-Route-Surv Data'!$L$5:$N$52,3,FALSE))+(($H26*$K26)*VLOOKUP($B26&amp;$K$8&amp;O$8,'App6 - Stage-Route-Surv Data'!$L$5:$N$52,3,FALSE))+(($H26*$L26)*VLOOKUP($B26&amp;$L$8&amp;O$8,'App6 - Stage-Route-Surv Data'!$L$5:$N$52,3,FALSE))</f>
        <v>4520.6898367553804</v>
      </c>
      <c r="P26" s="946">
        <f>(($H26*$I26)*VLOOKUP($B26&amp;$I$8&amp;P$8,'App6 - Stage-Route-Surv Data'!$L$5:$N$52,3,FALSE))+(($H26*$J26)*VLOOKUP($B26&amp;$J$8&amp;P$8,'App6 - Stage-Route-Surv Data'!$L$5:$N$52,3,FALSE))+(($H26*$K26)*VLOOKUP($B26&amp;$K$8&amp;P$8,'App6 - Stage-Route-Surv Data'!$L$5:$N$52,3,FALSE))+(($H26*$L26)*VLOOKUP($B26&amp;$L$8&amp;P$8,'App6 - Stage-Route-Surv Data'!$L$5:$N$52,3,FALSE))</f>
        <v>2987.9936152140158</v>
      </c>
      <c r="Q26" s="946">
        <f>M26*VLOOKUP($B26&amp;$D26&amp;Q$8,'App6 - Stage-Route-Surv Data'!$S$5:$T$40,2,FALSE)</f>
        <v>6824.4590751752921</v>
      </c>
      <c r="R26" s="946">
        <f>N26*VLOOKUP($B26&amp;$D26&amp;R$8,'App6 - Stage-Route-Surv Data'!$S$5:$T$40,2,FALSE)</f>
        <v>2587.4263745897233</v>
      </c>
      <c r="S26" s="946">
        <f>O26*VLOOKUP($B26&amp;$D26&amp;S$8,'App6 - Stage-Route-Surv Data'!$S$5:$T$40,2,FALSE)</f>
        <v>4475.4829383878268</v>
      </c>
      <c r="T26" s="946">
        <f>P26*VLOOKUP($B26&amp;$D26&amp;T$8,'App6 - Stage-Route-Surv Data'!$S$5:$T$40,2,FALSE)</f>
        <v>1703.1563606719888</v>
      </c>
      <c r="U26" s="944">
        <f>SUM(Q26:T26)</f>
        <v>15590.52474882483</v>
      </c>
      <c r="V26" s="947">
        <f>U26/H26</f>
        <v>0.92508899002105438</v>
      </c>
      <c r="W26" s="101">
        <f t="shared" si="6"/>
        <v>692364.2666666666</v>
      </c>
      <c r="X26" s="98">
        <f>VLOOKUP("*"&amp;$B26&amp;"*",'S4 - Summ PRS Characteristics'!$C$5:$Q$12,12,FALSE)*$H26</f>
        <v>7728.0508430503214</v>
      </c>
      <c r="Y26" s="98">
        <f t="shared" si="7"/>
        <v>9124.9491569496786</v>
      </c>
      <c r="Z26" s="98">
        <f>IF($C26="other",(1-#REF!)*X26,(1-(VLOOKUP($C26,'S3 - Screening Tool Metrics'!$C$3:$G$19,5,FALSE)/100))*X26)</f>
        <v>5255.074573274218</v>
      </c>
      <c r="AA26" s="98">
        <f>IF($C26="other",#REF!*X26,(VLOOKUP($C26,'S3 - Screening Tool Metrics'!$C$3:$G$19,5,FALSE)/100)*X26)</f>
        <v>2472.976269776103</v>
      </c>
      <c r="AB26" s="102">
        <f t="shared" si="8"/>
        <v>14.673804484519687</v>
      </c>
      <c r="AC26" s="101"/>
      <c r="AD26" s="102"/>
      <c r="AS26" s="104">
        <f>U48-U26</f>
        <v>157.58470906550974</v>
      </c>
      <c r="AT26" s="105">
        <f>(U48/$H26)-($U26/$H26)</f>
        <v>9.3505434679588273E-3</v>
      </c>
      <c r="AU26" s="101">
        <f t="shared" si="9"/>
        <v>346182.1333333333</v>
      </c>
      <c r="AV26" s="98">
        <f>VLOOKUP("*"&amp;$B26&amp;"*",'S4 - Summ PRS Characteristics'!$C$5:$Q$12,13,FALSE)*$H26</f>
        <v>4941.6397089111279</v>
      </c>
      <c r="AW26" s="98">
        <f t="shared" si="10"/>
        <v>11911.360291088873</v>
      </c>
      <c r="AX26" s="98">
        <f>IF($C26="other",(1-$C20)*AV26,(1-(VLOOKUP($C26,'S3 - Screening Tool Metrics'!$C$3:$G$19,5,FALSE)/100))*AV26)</f>
        <v>3360.3150020595667</v>
      </c>
      <c r="AY26" s="98">
        <f>IF($C26="other",$C25*AV26,(VLOOKUP($C26,'S3 - Screening Tool Metrics'!$C$3:$G$19,5,FALSE)/100)*AV26)</f>
        <v>1581.3247068515609</v>
      </c>
      <c r="AZ26" s="98">
        <f t="shared" si="11"/>
        <v>9.383045789186264</v>
      </c>
      <c r="BA26" s="101"/>
      <c r="BB26" s="102"/>
      <c r="BC26" s="873">
        <f>(1-BD26)*($I26/SUM($I26,$K26,$L26))</f>
        <v>0.54822871137309981</v>
      </c>
      <c r="BD26" s="103">
        <f>AY26/$H26</f>
        <v>9.3830457891862631E-2</v>
      </c>
      <c r="BE26" s="103">
        <f>(1-BD26)*($K26/SUM($I26,$K26,$L26))</f>
        <v>2.8219401593218729E-2</v>
      </c>
      <c r="BF26" s="103">
        <f>(1-BD26)*($L26/SUM($I26,$K26,$L26))</f>
        <v>0.32972142914181879</v>
      </c>
      <c r="BG26" s="100">
        <f>(($H26*$BC26)*VLOOKUP($B26&amp;$BC$8&amp;BG$8,'App6 - Stage-Route-Surv Data'!$L$5:$N$52,3,FALSE))+(($H26*$BD26)*VLOOKUP($B26&amp;$BD$8&amp;BG$8,'App6 - Stage-Route-Surv Data'!$L$5:$N$52,3,FALSE))+(($H26*$BE26)*VLOOKUP($B26&amp;$BE$8&amp;BG$8,'App6 - Stage-Route-Surv Data'!$L$5:$N$52,3,FALSE))+(($H26*$BF26)*VLOOKUP($B26&amp;$BF$8&amp;BG$8,'App6 - Stage-Route-Surv Data'!$L$5:$N$52,3,FALSE))</f>
        <v>7062.7320040857485</v>
      </c>
      <c r="BH26" s="100">
        <f>(($H26*$BC26)*VLOOKUP($B26&amp;$BC$8&amp;BH$8,'App6 - Stage-Route-Surv Data'!$L$5:$N$52,3,FALSE))+(($H26*$BD26)*VLOOKUP($B26&amp;$BD$8&amp;BH$8,'App6 - Stage-Route-Surv Data'!$L$5:$N$52,3,FALSE))+(($H26*$BE26)*VLOOKUP($B26&amp;$BE$8&amp;BH$8,'App6 - Stage-Route-Surv Data'!$L$5:$N$52,3,FALSE))+(($H26*$BF26)*VLOOKUP($B26&amp;$BF$8&amp;BH$8,'App6 - Stage-Route-Surv Data'!$L$5:$N$52,3,FALSE))</f>
        <v>2795.3474655648924</v>
      </c>
      <c r="BI26" s="100">
        <f>(($H26*$BC26)*VLOOKUP($B26&amp;$BC$8&amp;BI$8,'App6 - Stage-Route-Surv Data'!$L$5:$N$52,3,FALSE))+(($H26*$BD26)*VLOOKUP($B26&amp;$BD$8&amp;BI$8,'App6 - Stage-Route-Surv Data'!$L$5:$N$52,3,FALSE))+(($H26*$BE26)*VLOOKUP($B26&amp;$BE$8&amp;BI$8,'App6 - Stage-Route-Surv Data'!$L$5:$N$52,3,FALSE))+(($H26*$BF26)*VLOOKUP($B26&amp;$BF$8&amp;BI$8,'App6 - Stage-Route-Surv Data'!$L$5:$N$52,3,FALSE))</f>
        <v>4227.3322061352264</v>
      </c>
      <c r="BJ26" s="100">
        <f>(($H26*$BC26)*VLOOKUP($B26&amp;$BC$8&amp;BJ$8,'App6 - Stage-Route-Surv Data'!$L$5:$N$52,3,FALSE))+(($H26*$BD26)*VLOOKUP($B26&amp;$BD$8&amp;BJ$8,'App6 - Stage-Route-Surv Data'!$L$5:$N$52,3,FALSE))+(($H26*$BE26)*VLOOKUP($B26&amp;$BE$8&amp;BJ$8,'App6 - Stage-Route-Surv Data'!$L$5:$N$52,3,FALSE))+(($H26*$BF26)*VLOOKUP($B26&amp;$BF$8&amp;BJ$8,'App6 - Stage-Route-Surv Data'!$L$5:$N$52,3,FALSE))</f>
        <v>2767.5883242141322</v>
      </c>
      <c r="BK26" s="100">
        <f>BG26*VLOOKUP($B26&amp;$D26&amp;BK$8,'App6 - Stage-Route-Surv Data'!$S$5:$T$40,2,FALSE)</f>
        <v>7133.3593241266062</v>
      </c>
      <c r="BL26" s="100">
        <f>BH26*VLOOKUP($B26&amp;$D26&amp;BL$8,'App6 - Stage-Route-Surv Data'!$S$5:$T$40,2,FALSE)</f>
        <v>2795.3474655648924</v>
      </c>
      <c r="BM26" s="100">
        <f>BI26*VLOOKUP($B26&amp;$D26&amp;BM$8,'App6 - Stage-Route-Surv Data'!$S$5:$T$40,2,FALSE)</f>
        <v>4185.0588840738737</v>
      </c>
      <c r="BN26" s="100">
        <f>BJ26*VLOOKUP($B26&amp;$D26&amp;BN$8,'App6 - Stage-Route-Surv Data'!$S$5:$T$40,2,FALSE)</f>
        <v>1577.5253448020553</v>
      </c>
      <c r="BO26" s="100">
        <f>SUM(BK26:BN26)</f>
        <v>15691.29101856743</v>
      </c>
      <c r="BP26" s="469">
        <f>BO26/H26</f>
        <v>0.93106811953761526</v>
      </c>
      <c r="BQ26" s="104">
        <f>BO26-U26</f>
        <v>100.76626974260034</v>
      </c>
      <c r="BR26" s="105">
        <f>(BO26/$H26)-($U26/$H26)</f>
        <v>5.9791295165608771E-3</v>
      </c>
    </row>
    <row r="27" spans="1:70" ht="17" thickBot="1" x14ac:dyDescent="0.25">
      <c r="A27" s="1305"/>
      <c r="B27" s="953" t="s">
        <v>11</v>
      </c>
      <c r="C27" s="954"/>
      <c r="D27" s="966"/>
      <c r="E27" s="966"/>
      <c r="F27" s="967"/>
      <c r="G27" s="968"/>
      <c r="H27" s="969"/>
      <c r="I27" s="970"/>
      <c r="J27" s="970"/>
      <c r="K27" s="970"/>
      <c r="L27" s="970"/>
      <c r="M27" s="971"/>
      <c r="N27" s="971"/>
      <c r="O27" s="971"/>
      <c r="P27" s="971"/>
      <c r="Q27" s="971"/>
      <c r="R27" s="971"/>
      <c r="S27" s="971"/>
      <c r="T27" s="971"/>
      <c r="U27" s="971"/>
      <c r="V27" s="955"/>
      <c r="W27" s="40"/>
      <c r="X27" s="39"/>
      <c r="Y27" s="39"/>
      <c r="Z27" s="39"/>
      <c r="AA27" s="39"/>
      <c r="AB27" s="41"/>
      <c r="AC27" s="40"/>
      <c r="AD27" s="41"/>
      <c r="AS27" s="39"/>
      <c r="AT27" s="39"/>
      <c r="AU27" s="39"/>
      <c r="AV27" s="39"/>
      <c r="AW27" s="39"/>
      <c r="AX27" s="39"/>
      <c r="AY27" s="39"/>
      <c r="AZ27" s="39"/>
      <c r="BA27" s="40"/>
      <c r="BB27" s="41"/>
      <c r="BC27" s="39"/>
      <c r="BD27" s="39"/>
      <c r="BE27" s="39"/>
      <c r="BF27" s="39"/>
      <c r="BG27" s="39"/>
      <c r="BH27" s="39"/>
      <c r="BI27" s="39"/>
      <c r="BJ27" s="39"/>
      <c r="BK27" s="39"/>
      <c r="BL27" s="39"/>
      <c r="BM27" s="39"/>
      <c r="BN27" s="39"/>
      <c r="BO27" s="39"/>
      <c r="BP27" s="466"/>
      <c r="BQ27" s="39"/>
      <c r="BR27" s="41"/>
    </row>
    <row r="28" spans="1:70" ht="15.5" hidden="1" customHeight="1" x14ac:dyDescent="0.2">
      <c r="A28" s="1305"/>
      <c r="B28" s="728" t="s">
        <v>11</v>
      </c>
      <c r="C28" s="742" t="s">
        <v>143</v>
      </c>
      <c r="D28" s="978" t="s">
        <v>194</v>
      </c>
      <c r="E28" s="988">
        <f>VLOOKUP($B28&amp;"_"&amp;$D28,'App5 - CRUK Inci Rates'!C:H,6,FALSE)</f>
        <v>47.1</v>
      </c>
      <c r="F28" s="989">
        <f>VLOOKUP($B28&amp;"_"&amp;$D28,'App5 - CRUK Inci Rates'!C:H,3,FALSE)</f>
        <v>37.1</v>
      </c>
      <c r="G28" s="995">
        <f>VLOOKUP($B28&amp;"_"&amp;$D28,'App5 - CRUK Inci Rates'!C:J,8,FALSE)</f>
        <v>4658110.666666666</v>
      </c>
      <c r="H28" s="705">
        <f>VLOOKUP($B28&amp;"_"&amp;$D28,'App5 - CRUK Inci Rates'!C:K,9,FALSE)</f>
        <v>1958</v>
      </c>
      <c r="I28" s="931"/>
      <c r="J28" s="931"/>
      <c r="K28" s="931"/>
      <c r="L28" s="931"/>
      <c r="M28" s="931"/>
      <c r="N28" s="931"/>
      <c r="O28" s="931"/>
      <c r="P28" s="931"/>
      <c r="Q28" s="931"/>
      <c r="R28" s="931"/>
      <c r="S28" s="931"/>
      <c r="T28" s="931"/>
      <c r="U28" s="932"/>
      <c r="V28" s="933"/>
      <c r="W28" s="26">
        <f>$G28*W$5</f>
        <v>931622.1333333333</v>
      </c>
      <c r="X28" s="25">
        <f>VLOOKUP("*"&amp;$B28&amp;"*",'S4 - Summ PRS Characteristics'!$C$5:$Q$12,12,FALSE)*$H28</f>
        <v>659.79526771036024</v>
      </c>
      <c r="Y28" s="25">
        <f>$H28-X28</f>
        <v>1298.2047322896397</v>
      </c>
      <c r="Z28" s="25">
        <f>IF($C28="other",(1-#REF!)*X28,(1-(VLOOKUP($C28,'S3 - Screening Tool Metrics'!$C$3:$G$19,5,FALSE)/100))*X28)</f>
        <v>197.9385803131081</v>
      </c>
      <c r="AA28" s="25">
        <f>IF($C28="other",#REF!*X28,(VLOOKUP($C28,'S3 - Screening Tool Metrics'!$C$3:$G$19,5,FALSE)/100)*X28)</f>
        <v>461.85668739725213</v>
      </c>
      <c r="AB28" s="27">
        <f>$AA28/$H28*100</f>
        <v>23.588186281779986</v>
      </c>
      <c r="AC28" s="26"/>
      <c r="AD28" s="27"/>
      <c r="AS28" s="81"/>
      <c r="AT28" s="92"/>
      <c r="AU28" s="26">
        <f>$G28*AU$5</f>
        <v>465811.06666666665</v>
      </c>
      <c r="AV28" s="25">
        <f>VLOOKUP("*"&amp;$B28&amp;"*",'S4 - Summ PRS Characteristics'!$C$5:$Q$12,13,FALSE)*$H28</f>
        <v>381.24421101120066</v>
      </c>
      <c r="AW28" s="25">
        <f>$H28-AV28</f>
        <v>1576.7557889887994</v>
      </c>
      <c r="AX28" s="25">
        <f>IF($C28="other",(1-$C27)*AV28,(1-(VLOOKUP($C28,'S3 - Screening Tool Metrics'!$C$3:$G$19,5,FALSE)/100))*AV28)</f>
        <v>114.37326330336022</v>
      </c>
      <c r="AY28" s="25">
        <f>IF($C28="other",$C27*AV28,(VLOOKUP($C28,'S3 - Screening Tool Metrics'!$C$3:$G$19,5,FALSE)/100)*AV28)</f>
        <v>266.87094770784046</v>
      </c>
      <c r="AZ28" s="25">
        <f>$AY28/$H28*100</f>
        <v>13.629772610206356</v>
      </c>
      <c r="BA28" s="26"/>
      <c r="BB28" s="27"/>
      <c r="BC28" s="81"/>
      <c r="BD28" s="81"/>
      <c r="BE28" s="81"/>
      <c r="BF28" s="81"/>
      <c r="BG28" s="81"/>
      <c r="BH28" s="81"/>
      <c r="BI28" s="81"/>
      <c r="BJ28" s="81"/>
      <c r="BK28" s="81"/>
      <c r="BL28" s="81"/>
      <c r="BM28" s="81"/>
      <c r="BN28" s="81"/>
      <c r="BO28" s="81"/>
      <c r="BP28" s="467"/>
      <c r="BQ28" s="81"/>
      <c r="BR28" s="92"/>
    </row>
    <row r="29" spans="1:70" ht="15.5" hidden="1" customHeight="1" x14ac:dyDescent="0.2">
      <c r="A29" s="1305"/>
      <c r="B29" s="700" t="s">
        <v>11</v>
      </c>
      <c r="C29" s="934" t="str">
        <f>C28</f>
        <v>FIT 20-50 µg/g threshold (CRC)</v>
      </c>
      <c r="D29" s="975" t="s">
        <v>195</v>
      </c>
      <c r="E29" s="980">
        <f>VLOOKUP($B29&amp;"_"&amp;$D29,'App5 - CRUK Inci Rates'!C:H,6,FALSE)</f>
        <v>87.7</v>
      </c>
      <c r="F29" s="981">
        <f>VLOOKUP($B29&amp;"_"&amp;$D29,'App5 - CRUK Inci Rates'!C:H,3,FALSE)</f>
        <v>60.6</v>
      </c>
      <c r="G29" s="992">
        <f>VLOOKUP($B29&amp;"_"&amp;$D29,'App5 - CRUK Inci Rates'!C:J,8,FALSE)</f>
        <v>4181606</v>
      </c>
      <c r="H29" s="709">
        <f>VLOOKUP($B29&amp;"_"&amp;$D29,'App5 - CRUK Inci Rates'!C:K,9,FALSE)</f>
        <v>3094</v>
      </c>
      <c r="I29" s="935"/>
      <c r="J29" s="935"/>
      <c r="K29" s="935"/>
      <c r="L29" s="935"/>
      <c r="M29" s="935"/>
      <c r="N29" s="935"/>
      <c r="O29" s="935"/>
      <c r="P29" s="935"/>
      <c r="Q29" s="935"/>
      <c r="R29" s="935"/>
      <c r="S29" s="935"/>
      <c r="T29" s="935"/>
      <c r="U29" s="936"/>
      <c r="V29" s="937"/>
      <c r="W29" s="18">
        <f>$G29*W$5</f>
        <v>836321.20000000007</v>
      </c>
      <c r="X29" s="14">
        <f>VLOOKUP("*"&amp;$B29&amp;"*",'S4 - Summ PRS Characteristics'!$C$5:$Q$12,12,FALSE)*$H29</f>
        <v>1042.5978336546755</v>
      </c>
      <c r="Y29" s="14">
        <f>$H29-X29</f>
        <v>2051.4021663453245</v>
      </c>
      <c r="Z29" s="14">
        <f>IF($C29="other",(1-#REF!)*X29,(1-(VLOOKUP($C29,'S3 - Screening Tool Metrics'!$C$3:$G$19,5,FALSE)/100))*X29)</f>
        <v>312.77935009640271</v>
      </c>
      <c r="AA29" s="14">
        <f>IF($C29="other",#REF!*X29,(VLOOKUP($C29,'S3 - Screening Tool Metrics'!$C$3:$G$19,5,FALSE)/100)*X29)</f>
        <v>729.81848355827276</v>
      </c>
      <c r="AB29" s="19">
        <f>$AA29/$H29*100</f>
        <v>23.588186281779986</v>
      </c>
      <c r="AC29" s="18"/>
      <c r="AD29" s="19"/>
      <c r="AS29" s="80"/>
      <c r="AT29" s="94"/>
      <c r="AU29" s="18">
        <f>$G29*AU$5</f>
        <v>418160.60000000003</v>
      </c>
      <c r="AV29" s="14">
        <f>VLOOKUP("*"&amp;$B29&amp;"*",'S4 - Summ PRS Characteristics'!$C$5:$Q$12,13,FALSE)*$H29</f>
        <v>602.43594937112096</v>
      </c>
      <c r="AW29" s="14">
        <f>$H29-AV29</f>
        <v>2491.5640506288792</v>
      </c>
      <c r="AX29" s="14">
        <f>IF($C29="other",(1-$C27)*AV29,(1-(VLOOKUP($C29,'S3 - Screening Tool Metrics'!$C$3:$G$19,5,FALSE)/100))*AV29)</f>
        <v>180.73078481133632</v>
      </c>
      <c r="AY29" s="14">
        <f>IF($C29="other",$C28*AV29,(VLOOKUP($C29,'S3 - Screening Tool Metrics'!$C$3:$G$19,5,FALSE)/100)*AV29)</f>
        <v>421.70516455978463</v>
      </c>
      <c r="AZ29" s="14">
        <f>$AY29/$H29*100</f>
        <v>13.629772610206356</v>
      </c>
      <c r="BA29" s="18"/>
      <c r="BB29" s="19"/>
      <c r="BC29" s="80"/>
      <c r="BD29" s="80"/>
      <c r="BE29" s="80"/>
      <c r="BF29" s="80"/>
      <c r="BG29" s="80"/>
      <c r="BH29" s="80"/>
      <c r="BI29" s="80"/>
      <c r="BJ29" s="80"/>
      <c r="BK29" s="80"/>
      <c r="BL29" s="80"/>
      <c r="BM29" s="80"/>
      <c r="BN29" s="80"/>
      <c r="BO29" s="80"/>
      <c r="BP29" s="468"/>
      <c r="BQ29" s="80"/>
      <c r="BR29" s="94"/>
    </row>
    <row r="30" spans="1:70" ht="17" thickBot="1" x14ac:dyDescent="0.25">
      <c r="A30" s="1305"/>
      <c r="B30" s="731" t="s">
        <v>11</v>
      </c>
      <c r="C30" s="1007" t="str">
        <f>C29</f>
        <v>FIT 20-50 µg/g threshold (CRC)</v>
      </c>
      <c r="D30" s="979" t="s">
        <v>230</v>
      </c>
      <c r="E30" s="990">
        <f>VLOOKUP($B30&amp;"_"&amp;$D30,'App5 - CRUK Inci Rates'!C:H,6,FALSE)</f>
        <v>66.354542653419429</v>
      </c>
      <c r="F30" s="991">
        <f>VLOOKUP($B30&amp;"_"&amp;$D30,'App5 - CRUK Inci Rates'!C:H,3,FALSE)</f>
        <v>48.212380665809548</v>
      </c>
      <c r="G30" s="996">
        <f>VLOOKUP($B30&amp;"_"&amp;$D30,'App5 - CRUK Inci Rates'!C:J,8,FALSE)</f>
        <v>8839716.6666666679</v>
      </c>
      <c r="H30" s="939">
        <f>VLOOKUP($B30&amp;"_"&amp;$D30,'App5 - CRUK Inci Rates'!C:K,9,FALSE)</f>
        <v>5052</v>
      </c>
      <c r="I30" s="940">
        <f>VLOOKUP($B30&amp;I$8&amp;$D30,'App6 - Stage-Route-Surv Data'!$E$5:$G$76,3,FALSE)+(VLOOKUP($B30&amp;J$8&amp;$D30,'App6 - Stage-Route-Surv Data'!$E$5:$G$76,3,FALSE)*(VLOOKUP($B30&amp;I$8&amp;$D30,'App6 - Stage-Route-Surv Data'!$E$5:$G$76,3,FALSE)/SUM(VLOOKUP($B30&amp;I$8&amp;$D30,'App6 - Stage-Route-Surv Data'!$E$5:$G$76,3,FALSE),VLOOKUP($B30&amp;K$8&amp;$D30,'App6 - Stage-Route-Surv Data'!$E$5:$G$76,3,FALSE),VLOOKUP($B30&amp;L$8&amp;$D30,'App6 - Stage-Route-Surv Data'!$E$5:$G$76,3,FALSE))))</f>
        <v>0.43463801483755432</v>
      </c>
      <c r="J30" s="940">
        <v>0</v>
      </c>
      <c r="K30" s="940">
        <f>VLOOKUP($B30&amp;K$8&amp;$D30,'App6 - Stage-Route-Surv Data'!$E$5:$G$76,3,FALSE)+(VLOOKUP($B30&amp;J$8&amp;$D30,'App6 - Stage-Route-Surv Data'!$E$5:$G$76,3,FALSE)*(VLOOKUP($B30&amp;K$8&amp;$D30,'App6 - Stage-Route-Surv Data'!$E$5:$G$76,3,FALSE)/SUM(VLOOKUP($B30&amp;I$8&amp;$D30,'App6 - Stage-Route-Surv Data'!$E$5:$G$76,3,FALSE),VLOOKUP($B30&amp;K$8&amp;$D30,'App6 - Stage-Route-Surv Data'!$E$5:$G$76,3,FALSE),VLOOKUP($B30&amp;L$8&amp;$D30,'App6 - Stage-Route-Surv Data'!$E$5:$G$76,3,FALSE))))</f>
        <v>0.21514453824507548</v>
      </c>
      <c r="L30" s="940">
        <f>VLOOKUP($B30&amp;L$8&amp;$D30,'App6 - Stage-Route-Surv Data'!$E$5:$G$76,3,FALSE)+(VLOOKUP($B30&amp;J$8&amp;$D30,'App6 - Stage-Route-Surv Data'!$E$5:$G$76,3,FALSE)*(VLOOKUP($B30&amp;L$8&amp;$D30,'App6 - Stage-Route-Surv Data'!$E$5:$G$76,3,FALSE)/SUM(VLOOKUP($B30&amp;I$8&amp;$D30,'App6 - Stage-Route-Surv Data'!$E$5:$G$76,3,FALSE),VLOOKUP($B30&amp;K$8&amp;$D30,'App6 - Stage-Route-Surv Data'!$E$5:$G$76,3,FALSE),VLOOKUP($B30&amp;L$8&amp;$D30,'App6 - Stage-Route-Surv Data'!$E$5:$G$76,3,FALSE))))</f>
        <v>0.35021744691737017</v>
      </c>
      <c r="M30" s="941">
        <f>(($H30*$I30)*VLOOKUP($B30&amp;$I$8&amp;M$8,'App6 - Stage-Route-Surv Data'!$L$5:$N$36,3,FALSE))+(($H30*$J30)*VLOOKUP($B30&amp;$J$8&amp;M$8,'App6 - Stage-Route-Surv Data'!$L$5:$N$36,3,FALSE))+(($H30*$K30)*VLOOKUP($B30&amp;$K$8&amp;M$8,'App6 - Stage-Route-Surv Data'!$L$5:$N$36,3,FALSE))+(($H30*$L30)*VLOOKUP($B30&amp;$L$8&amp;M$8,'App6 - Stage-Route-Surv Data'!$L$5:$N$36,3,FALSE))</f>
        <v>862.80307903941525</v>
      </c>
      <c r="N30" s="941">
        <f>(($H30*$I30)*VLOOKUP($B30&amp;$I$8&amp;N$8,'App6 - Stage-Route-Surv Data'!$L$5:$N$36,3,FALSE))+(($H30*$J30)*VLOOKUP($B30&amp;$J$8&amp;N$8,'App6 - Stage-Route-Surv Data'!$L$5:$N$36,3,FALSE))+(($H30*$K30)*VLOOKUP($B30&amp;$K$8&amp;N$8,'App6 - Stage-Route-Surv Data'!$L$5:$N$36,3,FALSE))+(($H30*$L30)*VLOOKUP($B30&amp;$L$8&amp;N$8,'App6 - Stage-Route-Surv Data'!$L$5:$N$36,3,FALSE))</f>
        <v>1294.6750782216038</v>
      </c>
      <c r="O30" s="941">
        <f>(($H30*$I30)*VLOOKUP($B30&amp;$I$8&amp;O$8,'App6 - Stage-Route-Surv Data'!$L$5:$N$36,3,FALSE))+(($H30*$J30)*VLOOKUP($B30&amp;$J$8&amp;O$8,'App6 - Stage-Route-Surv Data'!$L$5:$N$36,3,FALSE))+(($H30*$K30)*VLOOKUP($B30&amp;$K$8&amp;O$8,'App6 - Stage-Route-Surv Data'!$L$5:$N$36,3,FALSE))+(($H30*$L30)*VLOOKUP($B30&amp;$L$8&amp;O$8,'App6 - Stage-Route-Surv Data'!$L$5:$N$36,3,FALSE))</f>
        <v>1536.6538869017895</v>
      </c>
      <c r="P30" s="941">
        <f>(($H30*$I30)*VLOOKUP($B30&amp;$I$8&amp;P$8,'App6 - Stage-Route-Surv Data'!$L$5:$N$36,3,FALSE))+(($H30*$J30)*VLOOKUP($B30&amp;$J$8&amp;P$8,'App6 - Stage-Route-Surv Data'!$L$5:$N$36,3,FALSE))+(($H30*$K30)*VLOOKUP($B30&amp;$K$8&amp;P$8,'App6 - Stage-Route-Surv Data'!$L$5:$N$36,3,FALSE))+(($H30*$L30)*VLOOKUP($B30&amp;$L$8&amp;P$8,'App6 - Stage-Route-Surv Data'!$L$5:$N$36,3,FALSE))</f>
        <v>1357.8679558371914</v>
      </c>
      <c r="Q30" s="941">
        <f>M30*VLOOKUP($B30&amp;$D30&amp;Q$8,'App6 - Stage-Route-Surv Data'!$S$5:$T$40,2,FALSE)</f>
        <v>830.38247634317838</v>
      </c>
      <c r="R30" s="941">
        <f>N30*VLOOKUP($B30&amp;$D30&amp;R$8,'App6 - Stage-Route-Surv Data'!$S$5:$T$40,2,FALSE)</f>
        <v>1151.220644888514</v>
      </c>
      <c r="S30" s="941">
        <f>O30*VLOOKUP($B30&amp;$D30&amp;S$8,'App6 - Stage-Route-Surv Data'!$S$5:$T$40,2,FALSE)</f>
        <v>1152.6953058295351</v>
      </c>
      <c r="T30" s="941">
        <f>P30*VLOOKUP($B30&amp;$D30&amp;T$8,'App6 - Stage-Route-Surv Data'!$S$5:$T$40,2,FALSE)</f>
        <v>202.6708985941041</v>
      </c>
      <c r="U30" s="939">
        <f>SUM(Q30:T30)</f>
        <v>3336.9693256553319</v>
      </c>
      <c r="V30" s="942">
        <f>U30/H30</f>
        <v>0.6605244112540245</v>
      </c>
      <c r="W30" s="101">
        <f>$G30*W$5</f>
        <v>1767943.3333333337</v>
      </c>
      <c r="X30" s="98">
        <f>VLOOKUP("*"&amp;$B30&amp;"*",'S4 - Summ PRS Characteristics'!$C$5:$Q$12,12,FALSE)*$H30</f>
        <v>1702.3931013650356</v>
      </c>
      <c r="Y30" s="98">
        <f>$H30-X30</f>
        <v>3349.6068986349646</v>
      </c>
      <c r="Z30" s="98">
        <f>IF($C30="other",(1-#REF!)*X30,(1-(VLOOKUP($C30,'S3 - Screening Tool Metrics'!$C$3:$G$19,5,FALSE)/100))*X30)</f>
        <v>510.71793040951076</v>
      </c>
      <c r="AA30" s="98">
        <f>IF($C30="other",#REF!*X30,(VLOOKUP($C30,'S3 - Screening Tool Metrics'!$C$3:$G$19,5,FALSE)/100)*X30)</f>
        <v>1191.6751709555249</v>
      </c>
      <c r="AB30" s="102">
        <f>$AA30/$H30*100</f>
        <v>23.588186281779986</v>
      </c>
      <c r="AC30" s="101"/>
      <c r="AD30" s="102"/>
      <c r="AS30" s="104">
        <f>U52-U30</f>
        <v>188.00493545992049</v>
      </c>
      <c r="AT30" s="105">
        <f>(U52/$H30)-($U30/$H30)</f>
        <v>3.7213961888345359E-2</v>
      </c>
      <c r="AU30" s="101">
        <f>$G30*AU$5</f>
        <v>883971.66666666686</v>
      </c>
      <c r="AV30" s="98">
        <f>VLOOKUP("*"&amp;$B30&amp;"*",'S4 - Summ PRS Characteristics'!$C$5:$Q$12,13,FALSE)*$H30</f>
        <v>983.68016038232167</v>
      </c>
      <c r="AW30" s="98">
        <f>$H30-AV30</f>
        <v>4068.3198396176786</v>
      </c>
      <c r="AX30" s="98">
        <f>IF($C30="other",(1-$C27)*AV30,(1-(VLOOKUP($C30,'S3 - Screening Tool Metrics'!$C$3:$G$19,5,FALSE)/100))*AV30)</f>
        <v>295.10404811469652</v>
      </c>
      <c r="AY30" s="98">
        <f>IF($C30="other",$C29*AV30,(VLOOKUP($C30,'S3 - Screening Tool Metrics'!$C$3:$G$19,5,FALSE)/100)*AV30)</f>
        <v>688.57611226762515</v>
      </c>
      <c r="AZ30" s="98">
        <f>$AY30/$H30*100</f>
        <v>13.629772610206356</v>
      </c>
      <c r="BA30" s="101"/>
      <c r="BB30" s="102"/>
      <c r="BC30" s="873">
        <f>(1-BD30)*($I30/SUM($I30,$K30,$L30))</f>
        <v>0.3753978417376807</v>
      </c>
      <c r="BD30" s="103">
        <f>AY30/$H30</f>
        <v>0.13629772610206356</v>
      </c>
      <c r="BE30" s="103">
        <f>(1-BD30)*($K30/SUM($I30,$K30,$L30))</f>
        <v>0.18582082689899324</v>
      </c>
      <c r="BF30" s="103">
        <f>(1-BD30)*($L30/SUM($I30,$K30,$L30))</f>
        <v>0.30248360526126244</v>
      </c>
      <c r="BG30" s="100">
        <f>(($H30*$BC30)*VLOOKUP($B30&amp;$BC$8&amp;BG$8,'App6 - Stage-Route-Surv Data'!$L$5:$N$52,3,FALSE))+(($H30*$BD30)*VLOOKUP($B30&amp;$BD$8&amp;BG$8,'App6 - Stage-Route-Surv Data'!$L$5:$N$52,3,FALSE))+(($H30*$BE30)*VLOOKUP($B30&amp;$BE$8&amp;BG$8,'App6 - Stage-Route-Surv Data'!$L$5:$N$52,3,FALSE))+(($H30*$BF30)*VLOOKUP($B30&amp;$BF$8&amp;BG$8,'App6 - Stage-Route-Surv Data'!$L$5:$N$52,3,FALSE))</f>
        <v>1005.7849555504547</v>
      </c>
      <c r="BH30" s="100">
        <f>(($H30*$BC30)*VLOOKUP($B30&amp;$BC$8&amp;BH$8,'App6 - Stage-Route-Surv Data'!$L$5:$N$52,3,FALSE))+(($H30*$BD30)*VLOOKUP($B30&amp;$BD$8&amp;BH$8,'App6 - Stage-Route-Surv Data'!$L$5:$N$52,3,FALSE))+(($H30*$BE30)*VLOOKUP($B30&amp;$BE$8&amp;BH$8,'App6 - Stage-Route-Surv Data'!$L$5:$N$52,3,FALSE))+(($H30*$BF30)*VLOOKUP($B30&amp;$BF$8&amp;BH$8,'App6 - Stage-Route-Surv Data'!$L$5:$N$52,3,FALSE))</f>
        <v>1288.4169243670133</v>
      </c>
      <c r="BI30" s="100">
        <f>(($H30*$BC30)*VLOOKUP($B30&amp;$BC$8&amp;BI$8,'App6 - Stage-Route-Surv Data'!$L$5:$N$52,3,FALSE))+(($H30*$BD30)*VLOOKUP($B30&amp;$BD$8&amp;BI$8,'App6 - Stage-Route-Surv Data'!$L$5:$N$52,3,FALSE))+(($H30*$BE30)*VLOOKUP($B30&amp;$BE$8&amp;BI$8,'App6 - Stage-Route-Surv Data'!$L$5:$N$52,3,FALSE))+(($H30*$BF30)*VLOOKUP($B30&amp;$BF$8&amp;BI$8,'App6 - Stage-Route-Surv Data'!$L$5:$N$52,3,FALSE))</f>
        <v>1531.6542626999758</v>
      </c>
      <c r="BJ30" s="100">
        <f>(($H30*$BC30)*VLOOKUP($B30&amp;$BC$8&amp;BJ$8,'App6 - Stage-Route-Surv Data'!$L$5:$N$52,3,FALSE))+(($H30*$BD30)*VLOOKUP($B30&amp;$BD$8&amp;BJ$8,'App6 - Stage-Route-Surv Data'!$L$5:$N$52,3,FALSE))+(($H30*$BE30)*VLOOKUP($B30&amp;$BE$8&amp;BJ$8,'App6 - Stage-Route-Surv Data'!$L$5:$N$52,3,FALSE))+(($H30*$BF30)*VLOOKUP($B30&amp;$BF$8&amp;BJ$8,'App6 - Stage-Route-Surv Data'!$L$5:$N$52,3,FALSE))</f>
        <v>1226.1438573825562</v>
      </c>
      <c r="BK30" s="100">
        <f>BG30*VLOOKUP($B30&amp;$D30&amp;BK$8,'App6 - Stage-Route-Surv Data'!$S$5:$T$40,2,FALSE)</f>
        <v>967.99168008132074</v>
      </c>
      <c r="BL30" s="100">
        <f>BH30*VLOOKUP($B30&amp;$D30&amp;BL$8,'App6 - Stage-Route-Surv Data'!$S$5:$T$40,2,FALSE)</f>
        <v>1145.6559159171418</v>
      </c>
      <c r="BM30" s="100">
        <f>BI30*VLOOKUP($B30&amp;$D30&amp;BM$8,'App6 - Stage-Route-Surv Data'!$S$5:$T$40,2,FALSE)</f>
        <v>1148.9449210503303</v>
      </c>
      <c r="BN30" s="100">
        <f>BJ30*VLOOKUP($B30&amp;$D30&amp;BN$8,'App6 - Stage-Route-Surv Data'!$S$5:$T$40,2,FALSE)</f>
        <v>183.01019352662252</v>
      </c>
      <c r="BO30" s="100">
        <f>SUM(BK30:BN30)</f>
        <v>3445.6027105754156</v>
      </c>
      <c r="BP30" s="469">
        <f>BO30/H30</f>
        <v>0.68202745656678854</v>
      </c>
      <c r="BQ30" s="104">
        <f>BO30-U30</f>
        <v>108.6333849200837</v>
      </c>
      <c r="BR30" s="105">
        <f>(BO30/$H30)-($U30/$H30)</f>
        <v>2.1503045312764035E-2</v>
      </c>
    </row>
    <row r="31" spans="1:70" ht="15.5" customHeight="1" x14ac:dyDescent="0.2">
      <c r="A31" s="1304" t="s">
        <v>401</v>
      </c>
      <c r="B31" s="948" t="s">
        <v>8</v>
      </c>
      <c r="C31" s="948"/>
      <c r="D31" s="949"/>
      <c r="E31" s="949"/>
      <c r="F31" s="950"/>
      <c r="G31" s="949"/>
      <c r="H31" s="950"/>
      <c r="I31" s="951"/>
      <c r="J31" s="951"/>
      <c r="K31" s="951"/>
      <c r="L31" s="951"/>
      <c r="M31" s="952"/>
      <c r="N31" s="952"/>
      <c r="O31" s="952"/>
      <c r="P31" s="952"/>
      <c r="Q31" s="952"/>
      <c r="R31" s="952"/>
      <c r="S31" s="952"/>
      <c r="T31" s="952"/>
      <c r="U31" s="950"/>
      <c r="V31" s="948"/>
      <c r="AF31" s="851"/>
      <c r="AQ31" s="462"/>
      <c r="AR31" s="462"/>
      <c r="BP31" s="462"/>
    </row>
    <row r="32" spans="1:70" ht="15.5" hidden="1" customHeight="1" x14ac:dyDescent="0.2">
      <c r="A32" s="1305"/>
      <c r="B32" s="700" t="s">
        <v>8</v>
      </c>
      <c r="C32" s="973" t="s">
        <v>162</v>
      </c>
      <c r="D32" s="975" t="s">
        <v>192</v>
      </c>
      <c r="E32" s="980">
        <f>VLOOKUP($B32&amp;"_"&amp;$D32,'App5 - CRUK Inci Rates'!C:H,6,FALSE)</f>
        <v>0</v>
      </c>
      <c r="F32" s="981">
        <f>VLOOKUP($B32&amp;"_"&amp;$D32,'App5 - CRUK Inci Rates'!C:H,3,FALSE)</f>
        <v>124.6</v>
      </c>
      <c r="G32" s="992">
        <f>VLOOKUP($B32&amp;"_"&amp;$D32,'App5 - CRUK Inci Rates'!C:J,8,FALSE)</f>
        <v>2054223.3333333333</v>
      </c>
      <c r="H32" s="709">
        <f>VLOOKUP($B32&amp;"_"&amp;$D32,'App5 - CRUK Inci Rates'!C:K,9,FALSE)</f>
        <v>2559</v>
      </c>
      <c r="I32" s="935"/>
      <c r="J32" s="935"/>
      <c r="K32" s="935"/>
      <c r="L32" s="935"/>
      <c r="M32" s="935"/>
      <c r="N32" s="935"/>
      <c r="O32" s="935"/>
      <c r="P32" s="935"/>
      <c r="Q32" s="935"/>
      <c r="R32" s="935"/>
      <c r="S32" s="935"/>
      <c r="T32" s="935"/>
      <c r="U32" s="936"/>
      <c r="V32" s="933"/>
    </row>
    <row r="33" spans="1:22" ht="15.5" hidden="1" customHeight="1" x14ac:dyDescent="0.2">
      <c r="A33" s="1305"/>
      <c r="B33" s="700" t="s">
        <v>8</v>
      </c>
      <c r="C33" s="934" t="str">
        <f>$C32</f>
        <v>Digital mammography</v>
      </c>
      <c r="D33" s="975" t="s">
        <v>193</v>
      </c>
      <c r="E33" s="980">
        <f>VLOOKUP($B33&amp;"_"&amp;$D33,'App5 - CRUK Inci Rates'!C:H,6,FALSE)</f>
        <v>0</v>
      </c>
      <c r="F33" s="981">
        <f>VLOOKUP($B33&amp;"_"&amp;$D33,'App5 - CRUK Inci Rates'!C:H,3,FALSE)</f>
        <v>214.8</v>
      </c>
      <c r="G33" s="992">
        <f>VLOOKUP($B33&amp;"_"&amp;$D33,'App5 - CRUK Inci Rates'!C:J,8,FALSE)</f>
        <v>2315479.3333333335</v>
      </c>
      <c r="H33" s="709">
        <f>VLOOKUP($B33&amp;"_"&amp;$D33,'App5 - CRUK Inci Rates'!C:K,9,FALSE)</f>
        <v>4974</v>
      </c>
      <c r="I33" s="935"/>
      <c r="J33" s="935"/>
      <c r="K33" s="935"/>
      <c r="L33" s="935"/>
      <c r="M33" s="935"/>
      <c r="N33" s="935"/>
      <c r="O33" s="935"/>
      <c r="P33" s="935"/>
      <c r="Q33" s="935"/>
      <c r="R33" s="935"/>
      <c r="S33" s="935"/>
      <c r="T33" s="935"/>
      <c r="U33" s="936"/>
      <c r="V33" s="937"/>
    </row>
    <row r="34" spans="1:22" x14ac:dyDescent="0.2">
      <c r="A34" s="1305"/>
      <c r="B34" s="974" t="s">
        <v>8</v>
      </c>
      <c r="C34" s="960" t="str">
        <f>$C33</f>
        <v>Digital mammography</v>
      </c>
      <c r="D34" s="976" t="s">
        <v>229</v>
      </c>
      <c r="E34" s="982">
        <f>VLOOKUP($B34&amp;"_"&amp;$D34,'App5 - CRUK Inci Rates'!C:H,6,FALSE)</f>
        <v>0</v>
      </c>
      <c r="F34" s="983">
        <f>VLOOKUP($B34&amp;"_"&amp;$D34,'App5 - CRUK Inci Rates'!C:H,3,FALSE)</f>
        <v>172.40296040749985</v>
      </c>
      <c r="G34" s="993">
        <f>VLOOKUP($B34&amp;"_"&amp;$D34,'App5 - CRUK Inci Rates'!C:J,8,FALSE)</f>
        <v>4369702.666666667</v>
      </c>
      <c r="H34" s="944">
        <f>VLOOKUP($B34&amp;"_"&amp;$D34,'App5 - CRUK Inci Rates'!C:K,9,FALSE)</f>
        <v>7533</v>
      </c>
      <c r="I34" s="945">
        <f>(1-J34)*($I12/SUM($I12,$K12,$L12))</f>
        <v>0.60360077113567612</v>
      </c>
      <c r="J34" s="945">
        <f>AA12/$H12</f>
        <v>0.26125663537178645</v>
      </c>
      <c r="K34" s="945">
        <f>(1-J34)*($K12/SUM($I12,$K12,$L12))</f>
        <v>1.3283825639186226E-2</v>
      </c>
      <c r="L34" s="945">
        <f>(1-J34)*($L12/SUM($I12,$K12,$L12))</f>
        <v>0.12185876785335119</v>
      </c>
      <c r="M34" s="946">
        <f>(($H12*$I34)*VLOOKUP($B12&amp;$AE$8&amp;AI$8,'App6 - Stage-Route-Surv Data'!$L$5:$N$52,3,FALSE))+(($H12*$J34)*VLOOKUP($B12&amp;$AF$8&amp;AI$8,'App6 - Stage-Route-Surv Data'!$L$5:$N$52,3,FALSE))+(($H12*$K34)*VLOOKUP($B12&amp;$AG$8&amp;AI$8,'App6 - Stage-Route-Surv Data'!$L$5:$N$52,3,FALSE))+(($H12*$L34)*VLOOKUP($B12&amp;$AH$8&amp;AI$8,'App6 - Stage-Route-Surv Data'!$L$5:$N$52,3,FALSE))</f>
        <v>3182.6601427069122</v>
      </c>
      <c r="N34" s="946">
        <f>(($H12*$I34)*VLOOKUP($B12&amp;$AE$8&amp;AJ$8,'App6 - Stage-Route-Surv Data'!$L$5:$N$52,3,FALSE))+(($H12*$J34)*VLOOKUP($B12&amp;$AF$8&amp;AJ$8,'App6 - Stage-Route-Surv Data'!$L$5:$N$52,3,FALSE))+(($H12*$K34)*VLOOKUP($B12&amp;$AG$8&amp;AJ$8,'App6 - Stage-Route-Surv Data'!$L$5:$N$52,3,FALSE))+(($H12*$L34)*VLOOKUP($B12&amp;$AH$8&amp;AJ$8,'App6 - Stage-Route-Surv Data'!$L$5:$N$52,3,FALSE))</f>
        <v>3246.4977357707112</v>
      </c>
      <c r="O34" s="946">
        <f>(($H12*$I34)*VLOOKUP($B12&amp;$AE$8&amp;AK$8,'App6 - Stage-Route-Surv Data'!$L$5:$N$52,3,FALSE))+(($H12*$J34)*VLOOKUP($B12&amp;$AF$8&amp;AK$8,'App6 - Stage-Route-Surv Data'!$L$5:$N$52,3,FALSE))+(($H12*$K34)*VLOOKUP($B12&amp;$AG$8&amp;AK$8,'App6 - Stage-Route-Surv Data'!$L$5:$N$52,3,FALSE))+(($H12*$L34)*VLOOKUP($B12&amp;$AH$8&amp;AK$8,'App6 - Stage-Route-Surv Data'!$L$5:$N$52,3,FALSE))</f>
        <v>724.4809898646821</v>
      </c>
      <c r="P34" s="946">
        <f>(($H12*$I34)*VLOOKUP($B12&amp;$AE$8&amp;AL$8,'App6 - Stage-Route-Surv Data'!$L$5:$N$52,3,FALSE))+(($H12*$J34)*VLOOKUP($B12&amp;$AF$8&amp;AL$8,'App6 - Stage-Route-Surv Data'!$L$5:$N$52,3,FALSE))+(($H12*$K34)*VLOOKUP($B12&amp;$AG$8&amp;AL$8,'App6 - Stage-Route-Surv Data'!$L$5:$N$52,3,FALSE))+(($H12*$L34)*VLOOKUP($B12&amp;$AH$8&amp;AL$8,'App6 - Stage-Route-Surv Data'!$L$5:$N$52,3,FALSE))</f>
        <v>379.97105740967243</v>
      </c>
      <c r="Q34" s="946">
        <f>M34*VLOOKUP($B12&amp;$D12&amp;AM$8,'App6 - Stage-Route-Surv Data'!$S$5:$T$40,2,FALSE)</f>
        <v>3126.4311517003312</v>
      </c>
      <c r="R34" s="946">
        <f>N34*VLOOKUP($B12&amp;$D12&amp;AN$8,'App6 - Stage-Route-Surv Data'!$S$5:$T$40,2,FALSE)</f>
        <v>3036.9342350155821</v>
      </c>
      <c r="S34" s="946">
        <f>O34*VLOOKUP($B12&amp;$D12&amp;AO$8,'App6 - Stage-Route-Surv Data'!$S$5:$T$40,2,FALSE)</f>
        <v>602.5340176749628</v>
      </c>
      <c r="T34" s="946">
        <f>P34*VLOOKUP($B12&amp;$D12&amp;AP$8,'App6 - Stage-Route-Surv Data'!$S$5:$T$40,2,FALSE)</f>
        <v>175.00552626472637</v>
      </c>
      <c r="U34" s="944">
        <f>SUM(Q34:T34)</f>
        <v>6940.9049306556035</v>
      </c>
      <c r="V34" s="947">
        <f>U34/H12</f>
        <v>0.92139983149550031</v>
      </c>
    </row>
    <row r="35" spans="1:22" x14ac:dyDescent="0.2">
      <c r="A35" s="1305"/>
      <c r="B35" s="953" t="s">
        <v>10</v>
      </c>
      <c r="C35" s="965"/>
      <c r="D35" s="966"/>
      <c r="E35" s="966"/>
      <c r="F35" s="967"/>
      <c r="G35" s="968"/>
      <c r="H35" s="969"/>
      <c r="I35" s="970"/>
      <c r="J35" s="970"/>
      <c r="K35" s="970"/>
      <c r="L35" s="970"/>
      <c r="M35" s="971"/>
      <c r="N35" s="971"/>
      <c r="O35" s="971"/>
      <c r="P35" s="971"/>
      <c r="Q35" s="971"/>
      <c r="R35" s="971"/>
      <c r="S35" s="971"/>
      <c r="T35" s="971"/>
      <c r="U35" s="971"/>
      <c r="V35" s="972"/>
    </row>
    <row r="36" spans="1:22" ht="15.5" hidden="1" customHeight="1" x14ac:dyDescent="0.2">
      <c r="A36" s="1305"/>
      <c r="B36" s="700" t="s">
        <v>10</v>
      </c>
      <c r="C36" s="720" t="s">
        <v>266</v>
      </c>
      <c r="D36" s="975" t="s">
        <v>194</v>
      </c>
      <c r="E36" s="980">
        <f>VLOOKUP($B36&amp;"_"&amp;$D36,'App5 - CRUK Inci Rates'!C:H,6,FALSE)</f>
        <v>75.7</v>
      </c>
      <c r="F36" s="981">
        <f>VLOOKUP($B36&amp;"_"&amp;$D36,'App5 - CRUK Inci Rates'!C:H,3,FALSE)</f>
        <v>0</v>
      </c>
      <c r="G36" s="992">
        <f>VLOOKUP($B36&amp;"_"&amp;$D36,'App5 - CRUK Inci Rates'!C:J,8,FALSE)</f>
        <v>2293472.6666666665</v>
      </c>
      <c r="H36" s="709">
        <f>VLOOKUP($B36&amp;"_"&amp;$D36,'App5 - CRUK Inci Rates'!C:K,9,FALSE)</f>
        <v>1737</v>
      </c>
      <c r="I36" s="935"/>
      <c r="J36" s="935"/>
      <c r="K36" s="935"/>
      <c r="L36" s="935"/>
      <c r="M36" s="935"/>
      <c r="N36" s="935"/>
      <c r="O36" s="935"/>
      <c r="P36" s="935"/>
      <c r="Q36" s="935"/>
      <c r="R36" s="935"/>
      <c r="S36" s="935"/>
      <c r="T36" s="935"/>
      <c r="U36" s="936"/>
      <c r="V36" s="937"/>
    </row>
    <row r="37" spans="1:22" ht="15.5" hidden="1" customHeight="1" x14ac:dyDescent="0.2">
      <c r="A37" s="1305"/>
      <c r="B37" s="700" t="s">
        <v>10</v>
      </c>
      <c r="C37" s="721" t="str">
        <f>C36</f>
        <v>mpMRI</v>
      </c>
      <c r="D37" s="975" t="s">
        <v>195</v>
      </c>
      <c r="E37" s="980">
        <f>VLOOKUP($B37&amp;"_"&amp;$D37,'App5 - CRUK Inci Rates'!C:H,6,FALSE)</f>
        <v>201.8</v>
      </c>
      <c r="F37" s="981">
        <f>VLOOKUP($B37&amp;"_"&amp;$D37,'App5 - CRUK Inci Rates'!C:H,3,FALSE)</f>
        <v>0</v>
      </c>
      <c r="G37" s="992">
        <f>VLOOKUP($B37&amp;"_"&amp;$D37,'App5 - CRUK Inci Rates'!C:J,8,FALSE)</f>
        <v>2061918.6666666667</v>
      </c>
      <c r="H37" s="709">
        <f>VLOOKUP($B37&amp;"_"&amp;$D37,'App5 - CRUK Inci Rates'!C:K,9,FALSE)</f>
        <v>4160</v>
      </c>
      <c r="I37" s="935"/>
      <c r="J37" s="935"/>
      <c r="K37" s="935"/>
      <c r="L37" s="935"/>
      <c r="M37" s="935"/>
      <c r="N37" s="935"/>
      <c r="O37" s="935"/>
      <c r="P37" s="935"/>
      <c r="Q37" s="935"/>
      <c r="R37" s="935"/>
      <c r="S37" s="935"/>
      <c r="T37" s="935"/>
      <c r="U37" s="936"/>
      <c r="V37" s="937"/>
    </row>
    <row r="38" spans="1:22" x14ac:dyDescent="0.2">
      <c r="A38" s="1305"/>
      <c r="B38" s="700" t="s">
        <v>10</v>
      </c>
      <c r="C38" s="721" t="str">
        <f>C36</f>
        <v>mpMRI</v>
      </c>
      <c r="D38" s="976" t="s">
        <v>230</v>
      </c>
      <c r="E38" s="982">
        <f>VLOOKUP($B38&amp;"_"&amp;$D38,'App5 - CRUK Inci Rates'!C:H,6,FALSE)</f>
        <v>135.39541108208113</v>
      </c>
      <c r="F38" s="983">
        <f>VLOOKUP($B38&amp;"_"&amp;$D38,'App5 - CRUK Inci Rates'!C:H,3,FALSE)</f>
        <v>0</v>
      </c>
      <c r="G38" s="993">
        <f>VLOOKUP($B38&amp;"_"&amp;$D38,'App5 - CRUK Inci Rates'!C:J,8,FALSE)</f>
        <v>4355391.333333333</v>
      </c>
      <c r="H38" s="944">
        <f>VLOOKUP($B38&amp;"_"&amp;$D38,'App5 - CRUK Inci Rates'!C:K,9,FALSE)</f>
        <v>5897</v>
      </c>
      <c r="I38" s="945">
        <f>(1-J38)*($I16/SUM($I16,$K16,$L16))</f>
        <v>0.35067751112051915</v>
      </c>
      <c r="J38" s="945">
        <f>AA16/$H16</f>
        <v>0.40811518722570378</v>
      </c>
      <c r="K38" s="945">
        <f>(1-J38)*($K16/SUM($I16,$K16,$L16))</f>
        <v>1.5224333766897906E-2</v>
      </c>
      <c r="L38" s="945">
        <f>(1-J38)*($L16/SUM($I16,$K16,$L16))</f>
        <v>0.22598296788687913</v>
      </c>
      <c r="M38" s="946">
        <f>(($H16*$I38)*VLOOKUP($B16&amp;$AE$8&amp;AI$8,'App6 - Stage-Route-Surv Data'!$L$5:$N$52,3,FALSE))+(($H16*$J38)*VLOOKUP($B16&amp;$AF$8&amp;AI$8,'App6 - Stage-Route-Surv Data'!$L$5:$N$52,3,FALSE))+(($H16*$K38)*VLOOKUP($B16&amp;$AG$8&amp;AI$8,'App6 - Stage-Route-Surv Data'!$L$5:$N$52,3,FALSE))+(($H16*$L38)*VLOOKUP($B16&amp;$AH$8&amp;AI$8,'App6 - Stage-Route-Surv Data'!$L$5:$N$52,3,FALSE))</f>
        <v>2841.7584363784199</v>
      </c>
      <c r="N38" s="946">
        <f>(($H16*$I38)*VLOOKUP($B16&amp;$AE$8&amp;AJ$8,'App6 - Stage-Route-Surv Data'!$L$5:$N$52,3,FALSE))+(($H16*$J38)*VLOOKUP($B16&amp;$AF$8&amp;AJ$8,'App6 - Stage-Route-Surv Data'!$L$5:$N$52,3,FALSE))+(($H16*$K38)*VLOOKUP($B16&amp;$AG$8&amp;AJ$8,'App6 - Stage-Route-Surv Data'!$L$5:$N$52,3,FALSE))+(($H16*$L38)*VLOOKUP($B16&amp;$AH$8&amp;AJ$8,'App6 - Stage-Route-Surv Data'!$L$5:$N$52,3,FALSE))</f>
        <v>1224.8727259402708</v>
      </c>
      <c r="O38" s="946">
        <f>(($H16*$I38)*VLOOKUP($B16&amp;$AE$8&amp;AK$8,'App6 - Stage-Route-Surv Data'!$L$5:$N$52,3,FALSE))+(($H16*$J38)*VLOOKUP($B16&amp;$AF$8&amp;AK$8,'App6 - Stage-Route-Surv Data'!$L$5:$N$52,3,FALSE))+(($H16*$K38)*VLOOKUP($B16&amp;$AG$8&amp;AK$8,'App6 - Stage-Route-Surv Data'!$L$5:$N$52,3,FALSE))+(($H16*$L38)*VLOOKUP($B16&amp;$AH$8&amp;AK$8,'App6 - Stage-Route-Surv Data'!$L$5:$N$52,3,FALSE))</f>
        <v>1134.1363951303952</v>
      </c>
      <c r="P38" s="946">
        <f>(($H16*$I38)*VLOOKUP($B16&amp;$AE$8&amp;AL$8,'App6 - Stage-Route-Surv Data'!$L$5:$N$52,3,FALSE))+(($H16*$J38)*VLOOKUP($B16&amp;$AF$8&amp;AL$8,'App6 - Stage-Route-Surv Data'!$L$5:$N$52,3,FALSE))+(($H16*$K38)*VLOOKUP($B16&amp;$AG$8&amp;AL$8,'App6 - Stage-Route-Surv Data'!$L$5:$N$52,3,FALSE))+(($H16*$L38)*VLOOKUP($B16&amp;$AH$8&amp;AL$8,'App6 - Stage-Route-Surv Data'!$L$5:$N$52,3,FALSE))</f>
        <v>696.23244255091288</v>
      </c>
      <c r="Q38" s="946">
        <f>M38*VLOOKUP($B16&amp;$D16&amp;AM$8,'App6 - Stage-Route-Surv Data'!$S$5:$T$40,2,FALSE)</f>
        <v>2841.7584363784199</v>
      </c>
      <c r="R38" s="946">
        <f>N38*VLOOKUP($B16&amp;$D16&amp;AN$8,'App6 - Stage-Route-Surv Data'!$S$5:$T$40,2,FALSE)</f>
        <v>1224.8727259402708</v>
      </c>
      <c r="S38" s="946">
        <f>O38*VLOOKUP($B16&amp;$D16&amp;AO$8,'App6 - Stage-Route-Surv Data'!$S$5:$T$40,2,FALSE)</f>
        <v>1111.4536672277873</v>
      </c>
      <c r="T38" s="946">
        <f>P38*VLOOKUP($B16&amp;$D16&amp;AP$8,'App6 - Stage-Route-Surv Data'!$S$5:$T$40,2,FALSE)</f>
        <v>369.00319455198382</v>
      </c>
      <c r="U38" s="944">
        <f>SUM(Q38:T38)</f>
        <v>5547.0880240984625</v>
      </c>
      <c r="V38" s="947">
        <f>U38/H16</f>
        <v>0.94066271393903045</v>
      </c>
    </row>
    <row r="39" spans="1:22" ht="66" hidden="1" customHeight="1" x14ac:dyDescent="0.2">
      <c r="A39" s="1305"/>
      <c r="B39" s="700" t="s">
        <v>10</v>
      </c>
      <c r="C39" s="721" t="str">
        <f>C36</f>
        <v>mpMRI</v>
      </c>
      <c r="D39" s="975" t="s">
        <v>196</v>
      </c>
      <c r="E39" s="984">
        <f>VLOOKUP($B39&amp;"_"&amp;$D39,'App5 - CRUK Inci Rates'!C:H,6,FALSE)</f>
        <v>356.1</v>
      </c>
      <c r="F39" s="981">
        <f>VLOOKUP($B39&amp;"_"&amp;$D39,'App5 - CRUK Inci Rates'!C:H,3,FALSE)</f>
        <v>0</v>
      </c>
      <c r="G39" s="992">
        <f>VLOOKUP($B39&amp;"_"&amp;$D39,'App5 - CRUK Inci Rates'!C:J,8,FALSE)</f>
        <v>1764828</v>
      </c>
      <c r="H39" s="709">
        <f>VLOOKUP($B39&amp;"_"&amp;$D39,'App5 - CRUK Inci Rates'!C:K,9,FALSE)</f>
        <v>6285</v>
      </c>
      <c r="I39" s="935"/>
      <c r="J39" s="935"/>
      <c r="K39" s="935"/>
      <c r="L39" s="935"/>
      <c r="M39" s="935"/>
      <c r="N39" s="935"/>
      <c r="O39" s="935"/>
      <c r="P39" s="935"/>
      <c r="Q39" s="935"/>
      <c r="R39" s="935"/>
      <c r="S39" s="935"/>
      <c r="T39" s="935"/>
      <c r="U39" s="936"/>
      <c r="V39" s="937"/>
    </row>
    <row r="40" spans="1:22" ht="15.5" hidden="1" customHeight="1" x14ac:dyDescent="0.2">
      <c r="A40" s="1305"/>
      <c r="B40" s="700" t="s">
        <v>10</v>
      </c>
      <c r="C40" s="721" t="str">
        <f>C36</f>
        <v>mpMRI</v>
      </c>
      <c r="D40" s="975" t="s">
        <v>197</v>
      </c>
      <c r="E40" s="985">
        <f>VLOOKUP($B40&amp;"_"&amp;$D40,'App5 - CRUK Inci Rates'!C:H,6,FALSE)</f>
        <v>622.70000000000005</v>
      </c>
      <c r="F40" s="981">
        <f>VLOOKUP($B40&amp;"_"&amp;$D40,'App5 - CRUK Inci Rates'!C:H,3,FALSE)</f>
        <v>0</v>
      </c>
      <c r="G40" s="992">
        <f>VLOOKUP($B40&amp;"_"&amp;$D40,'App5 - CRUK Inci Rates'!C:J,8,FALSE)</f>
        <v>1696993.3333333333</v>
      </c>
      <c r="H40" s="709">
        <f>VLOOKUP($B40&amp;"_"&amp;$D40,'App5 - CRUK Inci Rates'!C:K,9,FALSE)</f>
        <v>10568</v>
      </c>
      <c r="I40" s="935"/>
      <c r="J40" s="935"/>
      <c r="K40" s="935"/>
      <c r="L40" s="935"/>
      <c r="M40" s="935"/>
      <c r="N40" s="935"/>
      <c r="O40" s="935"/>
      <c r="P40" s="935"/>
      <c r="Q40" s="935"/>
      <c r="R40" s="935"/>
      <c r="S40" s="935"/>
      <c r="T40" s="935"/>
      <c r="U40" s="936"/>
      <c r="V40" s="937"/>
    </row>
    <row r="41" spans="1:22" x14ac:dyDescent="0.2">
      <c r="A41" s="1305"/>
      <c r="B41" s="961" t="s">
        <v>10</v>
      </c>
      <c r="C41" s="960" t="str">
        <f>$C37</f>
        <v>mpMRI</v>
      </c>
      <c r="D41" s="976" t="s">
        <v>239</v>
      </c>
      <c r="E41" s="982">
        <f>VLOOKUP($B41&amp;"_"&amp;$D41,'App5 - CRUK Inci Rates'!C:H,6,FALSE)</f>
        <v>486.82466185429951</v>
      </c>
      <c r="F41" s="983">
        <f>VLOOKUP($B41&amp;"_"&amp;$D41,'App5 - CRUK Inci Rates'!C:H,3,FALSE)</f>
        <v>0</v>
      </c>
      <c r="G41" s="993">
        <f>VLOOKUP($B41&amp;"_"&amp;$D41,'App5 - CRUK Inci Rates'!C:J,8,FALSE)</f>
        <v>3461821.333333333</v>
      </c>
      <c r="H41" s="944">
        <f>VLOOKUP($B41&amp;"_"&amp;$D41,'App5 - CRUK Inci Rates'!C:K,9,FALSE)</f>
        <v>16853</v>
      </c>
      <c r="I41" s="945">
        <f>(1-J41)*($I19/SUM($I19,$K19,$L19))</f>
        <v>0.35808778943691111</v>
      </c>
      <c r="J41" s="945">
        <f>AA19/$H19</f>
        <v>0.40811518722570383</v>
      </c>
      <c r="K41" s="945">
        <f>(1-J41)*($K19/SUM($I19,$K19,$L19))</f>
        <v>1.8432130470582224E-2</v>
      </c>
      <c r="L41" s="945">
        <f>(1-J41)*($L19/SUM($I19,$K19,$L19))</f>
        <v>0.21536489286680283</v>
      </c>
      <c r="M41" s="946">
        <f>(($H19*$I41)*VLOOKUP($B19&amp;$AE$8&amp;AI$8,'App6 - Stage-Route-Surv Data'!$L$5:$N$52,3,FALSE))+(($H19*$J41)*VLOOKUP($B19&amp;$AF$8&amp;AI$8,'App6 - Stage-Route-Surv Data'!$L$5:$N$52,3,FALSE))+(($H19*$K41)*VLOOKUP($B19&amp;$AG$8&amp;AI$8,'App6 - Stage-Route-Surv Data'!$L$5:$N$52,3,FALSE))+(($H19*$L41)*VLOOKUP($B19&amp;$AH$8&amp;AI$8,'App6 - Stage-Route-Surv Data'!$L$5:$N$52,3,FALSE))</f>
        <v>8087.1479466570399</v>
      </c>
      <c r="N41" s="946">
        <f>(($H19*$I41)*VLOOKUP($B19&amp;$AE$8&amp;AJ$8,'App6 - Stage-Route-Surv Data'!$L$5:$N$52,3,FALSE))+(($H19*$J41)*VLOOKUP($B19&amp;$AF$8&amp;AJ$8,'App6 - Stage-Route-Surv Data'!$L$5:$N$52,3,FALSE))+(($H19*$K41)*VLOOKUP($B19&amp;$AG$8&amp;AJ$8,'App6 - Stage-Route-Surv Data'!$L$5:$N$52,3,FALSE))+(($H19*$L41)*VLOOKUP($B19&amp;$AH$8&amp;AJ$8,'App6 - Stage-Route-Surv Data'!$L$5:$N$52,3,FALSE))</f>
        <v>3491.7782969612213</v>
      </c>
      <c r="O41" s="946">
        <f>(($H19*$I41)*VLOOKUP($B19&amp;$AE$8&amp;AK$8,'App6 - Stage-Route-Surv Data'!$L$5:$N$52,3,FALSE))+(($H19*$J41)*VLOOKUP($B19&amp;$AF$8&amp;AK$8,'App6 - Stage-Route-Surv Data'!$L$5:$N$52,3,FALSE))+(($H19*$K41)*VLOOKUP($B19&amp;$AG$8&amp;AK$8,'App6 - Stage-Route-Surv Data'!$L$5:$N$52,3,FALSE))+(($H19*$L41)*VLOOKUP($B19&amp;$AH$8&amp;AK$8,'App6 - Stage-Route-Surv Data'!$L$5:$N$52,3,FALSE))</f>
        <v>3244.7320397401354</v>
      </c>
      <c r="P41" s="946">
        <f>(($H19*$I41)*VLOOKUP($B19&amp;$AE$8&amp;AL$8,'App6 - Stage-Route-Surv Data'!$L$5:$N$52,3,FALSE))+(($H19*$J41)*VLOOKUP($B19&amp;$AF$8&amp;AL$8,'App6 - Stage-Route-Surv Data'!$L$5:$N$52,3,FALSE))+(($H19*$K41)*VLOOKUP($B19&amp;$AG$8&amp;AL$8,'App6 - Stage-Route-Surv Data'!$L$5:$N$52,3,FALSE))+(($H19*$L41)*VLOOKUP($B19&amp;$AH$8&amp;AL$8,'App6 - Stage-Route-Surv Data'!$L$5:$N$52,3,FALSE))</f>
        <v>2029.3417166416007</v>
      </c>
      <c r="Q41" s="946">
        <f>M41*VLOOKUP($B19&amp;$D19&amp;AM$8,'App6 - Stage-Route-Surv Data'!$S$5:$T$40,2,FALSE)</f>
        <v>8168.0194261236102</v>
      </c>
      <c r="R41" s="946">
        <f>N41*VLOOKUP($B19&amp;$D19&amp;AN$8,'App6 - Stage-Route-Surv Data'!$S$5:$T$40,2,FALSE)</f>
        <v>3491.7782969612213</v>
      </c>
      <c r="S41" s="946">
        <f>O41*VLOOKUP($B19&amp;$D19&amp;AO$8,'App6 - Stage-Route-Surv Data'!$S$5:$T$40,2,FALSE)</f>
        <v>3212.2847193427342</v>
      </c>
      <c r="T41" s="946">
        <f>P41*VLOOKUP($B19&amp;$D19&amp;AP$8,'App6 - Stage-Route-Surv Data'!$S$5:$T$40,2,FALSE)</f>
        <v>1156.7247784857122</v>
      </c>
      <c r="U41" s="944">
        <f>SUM(Q41:T41)</f>
        <v>16028.807220913279</v>
      </c>
      <c r="V41" s="947">
        <f>U41/H19</f>
        <v>0.95109518904131485</v>
      </c>
    </row>
    <row r="42" spans="1:22" ht="16" hidden="1" customHeight="1" thickBot="1" x14ac:dyDescent="0.25">
      <c r="A42" s="1305"/>
      <c r="B42" s="956" t="s">
        <v>10</v>
      </c>
      <c r="C42" s="957"/>
      <c r="D42" s="977"/>
      <c r="E42" s="986"/>
      <c r="F42" s="987"/>
      <c r="G42" s="994"/>
      <c r="H42" s="962"/>
      <c r="I42" s="963"/>
      <c r="J42" s="963"/>
      <c r="K42" s="963"/>
      <c r="L42" s="963"/>
      <c r="M42" s="963"/>
      <c r="N42" s="963"/>
      <c r="O42" s="963"/>
      <c r="P42" s="963"/>
      <c r="Q42" s="963"/>
      <c r="R42" s="963"/>
      <c r="S42" s="963"/>
      <c r="T42" s="963"/>
      <c r="U42" s="964"/>
      <c r="V42" s="943"/>
    </row>
    <row r="43" spans="1:22" ht="15.5" hidden="1" customHeight="1" x14ac:dyDescent="0.2">
      <c r="A43" s="1305"/>
      <c r="B43" s="700" t="s">
        <v>10</v>
      </c>
      <c r="C43" s="720" t="s">
        <v>172</v>
      </c>
      <c r="D43" s="975" t="s">
        <v>194</v>
      </c>
      <c r="E43" s="980">
        <f>VLOOKUP($B43&amp;"_"&amp;$D43,'App5 - CRUK Inci Rates'!C:H,6,FALSE)</f>
        <v>75.7</v>
      </c>
      <c r="F43" s="981">
        <f>VLOOKUP($B43&amp;"_"&amp;$D43,'App5 - CRUK Inci Rates'!C:H,3,FALSE)</f>
        <v>0</v>
      </c>
      <c r="G43" s="992">
        <f>VLOOKUP($B43&amp;"_"&amp;$D43,'App5 - CRUK Inci Rates'!C:J,8,FALSE)</f>
        <v>2293472.6666666665</v>
      </c>
      <c r="H43" s="709">
        <f>VLOOKUP($B43&amp;"_"&amp;$D43,'App5 - CRUK Inci Rates'!C:K,9,FALSE)</f>
        <v>1737</v>
      </c>
      <c r="I43" s="935"/>
      <c r="J43" s="935"/>
      <c r="K43" s="935"/>
      <c r="L43" s="935"/>
      <c r="M43" s="935"/>
      <c r="N43" s="935"/>
      <c r="O43" s="935"/>
      <c r="P43" s="935"/>
      <c r="Q43" s="935"/>
      <c r="R43" s="935"/>
      <c r="S43" s="935"/>
      <c r="T43" s="935"/>
      <c r="U43" s="936"/>
      <c r="V43" s="937"/>
    </row>
    <row r="44" spans="1:22" ht="15.5" hidden="1" customHeight="1" x14ac:dyDescent="0.2">
      <c r="A44" s="1305"/>
      <c r="B44" s="700" t="s">
        <v>10</v>
      </c>
      <c r="C44" s="721" t="str">
        <f>C43</f>
        <v>PSA_3ng/mL cut-off</v>
      </c>
      <c r="D44" s="975" t="s">
        <v>195</v>
      </c>
      <c r="E44" s="980">
        <f>VLOOKUP($B44&amp;"_"&amp;$D44,'App5 - CRUK Inci Rates'!C:H,6,FALSE)</f>
        <v>201.8</v>
      </c>
      <c r="F44" s="981">
        <f>VLOOKUP($B44&amp;"_"&amp;$D44,'App5 - CRUK Inci Rates'!C:H,3,FALSE)</f>
        <v>0</v>
      </c>
      <c r="G44" s="992">
        <f>VLOOKUP($B44&amp;"_"&amp;$D44,'App5 - CRUK Inci Rates'!C:J,8,FALSE)</f>
        <v>2061918.6666666667</v>
      </c>
      <c r="H44" s="709">
        <f>VLOOKUP($B44&amp;"_"&amp;$D44,'App5 - CRUK Inci Rates'!C:K,9,FALSE)</f>
        <v>4160</v>
      </c>
      <c r="I44" s="935"/>
      <c r="J44" s="935"/>
      <c r="K44" s="935"/>
      <c r="L44" s="935"/>
      <c r="M44" s="935"/>
      <c r="N44" s="935"/>
      <c r="O44" s="935"/>
      <c r="P44" s="935"/>
      <c r="Q44" s="935"/>
      <c r="R44" s="935"/>
      <c r="S44" s="935"/>
      <c r="T44" s="935"/>
      <c r="U44" s="936"/>
      <c r="V44" s="937"/>
    </row>
    <row r="45" spans="1:22" x14ac:dyDescent="0.2">
      <c r="A45" s="1305"/>
      <c r="B45" s="958" t="s">
        <v>10</v>
      </c>
      <c r="C45" s="959" t="str">
        <f>C43</f>
        <v>PSA_3ng/mL cut-off</v>
      </c>
      <c r="D45" s="976" t="s">
        <v>230</v>
      </c>
      <c r="E45" s="982">
        <f>VLOOKUP($B45&amp;"_"&amp;$D45,'App5 - CRUK Inci Rates'!C:H,6,FALSE)</f>
        <v>135.39541108208113</v>
      </c>
      <c r="F45" s="983">
        <f>VLOOKUP($B45&amp;"_"&amp;$D45,'App5 - CRUK Inci Rates'!C:H,3,FALSE)</f>
        <v>0</v>
      </c>
      <c r="G45" s="993">
        <f>VLOOKUP($B45&amp;"_"&amp;$D45,'App5 - CRUK Inci Rates'!C:J,8,FALSE)</f>
        <v>4355391.333333333</v>
      </c>
      <c r="H45" s="944">
        <f>VLOOKUP($B45&amp;"_"&amp;$D45,'App5 - CRUK Inci Rates'!C:K,9,FALSE)</f>
        <v>5897</v>
      </c>
      <c r="I45" s="945">
        <f>(1-J45)*($I23/SUM($I23,$K23,$L23))</f>
        <v>0.50553717937955611</v>
      </c>
      <c r="J45" s="945">
        <f>AA23/$H23</f>
        <v>0.14673804484519687</v>
      </c>
      <c r="K45" s="945">
        <f>(1-J45)*($K23/SUM($I23,$K23,$L23))</f>
        <v>2.1947420368811206E-2</v>
      </c>
      <c r="L45" s="945">
        <f>(1-J45)*($L23/SUM($I23,$K23,$L23))</f>
        <v>0.32577735540643576</v>
      </c>
      <c r="M45" s="946">
        <f>(($H23*$I45)*VLOOKUP($B23&amp;$AE$8&amp;AI$8,'App6 - Stage-Route-Surv Data'!$L$5:$N$52,3,FALSE))+(($H23*$J45)*VLOOKUP($B23&amp;$AF$8&amp;AI$8,'App6 - Stage-Route-Surv Data'!$L$5:$N$52,3,FALSE))+(($H23*$K45)*VLOOKUP($B23&amp;$AG$8&amp;AI$8,'App6 - Stage-Route-Surv Data'!$L$5:$N$52,3,FALSE))+(($H23*$L45)*VLOOKUP($B23&amp;$AH$8&amp;AI$8,'App6 - Stage-Route-Surv Data'!$L$5:$N$52,3,FALSE))</f>
        <v>2548.9492102467561</v>
      </c>
      <c r="N45" s="946">
        <f>(($H23*$I45)*VLOOKUP($B23&amp;$AE$8&amp;AJ$8,'App6 - Stage-Route-Surv Data'!$L$5:$N$52,3,FALSE))+(($H23*$J45)*VLOOKUP($B23&amp;$AF$8&amp;AJ$8,'App6 - Stage-Route-Surv Data'!$L$5:$N$52,3,FALSE))+(($H23*$K45)*VLOOKUP($B23&amp;$AG$8&amp;AJ$8,'App6 - Stage-Route-Surv Data'!$L$5:$N$52,3,FALSE))+(($H23*$L45)*VLOOKUP($B23&amp;$AH$8&amp;AJ$8,'App6 - Stage-Route-Surv Data'!$L$5:$N$52,3,FALSE))</f>
        <v>1023.5652710179226</v>
      </c>
      <c r="O45" s="946">
        <f>(($H23*$I45)*VLOOKUP($B23&amp;$AE$8&amp;AK$8,'App6 - Stage-Route-Surv Data'!$L$5:$N$52,3,FALSE))+(($H23*$J45)*VLOOKUP($B23&amp;$AF$8&amp;AK$8,'App6 - Stage-Route-Surv Data'!$L$5:$N$52,3,FALSE))+(($H23*$K45)*VLOOKUP($B23&amp;$AG$8&amp;AK$8,'App6 - Stage-Route-Surv Data'!$L$5:$N$52,3,FALSE))+(($H23*$L45)*VLOOKUP($B23&amp;$AH$8&amp;AK$8,'App6 - Stage-Route-Surv Data'!$L$5:$N$52,3,FALSE))</f>
        <v>1419.5371263161805</v>
      </c>
      <c r="P45" s="946">
        <f>(($H23*$I45)*VLOOKUP($B23&amp;$AE$8&amp;AL$8,'App6 - Stage-Route-Surv Data'!$L$5:$N$52,3,FALSE))+(($H23*$J45)*VLOOKUP($B23&amp;$AF$8&amp;AL$8,'App6 - Stage-Route-Surv Data'!$L$5:$N$52,3,FALSE))+(($H23*$K45)*VLOOKUP($B23&amp;$AG$8&amp;AL$8,'App6 - Stage-Route-Surv Data'!$L$5:$N$52,3,FALSE))+(($H23*$L45)*VLOOKUP($B23&amp;$AH$8&amp;AL$8,'App6 - Stage-Route-Surv Data'!$L$5:$N$52,3,FALSE))</f>
        <v>904.9483924191403</v>
      </c>
      <c r="Q45" s="946">
        <f>M45*VLOOKUP($B23&amp;$D23&amp;AM$8,'App6 - Stage-Route-Surv Data'!$S$5:$T$40,2,FALSE)</f>
        <v>2548.9492102467561</v>
      </c>
      <c r="R45" s="946">
        <f>N45*VLOOKUP($B23&amp;$D23&amp;AN$8,'App6 - Stage-Route-Surv Data'!$S$5:$T$40,2,FALSE)</f>
        <v>1023.5652710179226</v>
      </c>
      <c r="S45" s="946">
        <f>O45*VLOOKUP($B23&amp;$D23&amp;AO$8,'App6 - Stage-Route-Surv Data'!$S$5:$T$40,2,FALSE)</f>
        <v>1391.1463837898568</v>
      </c>
      <c r="T45" s="946">
        <f>P45*VLOOKUP($B23&amp;$D23&amp;AP$8,'App6 - Stage-Route-Surv Data'!$S$5:$T$40,2,FALSE)</f>
        <v>479.62264798214437</v>
      </c>
      <c r="U45" s="944">
        <f>SUM(Q45:T45)</f>
        <v>5443.2835130366793</v>
      </c>
      <c r="V45" s="947">
        <f>U45/H23</f>
        <v>0.92305977836809894</v>
      </c>
    </row>
    <row r="46" spans="1:22" ht="15.5" hidden="1" customHeight="1" x14ac:dyDescent="0.2">
      <c r="A46" s="1305"/>
      <c r="B46" s="700" t="s">
        <v>10</v>
      </c>
      <c r="C46" s="721" t="str">
        <f>C43</f>
        <v>PSA_3ng/mL cut-off</v>
      </c>
      <c r="D46" s="975" t="s">
        <v>196</v>
      </c>
      <c r="E46" s="984">
        <f>VLOOKUP($B46&amp;"_"&amp;$D46,'App5 - CRUK Inci Rates'!C:H,6,FALSE)</f>
        <v>356.1</v>
      </c>
      <c r="F46" s="981">
        <f>VLOOKUP($B46&amp;"_"&amp;$D46,'App5 - CRUK Inci Rates'!C:H,3,FALSE)</f>
        <v>0</v>
      </c>
      <c r="G46" s="992">
        <f>VLOOKUP($B46&amp;"_"&amp;$D46,'App5 - CRUK Inci Rates'!C:J,8,FALSE)</f>
        <v>1764828</v>
      </c>
      <c r="H46" s="709">
        <f>VLOOKUP($B46&amp;"_"&amp;$D46,'App5 - CRUK Inci Rates'!C:K,9,FALSE)</f>
        <v>6285</v>
      </c>
      <c r="I46" s="935"/>
      <c r="J46" s="935"/>
      <c r="K46" s="935"/>
      <c r="L46" s="935"/>
      <c r="M46" s="935"/>
      <c r="N46" s="935"/>
      <c r="O46" s="935"/>
      <c r="P46" s="935"/>
      <c r="Q46" s="935"/>
      <c r="R46" s="935"/>
      <c r="S46" s="935"/>
      <c r="T46" s="935"/>
      <c r="U46" s="936"/>
      <c r="V46" s="937"/>
    </row>
    <row r="47" spans="1:22" ht="15.5" hidden="1" customHeight="1" x14ac:dyDescent="0.2">
      <c r="A47" s="1305"/>
      <c r="B47" s="700" t="s">
        <v>10</v>
      </c>
      <c r="C47" s="721" t="str">
        <f>C43</f>
        <v>PSA_3ng/mL cut-off</v>
      </c>
      <c r="D47" s="975" t="s">
        <v>197</v>
      </c>
      <c r="E47" s="985">
        <f>VLOOKUP($B47&amp;"_"&amp;$D47,'App5 - CRUK Inci Rates'!C:H,6,FALSE)</f>
        <v>622.70000000000005</v>
      </c>
      <c r="F47" s="981">
        <f>VLOOKUP($B47&amp;"_"&amp;$D47,'App5 - CRUK Inci Rates'!C:H,3,FALSE)</f>
        <v>0</v>
      </c>
      <c r="G47" s="992">
        <f>VLOOKUP($B47&amp;"_"&amp;$D47,'App5 - CRUK Inci Rates'!C:J,8,FALSE)</f>
        <v>1696993.3333333333</v>
      </c>
      <c r="H47" s="709">
        <f>VLOOKUP($B47&amp;"_"&amp;$D47,'App5 - CRUK Inci Rates'!C:K,9,FALSE)</f>
        <v>10568</v>
      </c>
      <c r="I47" s="935"/>
      <c r="J47" s="935"/>
      <c r="K47" s="935"/>
      <c r="L47" s="935"/>
      <c r="M47" s="935"/>
      <c r="N47" s="935"/>
      <c r="O47" s="935"/>
      <c r="P47" s="935"/>
      <c r="Q47" s="935"/>
      <c r="R47" s="935"/>
      <c r="S47" s="935"/>
      <c r="T47" s="935"/>
      <c r="U47" s="936"/>
      <c r="V47" s="937"/>
    </row>
    <row r="48" spans="1:22" x14ac:dyDescent="0.2">
      <c r="A48" s="1305"/>
      <c r="B48" s="700" t="s">
        <v>10</v>
      </c>
      <c r="C48" s="721" t="str">
        <f>$C44</f>
        <v>PSA_3ng/mL cut-off</v>
      </c>
      <c r="D48" s="976" t="s">
        <v>239</v>
      </c>
      <c r="E48" s="982">
        <f>VLOOKUP($B48&amp;"_"&amp;$D48,'App5 - CRUK Inci Rates'!C:H,6,FALSE)</f>
        <v>486.82466185429951</v>
      </c>
      <c r="F48" s="983">
        <f>VLOOKUP($B48&amp;"_"&amp;$D48,'App5 - CRUK Inci Rates'!C:H,3,FALSE)</f>
        <v>0</v>
      </c>
      <c r="G48" s="993">
        <f>VLOOKUP($B48&amp;"_"&amp;$D48,'App5 - CRUK Inci Rates'!C:J,8,FALSE)</f>
        <v>3461821.333333333</v>
      </c>
      <c r="H48" s="944">
        <f>VLOOKUP($B48&amp;"_"&amp;$D48,'App5 - CRUK Inci Rates'!C:K,9,FALSE)</f>
        <v>16853</v>
      </c>
      <c r="I48" s="945">
        <f>(1-J48)*($I26/SUM($I26,$K26,$L26))</f>
        <v>0.51621984672972676</v>
      </c>
      <c r="J48" s="945">
        <f>AA26/$H26</f>
        <v>0.14673804484519687</v>
      </c>
      <c r="K48" s="945">
        <f>(1-J48)*($K26/SUM($I26,$K26,$L26))</f>
        <v>2.6571784481645017E-2</v>
      </c>
      <c r="L48" s="945">
        <f>(1-J48)*($L26/SUM($I26,$K26,$L26))</f>
        <v>0.31047032394343127</v>
      </c>
      <c r="M48" s="946">
        <f>(($H26*$I48)*VLOOKUP($B26&amp;$AE$8&amp;AI$8,'App6 - Stage-Route-Surv Data'!$L$5:$N$52,3,FALSE))+(($H26*$J48)*VLOOKUP($B26&amp;$AF$8&amp;AI$8,'App6 - Stage-Route-Surv Data'!$L$5:$N$52,3,FALSE))+(($H26*$K48)*VLOOKUP($B26&amp;$AG$8&amp;AI$8,'App6 - Stage-Route-Surv Data'!$L$5:$N$52,3,FALSE))+(($H26*$L48)*VLOOKUP($B26&amp;$AH$8&amp;AI$8,'App6 - Stage-Route-Surv Data'!$L$5:$N$52,3,FALSE))</f>
        <v>7235.1851031365786</v>
      </c>
      <c r="N48" s="946">
        <f>(($H26*$I48)*VLOOKUP($B26&amp;$AE$8&amp;AJ$8,'App6 - Stage-Route-Surv Data'!$L$5:$N$52,3,FALSE))+(($H26*$J48)*VLOOKUP($B26&amp;$AF$8&amp;AJ$8,'App6 - Stage-Route-Surv Data'!$L$5:$N$52,3,FALSE))+(($H26*$K48)*VLOOKUP($B26&amp;$AG$8&amp;AJ$8,'App6 - Stage-Route-Surv Data'!$L$5:$N$52,3,FALSE))+(($H26*$L48)*VLOOKUP($B26&amp;$AH$8&amp;AJ$8,'App6 - Stage-Route-Surv Data'!$L$5:$N$52,3,FALSE))</f>
        <v>2912.5866163412729</v>
      </c>
      <c r="O48" s="946">
        <f>(($H26*$I48)*VLOOKUP($B26&amp;$AE$8&amp;AK$8,'App6 - Stage-Route-Surv Data'!$L$5:$N$52,3,FALSE))+(($H26*$J48)*VLOOKUP($B26&amp;$AF$8&amp;AK$8,'App6 - Stage-Route-Surv Data'!$L$5:$N$52,3,FALSE))+(($H26*$K48)*VLOOKUP($B26&amp;$AG$8&amp;AK$8,'App6 - Stage-Route-Surv Data'!$L$5:$N$52,3,FALSE))+(($H26*$L48)*VLOOKUP($B26&amp;$AH$8&amp;AK$8,'App6 - Stage-Route-Surv Data'!$L$5:$N$52,3,FALSE))</f>
        <v>4061.918494008326</v>
      </c>
      <c r="P48" s="946">
        <f>(($H26*$I48)*VLOOKUP($B26&amp;$AE$8&amp;AL$8,'App6 - Stage-Route-Surv Data'!$L$5:$N$52,3,FALSE))+(($H26*$J48)*VLOOKUP($B26&amp;$AF$8&amp;AL$8,'App6 - Stage-Route-Surv Data'!$L$5:$N$52,3,FALSE))+(($H26*$K48)*VLOOKUP($B26&amp;$AG$8&amp;AL$8,'App6 - Stage-Route-Surv Data'!$L$5:$N$52,3,FALSE))+(($H26*$L48)*VLOOKUP($B26&amp;$AH$8&amp;AL$8,'App6 - Stage-Route-Surv Data'!$L$5:$N$52,3,FALSE))</f>
        <v>2643.3097865138216</v>
      </c>
      <c r="Q48" s="946">
        <f>M48*VLOOKUP($B26&amp;$D26&amp;AM$8,'App6 - Stage-Route-Surv Data'!$S$5:$T$40,2,FALSE)</f>
        <v>7307.5369541679447</v>
      </c>
      <c r="R48" s="946">
        <f>N48*VLOOKUP($B26&amp;$D26&amp;AN$8,'App6 - Stage-Route-Surv Data'!$S$5:$T$40,2,FALSE)</f>
        <v>2912.5866163412729</v>
      </c>
      <c r="S48" s="946">
        <f>O48*VLOOKUP($B26&amp;$D26&amp;AO$8,'App6 - Stage-Route-Surv Data'!$S$5:$T$40,2,FALSE)</f>
        <v>4021.2993090682426</v>
      </c>
      <c r="T48" s="946">
        <f>P48*VLOOKUP($B26&amp;$D26&amp;AP$8,'App6 - Stage-Route-Surv Data'!$S$5:$T$40,2,FALSE)</f>
        <v>1506.6865783128781</v>
      </c>
      <c r="U48" s="944">
        <f>SUM(Q48:T48)</f>
        <v>15748.109457890339</v>
      </c>
      <c r="V48" s="947">
        <f>U48/H26</f>
        <v>0.93443953348901321</v>
      </c>
    </row>
    <row r="49" spans="1:70" x14ac:dyDescent="0.2">
      <c r="A49" s="1305"/>
      <c r="B49" s="953" t="s">
        <v>11</v>
      </c>
      <c r="C49" s="954"/>
      <c r="D49" s="966"/>
      <c r="E49" s="966"/>
      <c r="F49" s="967"/>
      <c r="G49" s="968"/>
      <c r="H49" s="969"/>
      <c r="I49" s="970"/>
      <c r="J49" s="970"/>
      <c r="K49" s="970"/>
      <c r="L49" s="970"/>
      <c r="M49" s="971"/>
      <c r="N49" s="971"/>
      <c r="O49" s="971"/>
      <c r="P49" s="971"/>
      <c r="Q49" s="971"/>
      <c r="R49" s="971"/>
      <c r="S49" s="971"/>
      <c r="T49" s="971"/>
      <c r="U49" s="971"/>
      <c r="V49" s="955"/>
    </row>
    <row r="50" spans="1:70" ht="15.5" hidden="1" customHeight="1" x14ac:dyDescent="0.2">
      <c r="A50" s="1305"/>
      <c r="B50" s="728" t="s">
        <v>11</v>
      </c>
      <c r="C50" s="742" t="s">
        <v>143</v>
      </c>
      <c r="D50" s="978" t="s">
        <v>194</v>
      </c>
      <c r="E50" s="988">
        <f>VLOOKUP($B50&amp;"_"&amp;$D50,'App5 - CRUK Inci Rates'!C:H,6,FALSE)</f>
        <v>47.1</v>
      </c>
      <c r="F50" s="989">
        <f>VLOOKUP($B50&amp;"_"&amp;$D50,'App5 - CRUK Inci Rates'!C:H,3,FALSE)</f>
        <v>37.1</v>
      </c>
      <c r="G50" s="995">
        <f>VLOOKUP($B50&amp;"_"&amp;$D50,'App5 - CRUK Inci Rates'!C:J,8,FALSE)</f>
        <v>4658110.666666666</v>
      </c>
      <c r="H50" s="705">
        <f>VLOOKUP($B50&amp;"_"&amp;$D50,'App5 - CRUK Inci Rates'!C:K,9,FALSE)</f>
        <v>1958</v>
      </c>
      <c r="I50" s="931"/>
      <c r="J50" s="931"/>
      <c r="K50" s="931"/>
      <c r="L50" s="931"/>
      <c r="M50" s="931"/>
      <c r="N50" s="931"/>
      <c r="O50" s="931"/>
      <c r="P50" s="931"/>
      <c r="Q50" s="931"/>
      <c r="R50" s="931"/>
      <c r="S50" s="931"/>
      <c r="T50" s="931"/>
      <c r="U50" s="932"/>
      <c r="V50" s="933"/>
    </row>
    <row r="51" spans="1:70" ht="15.5" hidden="1" customHeight="1" x14ac:dyDescent="0.2">
      <c r="A51" s="1305"/>
      <c r="B51" s="700" t="s">
        <v>11</v>
      </c>
      <c r="C51" s="934" t="str">
        <f>C50</f>
        <v>FIT 20-50 µg/g threshold (CRC)</v>
      </c>
      <c r="D51" s="975" t="s">
        <v>195</v>
      </c>
      <c r="E51" s="980">
        <f>VLOOKUP($B51&amp;"_"&amp;$D51,'App5 - CRUK Inci Rates'!C:H,6,FALSE)</f>
        <v>87.7</v>
      </c>
      <c r="F51" s="981">
        <f>VLOOKUP($B51&amp;"_"&amp;$D51,'App5 - CRUK Inci Rates'!C:H,3,FALSE)</f>
        <v>60.6</v>
      </c>
      <c r="G51" s="992">
        <f>VLOOKUP($B51&amp;"_"&amp;$D51,'App5 - CRUK Inci Rates'!C:J,8,FALSE)</f>
        <v>4181606</v>
      </c>
      <c r="H51" s="709">
        <f>VLOOKUP($B51&amp;"_"&amp;$D51,'App5 - CRUK Inci Rates'!C:K,9,FALSE)</f>
        <v>3094</v>
      </c>
      <c r="I51" s="935"/>
      <c r="J51" s="935"/>
      <c r="K51" s="935"/>
      <c r="L51" s="935"/>
      <c r="M51" s="935"/>
      <c r="N51" s="935"/>
      <c r="O51" s="935"/>
      <c r="P51" s="935"/>
      <c r="Q51" s="935"/>
      <c r="R51" s="935"/>
      <c r="S51" s="935"/>
      <c r="T51" s="935"/>
      <c r="U51" s="936"/>
      <c r="V51" s="937"/>
    </row>
    <row r="52" spans="1:70" ht="17" thickBot="1" x14ac:dyDescent="0.25">
      <c r="A52" s="1305"/>
      <c r="B52" s="731" t="s">
        <v>11</v>
      </c>
      <c r="C52" s="938" t="str">
        <f>C51</f>
        <v>FIT 20-50 µg/g threshold (CRC)</v>
      </c>
      <c r="D52" s="979" t="s">
        <v>230</v>
      </c>
      <c r="E52" s="990">
        <f>VLOOKUP($B52&amp;"_"&amp;$D52,'App5 - CRUK Inci Rates'!C:H,6,FALSE)</f>
        <v>66.354542653419429</v>
      </c>
      <c r="F52" s="991">
        <f>VLOOKUP($B52&amp;"_"&amp;$D52,'App5 - CRUK Inci Rates'!C:H,3,FALSE)</f>
        <v>48.212380665809548</v>
      </c>
      <c r="G52" s="996">
        <f>VLOOKUP($B52&amp;"_"&amp;$D52,'App5 - CRUK Inci Rates'!C:J,8,FALSE)</f>
        <v>8839716.6666666679</v>
      </c>
      <c r="H52" s="939">
        <f>VLOOKUP($B52&amp;"_"&amp;$D52,'App5 - CRUK Inci Rates'!C:K,9,FALSE)</f>
        <v>5052</v>
      </c>
      <c r="I52" s="940">
        <f>(1-J52)*($I30/SUM($I30,$K30,$L30))</f>
        <v>0.33211479024624146</v>
      </c>
      <c r="J52" s="940">
        <f>AA30/$H30</f>
        <v>0.23588186281779985</v>
      </c>
      <c r="K52" s="940">
        <f>(1-J52)*($K30/SUM($I30,$K30,$L30))</f>
        <v>0.16439584378875169</v>
      </c>
      <c r="L52" s="940">
        <f>(1-J52)*($L30/SUM($I30,$K30,$L30))</f>
        <v>0.26760750314720694</v>
      </c>
      <c r="M52" s="941">
        <f>(($H30*$I52)*VLOOKUP($B30&amp;$AE$8&amp;AI$8,'App6 - Stage-Route-Surv Data'!$L$5:$N$52,3,FALSE))+(($H30*$J52)*VLOOKUP($B30&amp;$AF$8&amp;AI$8,'App6 - Stage-Route-Surv Data'!$L$5:$N$52,3,FALSE))+(($H30*$K52)*VLOOKUP($B30&amp;$AG$8&amp;AI$8,'App6 - Stage-Route-Surv Data'!$L$5:$N$52,3,FALSE))+(($H30*$L52)*VLOOKUP($B30&amp;$AH$8&amp;AI$8,'App6 - Stage-Route-Surv Data'!$L$5:$N$52,3,FALSE))</f>
        <v>1110.2527786430096</v>
      </c>
      <c r="N52" s="941">
        <f>(($H30*$I52)*VLOOKUP($B30&amp;$AE$8&amp;AJ$8,'App6 - Stage-Route-Surv Data'!$L$5:$N$52,3,FALSE))+(($H30*$J52)*VLOOKUP($B30&amp;$AF$8&amp;AJ$8,'App6 - Stage-Route-Surv Data'!$L$5:$N$52,3,FALSE))+(($H30*$K52)*VLOOKUP($B30&amp;$AG$8&amp;AJ$8,'App6 - Stage-Route-Surv Data'!$L$5:$N$52,3,FALSE))+(($H30*$L52)*VLOOKUP($B30&amp;$AH$8&amp;AJ$8,'App6 - Stage-Route-Surv Data'!$L$5:$N$52,3,FALSE))</f>
        <v>1283.8444867565943</v>
      </c>
      <c r="O52" s="941">
        <f>(($H30*$I52)*VLOOKUP($B30&amp;$AE$8&amp;AK$8,'App6 - Stage-Route-Surv Data'!$L$5:$N$52,3,FALSE))+(($H30*$J52)*VLOOKUP($B30&amp;$AF$8&amp;AK$8,'App6 - Stage-Route-Surv Data'!$L$5:$N$52,3,FALSE))+(($H30*$K52)*VLOOKUP($B30&amp;$AG$8&amp;AK$8,'App6 - Stage-Route-Surv Data'!$L$5:$N$52,3,FALSE))+(($H30*$L52)*VLOOKUP($B30&amp;$AH$8&amp;AK$8,'App6 - Stage-Route-Surv Data'!$L$5:$N$52,3,FALSE))</f>
        <v>1528.0013531887203</v>
      </c>
      <c r="P52" s="941">
        <f>(($H30*$I52)*VLOOKUP($B30&amp;$AE$8&amp;AL$8,'App6 - Stage-Route-Surv Data'!$L$5:$N$52,3,FALSE))+(($H30*$J52)*VLOOKUP($B30&amp;$AF$8&amp;AL$8,'App6 - Stage-Route-Surv Data'!$L$5:$N$52,3,FALSE))+(($H30*$K52)*VLOOKUP($B30&amp;$AG$8&amp;AL$8,'App6 - Stage-Route-Surv Data'!$L$5:$N$52,3,FALSE))+(($H30*$L52)*VLOOKUP($B30&amp;$AH$8&amp;AL$8,'App6 - Stage-Route-Surv Data'!$L$5:$N$52,3,FALSE))</f>
        <v>1129.9013814116756</v>
      </c>
      <c r="Q52" s="941">
        <f>M52*VLOOKUP($B30&amp;$D30&amp;AM$8,'App6 - Stage-Route-Surv Data'!$S$5:$T$40,2,FALSE)</f>
        <v>1068.5340306421883</v>
      </c>
      <c r="R52" s="941">
        <f>N52*VLOOKUP($B30&amp;$D30&amp;AN$8,'App6 - Stage-Route-Surv Data'!$S$5:$T$40,2,FALSE)</f>
        <v>1141.5901200559829</v>
      </c>
      <c r="S52" s="941">
        <f>O52*VLOOKUP($B30&amp;$D30&amp;AO$8,'App6 - Stage-Route-Surv Data'!$S$5:$T$40,2,FALSE)</f>
        <v>1146.2047518540423</v>
      </c>
      <c r="T52" s="941">
        <f>P52*VLOOKUP($B30&amp;$D30&amp;AP$8,'App6 - Stage-Route-Surv Data'!$S$5:$T$40,2,FALSE)</f>
        <v>168.64535856303894</v>
      </c>
      <c r="U52" s="939">
        <f>SUM(Q52:T52)</f>
        <v>3524.9742611152524</v>
      </c>
      <c r="V52" s="942">
        <f>U52/H30</f>
        <v>0.69773837314236986</v>
      </c>
    </row>
    <row r="53" spans="1:70" ht="15.5" hidden="1" customHeight="1" x14ac:dyDescent="0.2">
      <c r="B53" s="1306" t="s">
        <v>181</v>
      </c>
      <c r="C53" s="1306" t="s">
        <v>207</v>
      </c>
      <c r="D53" s="1309" t="s">
        <v>182</v>
      </c>
      <c r="E53" s="1312" t="s">
        <v>183</v>
      </c>
      <c r="F53" s="1313"/>
      <c r="G53" s="1326" t="s">
        <v>184</v>
      </c>
      <c r="H53" s="1327"/>
      <c r="I53" s="1332" t="s">
        <v>349</v>
      </c>
      <c r="J53" s="1333"/>
      <c r="K53" s="1333"/>
      <c r="L53" s="1333"/>
      <c r="M53" s="1333"/>
      <c r="N53" s="1333"/>
      <c r="O53" s="1333"/>
      <c r="P53" s="1333"/>
      <c r="Q53" s="1333"/>
      <c r="R53" s="1333"/>
      <c r="S53" s="1333"/>
      <c r="T53" s="1333"/>
      <c r="U53" s="1334"/>
      <c r="V53" s="460"/>
      <c r="W53" s="1341" t="s">
        <v>208</v>
      </c>
      <c r="X53" s="1342"/>
      <c r="Y53" s="1342"/>
      <c r="Z53" s="1342"/>
      <c r="AA53" s="1342"/>
      <c r="AB53" s="1343"/>
      <c r="AC53" s="1332" t="s">
        <v>394</v>
      </c>
      <c r="AD53" s="1334"/>
      <c r="AE53" s="1332" t="s">
        <v>392</v>
      </c>
      <c r="AF53" s="1333"/>
      <c r="AG53" s="1333"/>
      <c r="AH53" s="1333"/>
      <c r="AI53" s="1333"/>
      <c r="AJ53" s="1333"/>
      <c r="AK53" s="1333"/>
      <c r="AL53" s="1333"/>
      <c r="AM53" s="1333"/>
      <c r="AN53" s="1333"/>
      <c r="AO53" s="1333"/>
      <c r="AP53" s="1333"/>
      <c r="AQ53" s="1333"/>
      <c r="AR53" s="1333"/>
      <c r="AS53" s="1333"/>
      <c r="AT53" s="1334"/>
      <c r="AU53" s="1298" t="s">
        <v>208</v>
      </c>
      <c r="AV53" s="1299"/>
      <c r="AW53" s="1299"/>
      <c r="AX53" s="1299"/>
      <c r="AY53" s="1299"/>
      <c r="AZ53" s="1344"/>
      <c r="BA53" s="1345" t="s">
        <v>394</v>
      </c>
      <c r="BB53" s="1252"/>
      <c r="BC53" s="1250" t="s">
        <v>393</v>
      </c>
      <c r="BD53" s="1251"/>
      <c r="BE53" s="1251"/>
      <c r="BF53" s="1251"/>
      <c r="BG53" s="1251"/>
      <c r="BH53" s="1251"/>
      <c r="BI53" s="1251"/>
      <c r="BJ53" s="1251"/>
      <c r="BK53" s="1251"/>
      <c r="BL53" s="1251"/>
      <c r="BM53" s="1251"/>
      <c r="BN53" s="1251"/>
      <c r="BO53" s="1251"/>
      <c r="BP53" s="1251"/>
      <c r="BQ53" s="1251"/>
      <c r="BR53" s="1252"/>
    </row>
    <row r="54" spans="1:70" hidden="1" x14ac:dyDescent="0.2">
      <c r="B54" s="1307"/>
      <c r="C54" s="1307"/>
      <c r="D54" s="1310"/>
      <c r="E54" s="1314"/>
      <c r="F54" s="1315"/>
      <c r="G54" s="1328"/>
      <c r="H54" s="1329"/>
      <c r="I54" s="1335"/>
      <c r="J54" s="1336"/>
      <c r="K54" s="1336"/>
      <c r="L54" s="1336"/>
      <c r="M54" s="1336"/>
      <c r="N54" s="1336"/>
      <c r="O54" s="1336"/>
      <c r="P54" s="1336"/>
      <c r="Q54" s="1336"/>
      <c r="R54" s="1336"/>
      <c r="S54" s="1336"/>
      <c r="T54" s="1336"/>
      <c r="U54" s="1337"/>
      <c r="V54" s="463"/>
      <c r="W54" s="1258">
        <v>0.2</v>
      </c>
      <c r="X54" s="1259"/>
      <c r="Y54" s="1259"/>
      <c r="Z54" s="1259"/>
      <c r="AA54" s="1259"/>
      <c r="AB54" s="1260"/>
      <c r="AC54" s="1335"/>
      <c r="AD54" s="1337"/>
      <c r="AE54" s="1335"/>
      <c r="AF54" s="1336"/>
      <c r="AG54" s="1336"/>
      <c r="AH54" s="1336"/>
      <c r="AI54" s="1336"/>
      <c r="AJ54" s="1336"/>
      <c r="AK54" s="1336"/>
      <c r="AL54" s="1336"/>
      <c r="AM54" s="1336"/>
      <c r="AN54" s="1336"/>
      <c r="AO54" s="1336"/>
      <c r="AP54" s="1336"/>
      <c r="AQ54" s="1336"/>
      <c r="AR54" s="1336"/>
      <c r="AS54" s="1336"/>
      <c r="AT54" s="1337"/>
      <c r="AU54" s="1261">
        <v>0.1</v>
      </c>
      <c r="AV54" s="1262"/>
      <c r="AW54" s="1262"/>
      <c r="AX54" s="1262"/>
      <c r="AY54" s="1262"/>
      <c r="AZ54" s="1349"/>
      <c r="BA54" s="1346"/>
      <c r="BB54" s="1347"/>
      <c r="BC54" s="1253"/>
      <c r="BD54" s="1254"/>
      <c r="BE54" s="1254"/>
      <c r="BF54" s="1254"/>
      <c r="BG54" s="1254"/>
      <c r="BH54" s="1254"/>
      <c r="BI54" s="1254"/>
      <c r="BJ54" s="1254"/>
      <c r="BK54" s="1254"/>
      <c r="BL54" s="1254"/>
      <c r="BM54" s="1254"/>
      <c r="BN54" s="1254"/>
      <c r="BO54" s="1254"/>
      <c r="BP54" s="1254"/>
      <c r="BQ54" s="1254"/>
      <c r="BR54" s="1347"/>
    </row>
    <row r="55" spans="1:70" hidden="1" x14ac:dyDescent="0.2">
      <c r="B55" s="1307"/>
      <c r="C55" s="1307"/>
      <c r="D55" s="1310"/>
      <c r="E55" s="1316"/>
      <c r="F55" s="1317"/>
      <c r="G55" s="1330"/>
      <c r="H55" s="1331"/>
      <c r="I55" s="1338"/>
      <c r="J55" s="1339"/>
      <c r="K55" s="1339"/>
      <c r="L55" s="1339"/>
      <c r="M55" s="1339"/>
      <c r="N55" s="1339"/>
      <c r="O55" s="1339"/>
      <c r="P55" s="1339"/>
      <c r="Q55" s="1339"/>
      <c r="R55" s="1339"/>
      <c r="S55" s="1339"/>
      <c r="T55" s="1339"/>
      <c r="U55" s="1340"/>
      <c r="V55" s="461"/>
      <c r="W55" s="1263" t="s">
        <v>185</v>
      </c>
      <c r="X55" s="1264"/>
      <c r="Y55" s="1264"/>
      <c r="Z55" s="1264"/>
      <c r="AA55" s="1264"/>
      <c r="AB55" s="1265"/>
      <c r="AC55" s="1338"/>
      <c r="AD55" s="1340"/>
      <c r="AE55" s="1338"/>
      <c r="AF55" s="1339"/>
      <c r="AG55" s="1339"/>
      <c r="AH55" s="1339"/>
      <c r="AI55" s="1339"/>
      <c r="AJ55" s="1339"/>
      <c r="AK55" s="1339"/>
      <c r="AL55" s="1339"/>
      <c r="AM55" s="1339"/>
      <c r="AN55" s="1339"/>
      <c r="AO55" s="1339"/>
      <c r="AP55" s="1339"/>
      <c r="AQ55" s="1339"/>
      <c r="AR55" s="1339"/>
      <c r="AS55" s="1339"/>
      <c r="AT55" s="1340"/>
      <c r="AU55" s="1350" t="s">
        <v>185</v>
      </c>
      <c r="AV55" s="1351"/>
      <c r="AW55" s="1351"/>
      <c r="AX55" s="1351"/>
      <c r="AY55" s="1351"/>
      <c r="AZ55" s="1352"/>
      <c r="BA55" s="1348"/>
      <c r="BB55" s="1257"/>
      <c r="BC55" s="1255"/>
      <c r="BD55" s="1256"/>
      <c r="BE55" s="1256"/>
      <c r="BF55" s="1256"/>
      <c r="BG55" s="1256"/>
      <c r="BH55" s="1256"/>
      <c r="BI55" s="1256"/>
      <c r="BJ55" s="1256"/>
      <c r="BK55" s="1256"/>
      <c r="BL55" s="1256"/>
      <c r="BM55" s="1256"/>
      <c r="BN55" s="1256"/>
      <c r="BO55" s="1256"/>
      <c r="BP55" s="1256"/>
      <c r="BQ55" s="1256"/>
      <c r="BR55" s="1257"/>
    </row>
    <row r="56" spans="1:70" ht="15.5" hidden="1" customHeight="1" x14ac:dyDescent="0.2">
      <c r="B56" s="1307"/>
      <c r="C56" s="1307"/>
      <c r="D56" s="1310"/>
      <c r="E56" s="1318" t="s">
        <v>40</v>
      </c>
      <c r="F56" s="1318" t="s">
        <v>41</v>
      </c>
      <c r="G56" s="1383" t="s">
        <v>186</v>
      </c>
      <c r="H56" s="1385" t="s">
        <v>189</v>
      </c>
      <c r="I56" s="1380" t="s">
        <v>216</v>
      </c>
      <c r="J56" s="1376"/>
      <c r="K56" s="1376"/>
      <c r="L56" s="1376"/>
      <c r="M56" s="1376" t="s">
        <v>217</v>
      </c>
      <c r="N56" s="1376"/>
      <c r="O56" s="1376"/>
      <c r="P56" s="1376"/>
      <c r="Q56" s="1376" t="s">
        <v>218</v>
      </c>
      <c r="R56" s="1376"/>
      <c r="S56" s="1376"/>
      <c r="T56" s="1376"/>
      <c r="U56" s="1377"/>
      <c r="V56" s="464"/>
      <c r="W56" s="1381" t="s">
        <v>190</v>
      </c>
      <c r="X56" s="1378" t="s">
        <v>347</v>
      </c>
      <c r="Y56" s="1320" t="s">
        <v>191</v>
      </c>
      <c r="Z56" s="1320" t="s">
        <v>210</v>
      </c>
      <c r="AA56" s="1361" t="s">
        <v>211</v>
      </c>
      <c r="AB56" s="1281" t="s">
        <v>212</v>
      </c>
      <c r="AC56" s="1364" t="s">
        <v>395</v>
      </c>
      <c r="AD56" s="1281" t="s">
        <v>396</v>
      </c>
      <c r="AE56" s="1354" t="s">
        <v>219</v>
      </c>
      <c r="AF56" s="1273"/>
      <c r="AG56" s="1273"/>
      <c r="AH56" s="1283"/>
      <c r="AI56" s="1269" t="s">
        <v>220</v>
      </c>
      <c r="AJ56" s="1270"/>
      <c r="AK56" s="1270"/>
      <c r="AL56" s="1271"/>
      <c r="AM56" s="1272" t="s">
        <v>221</v>
      </c>
      <c r="AN56" s="1273"/>
      <c r="AO56" s="1273"/>
      <c r="AP56" s="1273"/>
      <c r="AQ56" s="1273"/>
      <c r="AR56" s="464"/>
      <c r="AS56" s="1274" t="s">
        <v>222</v>
      </c>
      <c r="AT56" s="1274" t="s">
        <v>223</v>
      </c>
      <c r="AU56" s="1355" t="s">
        <v>190</v>
      </c>
      <c r="AV56" s="1322" t="s">
        <v>347</v>
      </c>
      <c r="AW56" s="1322" t="s">
        <v>191</v>
      </c>
      <c r="AX56" s="1322" t="s">
        <v>210</v>
      </c>
      <c r="AY56" s="1322" t="s">
        <v>211</v>
      </c>
      <c r="AZ56" s="1324" t="s">
        <v>212</v>
      </c>
      <c r="BA56" s="1357" t="s">
        <v>395</v>
      </c>
      <c r="BB56" s="1359" t="s">
        <v>396</v>
      </c>
      <c r="BC56" s="1354" t="s">
        <v>219</v>
      </c>
      <c r="BD56" s="1273"/>
      <c r="BE56" s="1273"/>
      <c r="BF56" s="1283"/>
      <c r="BG56" s="1269" t="s">
        <v>220</v>
      </c>
      <c r="BH56" s="1270"/>
      <c r="BI56" s="1270"/>
      <c r="BJ56" s="1271"/>
      <c r="BK56" s="1272" t="s">
        <v>221</v>
      </c>
      <c r="BL56" s="1273"/>
      <c r="BM56" s="1273"/>
      <c r="BN56" s="1273"/>
      <c r="BO56" s="1273"/>
      <c r="BP56" s="464"/>
      <c r="BQ56" s="1274" t="s">
        <v>222</v>
      </c>
      <c r="BR56" s="1276" t="s">
        <v>223</v>
      </c>
    </row>
    <row r="57" spans="1:70" ht="52" hidden="1" thickBot="1" x14ac:dyDescent="0.25">
      <c r="B57" s="1308"/>
      <c r="C57" s="1308"/>
      <c r="D57" s="1311"/>
      <c r="E57" s="1319"/>
      <c r="F57" s="1319"/>
      <c r="G57" s="1384"/>
      <c r="H57" s="1386"/>
      <c r="I57" s="72" t="s">
        <v>224</v>
      </c>
      <c r="J57" s="73" t="s">
        <v>225</v>
      </c>
      <c r="K57" s="73" t="s">
        <v>226</v>
      </c>
      <c r="L57" s="76" t="s">
        <v>227</v>
      </c>
      <c r="M57" s="74">
        <v>1</v>
      </c>
      <c r="N57" s="74">
        <v>2</v>
      </c>
      <c r="O57" s="74">
        <v>3</v>
      </c>
      <c r="P57" s="77">
        <v>4</v>
      </c>
      <c r="Q57" s="74">
        <v>1</v>
      </c>
      <c r="R57" s="74">
        <v>2</v>
      </c>
      <c r="S57" s="74">
        <v>3</v>
      </c>
      <c r="T57" s="74">
        <v>4</v>
      </c>
      <c r="U57" s="75" t="s">
        <v>228</v>
      </c>
      <c r="V57" s="465" t="s">
        <v>290</v>
      </c>
      <c r="W57" s="1382"/>
      <c r="X57" s="1379"/>
      <c r="Y57" s="1321"/>
      <c r="Z57" s="1321"/>
      <c r="AA57" s="1362"/>
      <c r="AB57" s="1363"/>
      <c r="AC57" s="1365"/>
      <c r="AD57" s="1363"/>
      <c r="AE57" s="73" t="s">
        <v>224</v>
      </c>
      <c r="AF57" s="73" t="s">
        <v>225</v>
      </c>
      <c r="AG57" s="73" t="s">
        <v>226</v>
      </c>
      <c r="AH57" s="76" t="s">
        <v>227</v>
      </c>
      <c r="AI57" s="74">
        <v>1</v>
      </c>
      <c r="AJ57" s="74">
        <v>2</v>
      </c>
      <c r="AK57" s="74">
        <v>3</v>
      </c>
      <c r="AL57" s="77">
        <v>4</v>
      </c>
      <c r="AM57" s="78">
        <v>1</v>
      </c>
      <c r="AN57" s="74">
        <v>2</v>
      </c>
      <c r="AO57" s="74">
        <v>3</v>
      </c>
      <c r="AP57" s="74">
        <v>4</v>
      </c>
      <c r="AQ57" s="79" t="s">
        <v>228</v>
      </c>
      <c r="AR57" s="465" t="s">
        <v>290</v>
      </c>
      <c r="AS57" s="1275"/>
      <c r="AT57" s="1275"/>
      <c r="AU57" s="1356"/>
      <c r="AV57" s="1323"/>
      <c r="AW57" s="1323"/>
      <c r="AX57" s="1323"/>
      <c r="AY57" s="1323"/>
      <c r="AZ57" s="1325"/>
      <c r="BA57" s="1358"/>
      <c r="BB57" s="1360"/>
      <c r="BC57" s="73" t="s">
        <v>224</v>
      </c>
      <c r="BD57" s="73" t="s">
        <v>225</v>
      </c>
      <c r="BE57" s="73" t="s">
        <v>226</v>
      </c>
      <c r="BF57" s="76" t="s">
        <v>227</v>
      </c>
      <c r="BG57" s="74">
        <v>1</v>
      </c>
      <c r="BH57" s="74">
        <v>2</v>
      </c>
      <c r="BI57" s="74">
        <v>3</v>
      </c>
      <c r="BJ57" s="77">
        <v>4</v>
      </c>
      <c r="BK57" s="78">
        <v>1</v>
      </c>
      <c r="BL57" s="74">
        <v>2</v>
      </c>
      <c r="BM57" s="74">
        <v>3</v>
      </c>
      <c r="BN57" s="74">
        <v>4</v>
      </c>
      <c r="BO57" s="79" t="s">
        <v>228</v>
      </c>
      <c r="BP57" s="465" t="s">
        <v>290</v>
      </c>
      <c r="BQ57" s="1275"/>
      <c r="BR57" s="1353"/>
    </row>
    <row r="58" spans="1:70" ht="17" hidden="1" thickBot="1" x14ac:dyDescent="0.25">
      <c r="A58" s="1304"/>
      <c r="B58" s="948" t="s">
        <v>8</v>
      </c>
      <c r="C58" s="948"/>
      <c r="D58" s="949"/>
      <c r="E58" s="949"/>
      <c r="F58" s="950"/>
      <c r="G58" s="949"/>
      <c r="H58" s="950"/>
      <c r="I58" s="951"/>
      <c r="J58" s="951"/>
      <c r="K58" s="951"/>
      <c r="L58" s="951"/>
      <c r="M58" s="952"/>
      <c r="N58" s="952"/>
      <c r="O58" s="952"/>
      <c r="P58" s="952"/>
      <c r="Q58" s="952"/>
      <c r="R58" s="952"/>
      <c r="S58" s="952"/>
      <c r="T58" s="952"/>
      <c r="U58" s="950"/>
      <c r="V58" s="948"/>
      <c r="W58" s="40"/>
      <c r="X58" s="39"/>
      <c r="Y58" s="39"/>
      <c r="Z58" s="39"/>
      <c r="AA58" s="39"/>
      <c r="AB58" s="41"/>
      <c r="AC58" s="40"/>
      <c r="AD58" s="41"/>
      <c r="AS58" s="39"/>
      <c r="AT58" s="39"/>
      <c r="AU58" s="39"/>
      <c r="AV58" s="39"/>
      <c r="AW58" s="39"/>
      <c r="AX58" s="39"/>
      <c r="AY58" s="39"/>
      <c r="AZ58" s="39"/>
      <c r="BA58" s="40"/>
      <c r="BB58" s="41"/>
      <c r="BC58" s="39"/>
      <c r="BD58" s="39"/>
      <c r="BE58" s="39"/>
      <c r="BF58" s="39"/>
      <c r="BG58" s="39"/>
      <c r="BH58" s="39"/>
      <c r="BI58" s="39"/>
      <c r="BJ58" s="39"/>
      <c r="BK58" s="39"/>
      <c r="BL58" s="39"/>
      <c r="BM58" s="39"/>
      <c r="BN58" s="39"/>
      <c r="BO58" s="39"/>
      <c r="BP58" s="466"/>
      <c r="BQ58" s="39"/>
      <c r="BR58" s="39"/>
    </row>
    <row r="59" spans="1:70" hidden="1" x14ac:dyDescent="0.2">
      <c r="A59" s="1305"/>
      <c r="B59" s="700" t="s">
        <v>8</v>
      </c>
      <c r="C59" s="973" t="s">
        <v>162</v>
      </c>
      <c r="D59" s="975" t="s">
        <v>192</v>
      </c>
      <c r="E59" s="980">
        <f>VLOOKUP($B59&amp;"_"&amp;$D59,'App5 - CRUK Inci Rates'!C:H,6,FALSE)</f>
        <v>0</v>
      </c>
      <c r="F59" s="981">
        <f>VLOOKUP($B59&amp;"_"&amp;$D59,'App5 - CRUK Inci Rates'!C:H,3,FALSE)</f>
        <v>124.6</v>
      </c>
      <c r="G59" s="992">
        <f>VLOOKUP($B59&amp;"_"&amp;$D59,'App5 - CRUK Inci Rates'!C:J,8,FALSE)</f>
        <v>2054223.3333333333</v>
      </c>
      <c r="H59" s="709">
        <f>VLOOKUP($B59&amp;"_"&amp;$D59,'App5 - CRUK Inci Rates'!C:K,9,FALSE)</f>
        <v>2559</v>
      </c>
      <c r="I59" s="935"/>
      <c r="J59" s="935"/>
      <c r="K59" s="935"/>
      <c r="L59" s="935"/>
      <c r="M59" s="935"/>
      <c r="N59" s="935"/>
      <c r="O59" s="935"/>
      <c r="P59" s="935"/>
      <c r="Q59" s="935"/>
      <c r="R59" s="935"/>
      <c r="S59" s="935"/>
      <c r="T59" s="935"/>
      <c r="U59" s="936"/>
      <c r="V59" s="933"/>
      <c r="W59" s="26">
        <f>$G59*W$54</f>
        <v>410844.66666666669</v>
      </c>
      <c r="X59" s="25">
        <f>VLOOKUP("*"&amp;$B59&amp;"*",'S4 - Summ PRS Characteristics'!$C$13:$Q$20,12,FALSE)*$H59</f>
        <v>1128.5648077019157</v>
      </c>
      <c r="Y59" s="25">
        <f>$H59-X59</f>
        <v>1430.4351922980843</v>
      </c>
      <c r="Z59" s="25">
        <f>IF($C59="other",(1-#REF!)*X59,(1-(VLOOKUP($C59,'S3 - Screening Tool Metrics'!$C$3:$G$19,5,FALSE)/100))*X59)</f>
        <v>338.56944231057474</v>
      </c>
      <c r="AA59" s="25">
        <f>IF($C59="other",#REF!*X59,(VLOOKUP($C59,'S3 - Screening Tool Metrics'!$C$3:$G$19,5,FALSE)/100)*X59)</f>
        <v>789.9953653913409</v>
      </c>
      <c r="AB59" s="27">
        <f>$AA59/$H59*100</f>
        <v>30.871253043819497</v>
      </c>
      <c r="AC59" s="26"/>
      <c r="AD59" s="27"/>
      <c r="AS59" s="81"/>
      <c r="AT59" s="81"/>
      <c r="AU59" s="26">
        <f>$G59*AU$54</f>
        <v>205422.33333333334</v>
      </c>
      <c r="AV59" s="25">
        <f>VLOOKUP("*"&amp;$B59&amp;"*",'S4 - Summ PRS Characteristics'!$C$13:$Q$20,13,FALSE)*$H59</f>
        <v>711.80886756758241</v>
      </c>
      <c r="AW59" s="25">
        <f>$H59-AV59</f>
        <v>1847.1911324324176</v>
      </c>
      <c r="AX59" s="25">
        <f>IF($C59="other",(1-#REF!)*AV59,(1-(VLOOKUP($C59,'S3 - Screening Tool Metrics'!$C$3:$G$19,5,FALSE)/100))*AV59)</f>
        <v>213.54266027027475</v>
      </c>
      <c r="AY59" s="25">
        <f>IF($C59="other",#REF!*AV59,(VLOOKUP($C59,'S3 - Screening Tool Metrics'!$C$3:$G$19,5,FALSE)/100)*AV59)</f>
        <v>498.26620729730763</v>
      </c>
      <c r="AZ59" s="25">
        <f>$AY59/$H59*100</f>
        <v>19.471129632563798</v>
      </c>
      <c r="BA59" s="26"/>
      <c r="BB59" s="27"/>
      <c r="BC59" s="81"/>
      <c r="BD59" s="81"/>
      <c r="BE59" s="81"/>
      <c r="BF59" s="81"/>
      <c r="BG59" s="81"/>
      <c r="BH59" s="81"/>
      <c r="BI59" s="81"/>
      <c r="BJ59" s="81"/>
      <c r="BK59" s="81"/>
      <c r="BL59" s="81"/>
      <c r="BM59" s="81"/>
      <c r="BN59" s="81"/>
      <c r="BO59" s="81"/>
      <c r="BP59" s="467"/>
      <c r="BQ59" s="81"/>
      <c r="BR59" s="92"/>
    </row>
    <row r="60" spans="1:70" hidden="1" x14ac:dyDescent="0.2">
      <c r="A60" s="1305"/>
      <c r="B60" s="700" t="s">
        <v>8</v>
      </c>
      <c r="C60" s="934" t="str">
        <f>$C59</f>
        <v>Digital mammography</v>
      </c>
      <c r="D60" s="975" t="s">
        <v>193</v>
      </c>
      <c r="E60" s="980">
        <f>VLOOKUP($B60&amp;"_"&amp;$D60,'App5 - CRUK Inci Rates'!C:H,6,FALSE)</f>
        <v>0</v>
      </c>
      <c r="F60" s="981">
        <f>VLOOKUP($B60&amp;"_"&amp;$D60,'App5 - CRUK Inci Rates'!C:H,3,FALSE)</f>
        <v>214.8</v>
      </c>
      <c r="G60" s="992">
        <f>VLOOKUP($B60&amp;"_"&amp;$D60,'App5 - CRUK Inci Rates'!C:J,8,FALSE)</f>
        <v>2315479.3333333335</v>
      </c>
      <c r="H60" s="709">
        <f>VLOOKUP($B60&amp;"_"&amp;$D60,'App5 - CRUK Inci Rates'!C:K,9,FALSE)</f>
        <v>4974</v>
      </c>
      <c r="I60" s="935"/>
      <c r="J60" s="935"/>
      <c r="K60" s="935"/>
      <c r="L60" s="935"/>
      <c r="M60" s="935"/>
      <c r="N60" s="935"/>
      <c r="O60" s="935"/>
      <c r="P60" s="935"/>
      <c r="Q60" s="935"/>
      <c r="R60" s="935"/>
      <c r="S60" s="935"/>
      <c r="T60" s="935"/>
      <c r="U60" s="936"/>
      <c r="V60" s="937"/>
      <c r="W60" s="18">
        <f>$G60*W$54</f>
        <v>463095.8666666667</v>
      </c>
      <c r="X60" s="14">
        <f>VLOOKUP("*"&amp;$B60&amp;"*",'S4 - Summ PRS Characteristics'!$C$13:$Q$20,12,FALSE)*$H60</f>
        <v>2193.6230377136885</v>
      </c>
      <c r="Y60" s="14">
        <f>$H60-X60</f>
        <v>2780.3769622863115</v>
      </c>
      <c r="Z60" s="14">
        <f>IF($C60="other",(1-#REF!)*X60,(1-(VLOOKUP($C60,'S3 - Screening Tool Metrics'!$C$3:$G$19,5,FALSE)/100))*X60)</f>
        <v>658.0869113141066</v>
      </c>
      <c r="AA60" s="14">
        <f>IF($C60="other",#REF!*X60,(VLOOKUP($C60,'S3 - Screening Tool Metrics'!$C$3:$G$19,5,FALSE)/100)*X60)</f>
        <v>1535.5361263995819</v>
      </c>
      <c r="AB60" s="19">
        <f>$AA60/$H60*100</f>
        <v>30.8712530438195</v>
      </c>
      <c r="AC60" s="18"/>
      <c r="AD60" s="19"/>
      <c r="AS60" s="80"/>
      <c r="AT60" s="80"/>
      <c r="AU60" s="18">
        <f>$G60*AU$54</f>
        <v>231547.93333333335</v>
      </c>
      <c r="AV60" s="14">
        <f>VLOOKUP("*"&amp;$B60&amp;"*",'S4 - Summ PRS Characteristics'!$C$13:$Q$20,13,FALSE)*$H60</f>
        <v>1383.5628398910335</v>
      </c>
      <c r="AW60" s="14">
        <f>$H60-AV60</f>
        <v>3590.4371601089665</v>
      </c>
      <c r="AX60" s="14">
        <f>IF($C60="other",(1-#REF!)*AV60,(1-(VLOOKUP($C60,'S3 - Screening Tool Metrics'!$C$3:$G$19,5,FALSE)/100))*AV60)</f>
        <v>415.06885196731008</v>
      </c>
      <c r="AY60" s="14">
        <f>IF($C60="other",#REF!*AV60,(VLOOKUP($C60,'S3 - Screening Tool Metrics'!$C$3:$G$19,5,FALSE)/100)*AV60)</f>
        <v>968.49398792372335</v>
      </c>
      <c r="AZ60" s="14">
        <f>$AY60/$H60*100</f>
        <v>19.471129632563798</v>
      </c>
      <c r="BA60" s="18"/>
      <c r="BB60" s="19"/>
      <c r="BC60" s="80"/>
      <c r="BD60" s="80"/>
      <c r="BE60" s="80"/>
      <c r="BF60" s="80"/>
      <c r="BG60" s="80"/>
      <c r="BH60" s="80"/>
      <c r="BI60" s="80"/>
      <c r="BJ60" s="80"/>
      <c r="BK60" s="80"/>
      <c r="BL60" s="80"/>
      <c r="BM60" s="80"/>
      <c r="BN60" s="80"/>
      <c r="BO60" s="80"/>
      <c r="BP60" s="468"/>
      <c r="BQ60" s="80"/>
      <c r="BR60" s="94"/>
    </row>
    <row r="61" spans="1:70" ht="17" hidden="1" thickBot="1" x14ac:dyDescent="0.25">
      <c r="A61" s="1305"/>
      <c r="B61" s="974" t="s">
        <v>8</v>
      </c>
      <c r="C61" s="960" t="str">
        <f>$C60</f>
        <v>Digital mammography</v>
      </c>
      <c r="D61" s="976" t="s">
        <v>229</v>
      </c>
      <c r="E61" s="982">
        <f>VLOOKUP($B61&amp;"_"&amp;$D61,'App5 - CRUK Inci Rates'!C:H,6,FALSE)</f>
        <v>0</v>
      </c>
      <c r="F61" s="983">
        <f>VLOOKUP($B61&amp;"_"&amp;$D61,'App5 - CRUK Inci Rates'!C:H,3,FALSE)</f>
        <v>172.40296040749985</v>
      </c>
      <c r="G61" s="993">
        <f>VLOOKUP($B61&amp;"_"&amp;$D61,'App5 - CRUK Inci Rates'!C:J,8,FALSE)</f>
        <v>4369702.666666667</v>
      </c>
      <c r="H61" s="944">
        <f>VLOOKUP($B61&amp;"_"&amp;$D61,'App5 - CRUK Inci Rates'!C:K,9,FALSE)</f>
        <v>7533</v>
      </c>
      <c r="I61" s="945">
        <f>VLOOKUP($B61&amp;I$57&amp;$D61,'App6 - Stage-Route-Surv Data'!$E$5:$G$76,3,FALSE)+(VLOOKUP($B61&amp;J$57&amp;$D61,'App6 - Stage-Route-Surv Data'!$E$5:$G$76,3,FALSE)*(VLOOKUP($B61&amp;I$57&amp;$D61,'App6 - Stage-Route-Surv Data'!$E$5:$G$76,3,FALSE)/SUM(VLOOKUP($B61&amp;I$57&amp;$D61,'App6 - Stage-Route-Surv Data'!$E$5:$G$76,3,FALSE),VLOOKUP($B61&amp;K$57&amp;$D61,'App6 - Stage-Route-Surv Data'!$E$5:$G$76,3,FALSE),VLOOKUP($B61&amp;L$57&amp;$D61,'App6 - Stage-Route-Surv Data'!$E$5:$G$76,3,FALSE))))</f>
        <v>0.81706422018348623</v>
      </c>
      <c r="J61" s="945">
        <v>0</v>
      </c>
      <c r="K61" s="945">
        <f>VLOOKUP($B61&amp;K$57&amp;$D61,'App6 - Stage-Route-Surv Data'!$E$5:$G$76,3,FALSE)+(VLOOKUP($B61&amp;J$57&amp;$D61,'App6 - Stage-Route-Surv Data'!$E$5:$G$76,3,FALSE)*(VLOOKUP($B61&amp;K$57&amp;$D61,'App6 - Stage-Route-Surv Data'!$E$5:$G$76,3,FALSE)/SUM(VLOOKUP($B61&amp;I$57&amp;$D61,'App6 - Stage-Route-Surv Data'!$E$5:$G$76,3,FALSE),VLOOKUP($B61&amp;K$57&amp;$D61,'App6 - Stage-Route-Surv Data'!$E$5:$G$76,3,FALSE),VLOOKUP($B61&amp;L$57&amp;$D61,'App6 - Stage-Route-Surv Data'!$E$5:$G$76,3,FALSE))))</f>
        <v>1.7981651376146789E-2</v>
      </c>
      <c r="L61" s="945">
        <f>VLOOKUP($B61&amp;L$57&amp;$D61,'App6 - Stage-Route-Surv Data'!$E$5:$G$76,3,FALSE)+(VLOOKUP($B61&amp;J$57&amp;$D61,'App6 - Stage-Route-Surv Data'!$E$5:$G$76,3,FALSE)*(VLOOKUP($B61&amp;L$57&amp;$D61,'App6 - Stage-Route-Surv Data'!$E$5:$G$76,3,FALSE)/SUM(VLOOKUP($B61&amp;I$57&amp;$D61,'App6 - Stage-Route-Surv Data'!$E$5:$G$76,3,FALSE),VLOOKUP($B61&amp;K$57&amp;$D61,'App6 - Stage-Route-Surv Data'!$E$5:$G$76,3,FALSE),VLOOKUP($B61&amp;L$57&amp;$D61,'App6 - Stage-Route-Surv Data'!$E$5:$G$76,3,FALSE))))</f>
        <v>0.16495412844036697</v>
      </c>
      <c r="M61" s="946">
        <f>(($H61*$I61)*VLOOKUP($B61&amp;$I$57&amp;M$57,'App6 - Stage-Route-Surv Data'!$L$5:$N$52,3,FALSE))+(($H61*$J61)*VLOOKUP($B61&amp;$J$57&amp;M$57,'App6 - Stage-Route-Surv Data'!$L$5:$N$52,3,FALSE))+(($H61*$K61)*VLOOKUP($B61&amp;$K$57&amp;M$57,'App6 - Stage-Route-Surv Data'!$L$5:$N$52,3,FALSE))+(($H61*$L61)*VLOOKUP($B61&amp;$L$57&amp;M$57,'App6 - Stage-Route-Surv Data'!$L$5:$N$52,3,FALSE))</f>
        <v>2495.7609995082994</v>
      </c>
      <c r="N61" s="946">
        <f>(($H61*$I61)*VLOOKUP($B61&amp;$I$57&amp;N$57,'App6 - Stage-Route-Surv Data'!$L$5:$N$52,3,FALSE))+(($H61*$J61)*VLOOKUP($B61&amp;$J$57&amp;N$57,'App6 - Stage-Route-Surv Data'!$L$5:$N$52,3,FALSE))+(($H61*$K61)*VLOOKUP($B61&amp;$K$57&amp;N$57,'App6 - Stage-Route-Surv Data'!$L$5:$N$52,3,FALSE))+(($H61*$L61)*VLOOKUP($B61&amp;$L$57&amp;N$57,'App6 - Stage-Route-Surv Data'!$L$5:$N$52,3,FALSE))</f>
        <v>3667.1468638486499</v>
      </c>
      <c r="O61" s="946">
        <f>(($H61*$I61)*VLOOKUP($B61&amp;$I$57&amp;O$57,'App6 - Stage-Route-Surv Data'!$L$5:$N$52,3,FALSE))+(($H61*$J61)*VLOOKUP($B61&amp;$J$57&amp;O$57,'App6 - Stage-Route-Surv Data'!$L$5:$N$52,3,FALSE))+(($H61*$K61)*VLOOKUP($B61&amp;$K$57&amp;O$57,'App6 - Stage-Route-Surv Data'!$L$5:$N$52,3,FALSE))+(($H61*$L61)*VLOOKUP($B61&amp;$L$57&amp;O$57,'App6 - Stage-Route-Surv Data'!$L$5:$N$52,3,FALSE))</f>
        <v>876.94450317825601</v>
      </c>
      <c r="P61" s="946">
        <f>(($H61*$I61)*VLOOKUP($B61&amp;$I$57&amp;P$57,'App6 - Stage-Route-Surv Data'!$L$5:$N$52,3,FALSE))+(($H61*$J61)*VLOOKUP($B61&amp;$J$57&amp;P$57,'App6 - Stage-Route-Surv Data'!$L$5:$N$52,3,FALSE))+(($H61*$K61)*VLOOKUP($B61&amp;$K$57&amp;P$57,'App6 - Stage-Route-Surv Data'!$L$5:$N$52,3,FALSE))+(($H61*$L61)*VLOOKUP($B61&amp;$L$57&amp;P$57,'App6 - Stage-Route-Surv Data'!$L$5:$N$52,3,FALSE))</f>
        <v>493.14763346479504</v>
      </c>
      <c r="Q61" s="946">
        <f>M61*VLOOKUP($B61&amp;$D61&amp;Q$57,'App6 - Stage-Route-Surv Data'!$S$5:$T$40,2,FALSE)</f>
        <v>2451.667657302879</v>
      </c>
      <c r="R61" s="946">
        <f>N61*VLOOKUP($B61&amp;$D61&amp;R$57,'App6 - Stage-Route-Surv Data'!$S$5:$T$40,2,FALSE)</f>
        <v>3430.430193418299</v>
      </c>
      <c r="S61" s="946">
        <f>O61*VLOOKUP($B61&amp;$D61&amp;S$57,'App6 - Stage-Route-Surv Data'!$S$5:$T$40,2,FALSE)</f>
        <v>729.33438167461213</v>
      </c>
      <c r="T61" s="946">
        <f>P61*VLOOKUP($B61&amp;$D61&amp;T$57,'App6 - Stage-Route-Surv Data'!$S$5:$T$40,2,FALSE)</f>
        <v>227.13193396638405</v>
      </c>
      <c r="U61" s="944">
        <f>SUM(Q61:T61)</f>
        <v>6838.5641663621745</v>
      </c>
      <c r="V61" s="947">
        <f>U61/H61</f>
        <v>0.90781417315308299</v>
      </c>
      <c r="W61" s="87">
        <f>$G61*W$54</f>
        <v>873940.53333333344</v>
      </c>
      <c r="X61" s="84">
        <f>VLOOKUP("*"&amp;$B61&amp;"*",'S4 - Summ PRS Characteristics'!$C$13:$Q$20,12,FALSE)*$H61</f>
        <v>3322.187845415604</v>
      </c>
      <c r="Y61" s="84">
        <f>$H61-X61</f>
        <v>4210.812154584396</v>
      </c>
      <c r="Z61" s="84">
        <f>IF($C61="other",(1-#REF!)*X61,(1-(VLOOKUP($C61,'S3 - Screening Tool Metrics'!$C$3:$G$19,5,FALSE)/100))*X61)</f>
        <v>996.65635362468129</v>
      </c>
      <c r="AA61" s="84">
        <f>IF($C61="other",#REF!*X61,(VLOOKUP($C61,'S3 - Screening Tool Metrics'!$C$3:$G$19,5,FALSE)/100)*X61)</f>
        <v>2325.5314917909227</v>
      </c>
      <c r="AB61" s="88">
        <f>$AA61/$H61*100</f>
        <v>30.871253043819497</v>
      </c>
      <c r="AC61" s="87">
        <f>AA61+($J61*$H61)</f>
        <v>2325.5314917909227</v>
      </c>
      <c r="AD61" s="88">
        <f>AC61/H61*100</f>
        <v>30.871253043819497</v>
      </c>
      <c r="AS61" s="90">
        <f>U83-U61</f>
        <v>120.93042638723</v>
      </c>
      <c r="AT61" s="865">
        <f>(U83/$H61)-($U61/$H61)</f>
        <v>1.605342179572955E-2</v>
      </c>
      <c r="AU61" s="87">
        <f>$G61*AU$54</f>
        <v>436970.26666666672</v>
      </c>
      <c r="AV61" s="84">
        <f>VLOOKUP("*"&amp;$B61&amp;"*",'S4 - Summ PRS Characteristics'!$C$13:$Q$20,13,FALSE)*$H61</f>
        <v>2095.3717074586157</v>
      </c>
      <c r="AW61" s="84">
        <f>$H61-AV61</f>
        <v>5437.6282925413843</v>
      </c>
      <c r="AX61" s="84">
        <f>IF($C61="other",(1-#REF!)*AV61,(1-(VLOOKUP($C61,'S3 - Screening Tool Metrics'!$C$3:$G$19,5,FALSE)/100))*AV61)</f>
        <v>628.61151223758475</v>
      </c>
      <c r="AY61" s="84">
        <f>IF($C61="other",#REF!*AV61,(VLOOKUP($C61,'S3 - Screening Tool Metrics'!$C$3:$G$19,5,FALSE)/100)*AV61)</f>
        <v>1466.7601952210309</v>
      </c>
      <c r="AZ61" s="84">
        <f>$AY61/$H61*100</f>
        <v>19.471129632563798</v>
      </c>
      <c r="BA61" s="87">
        <f>AY61+($J61*$H61)</f>
        <v>1466.7601952210309</v>
      </c>
      <c r="BB61" s="88">
        <f>BA61/H61*100</f>
        <v>19.471129632563798</v>
      </c>
      <c r="BC61" s="864">
        <f>(1-BD61)*($I61/SUM($I61,$K61,$L61))</f>
        <v>0.65797258669026315</v>
      </c>
      <c r="BD61" s="89">
        <f>(AY61+($J61*$H61))/$H61</f>
        <v>0.19471129632563799</v>
      </c>
      <c r="BE61" s="89">
        <f>(1-BD61)*($K61/SUM($I61,$K61,$L61))</f>
        <v>1.4480420726621555E-2</v>
      </c>
      <c r="BF61" s="89">
        <f>(1-BD61)*($L61/SUM($I61,$K61,$L61))</f>
        <v>0.13283569625747732</v>
      </c>
      <c r="BG61" s="86">
        <f>(($H61*$BC61)*VLOOKUP($B61&amp;$BC$57&amp;BG$57,'App6 - Stage-Route-Surv Data'!$L$5:$N$52,3,FALSE))+(($H61*$BD61)*VLOOKUP($B61&amp;$BD$57&amp;BG$57,'App6 - Stage-Route-Surv Data'!$L$5:$N$52,3,FALSE))+(($H61*$BE61)*VLOOKUP($B61&amp;$BE$57&amp;BG$57,'App6 - Stage-Route-Surv Data'!$L$5:$N$52,3,FALSE))+(($H61*$BF61)*VLOOKUP($B61&amp;$BF$57&amp;BG$57,'App6 - Stage-Route-Surv Data'!$L$5:$N$52,3,FALSE))</f>
        <v>3007.6983228487784</v>
      </c>
      <c r="BH61" s="86">
        <f>(($H61*$BC61)*VLOOKUP($B61&amp;$BC$57&amp;BH$57,'App6 - Stage-Route-Surv Data'!$L$5:$N$52,3,FALSE))+(($H61*$BD61)*VLOOKUP($B61&amp;$BD$57&amp;BH$57,'App6 - Stage-Route-Surv Data'!$L$5:$N$52,3,FALSE))+(($H61*$BE61)*VLOOKUP($B61&amp;$BE$57&amp;BH$57,'App6 - Stage-Route-Surv Data'!$L$5:$N$52,3,FALSE))+(($H61*$BF61)*VLOOKUP($B61&amp;$BF$57&amp;BH$57,'App6 - Stage-Route-Surv Data'!$L$5:$N$52,3,FALSE))</f>
        <v>3353.6423401845987</v>
      </c>
      <c r="BI61" s="86">
        <f>(($H61*$BC61)*VLOOKUP($B61&amp;$BC$57&amp;BI$57,'App6 - Stage-Route-Surv Data'!$L$5:$N$52,3,FALSE))+(($H61*$BD61)*VLOOKUP($B61&amp;$BD$57&amp;BI$57,'App6 - Stage-Route-Surv Data'!$L$5:$N$52,3,FALSE))+(($H61*$BE61)*VLOOKUP($B61&amp;$BE$57&amp;BI$57,'App6 - Stage-Route-Surv Data'!$L$5:$N$52,3,FALSE))+(($H61*$BF61)*VLOOKUP($B61&amp;$BF$57&amp;BI$57,'App6 - Stage-Route-Surv Data'!$L$5:$N$52,3,FALSE))</f>
        <v>763.31535734851911</v>
      </c>
      <c r="BJ61" s="86">
        <f>(($H61*$BC61)*VLOOKUP($B61&amp;$BC$57&amp;BJ$57,'App6 - Stage-Route-Surv Data'!$L$5:$N$52,3,FALSE))+(($H61*$BD61)*VLOOKUP($B61&amp;$BD$57&amp;BJ$57,'App6 - Stage-Route-Surv Data'!$L$5:$N$52,3,FALSE))+(($H61*$BE61)*VLOOKUP($B61&amp;$BE$57&amp;BJ$57,'App6 - Stage-Route-Surv Data'!$L$5:$N$52,3,FALSE))+(($H61*$BF61)*VLOOKUP($B61&amp;$BF$57&amp;BJ$57,'App6 - Stage-Route-Surv Data'!$L$5:$N$52,3,FALSE))</f>
        <v>408.79854963758339</v>
      </c>
      <c r="BK61" s="86">
        <f>BG61*VLOOKUP($B61&amp;$D61&amp;BK$57,'App6 - Stage-Route-Surv Data'!$S$5:$T$40,2,FALSE)</f>
        <v>2954.5604336734255</v>
      </c>
      <c r="BL61" s="86">
        <f>BH61*VLOOKUP($B61&amp;$D61&amp;BL$57,'App6 - Stage-Route-Surv Data'!$S$5:$T$40,2,FALSE)</f>
        <v>3137.1625868349893</v>
      </c>
      <c r="BM61" s="86">
        <f>BI61*VLOOKUP($B61&amp;$D61&amp;BM$57,'App6 - Stage-Route-Surv Data'!$S$5:$T$40,2,FALSE)</f>
        <v>634.83165942298535</v>
      </c>
      <c r="BN61" s="86">
        <f>BJ61*VLOOKUP($B61&amp;$D61&amp;BN$57,'App6 - Stage-Route-Surv Data'!$S$5:$T$40,2,FALSE)</f>
        <v>188.28277554426438</v>
      </c>
      <c r="BO61" s="86">
        <f>SUM(BK61:BN61)</f>
        <v>6914.8374554756638</v>
      </c>
      <c r="BP61" s="469">
        <f>BO61/H61</f>
        <v>0.9179393940628785</v>
      </c>
      <c r="BQ61" s="90">
        <f>BO61-U61</f>
        <v>76.273289113489227</v>
      </c>
      <c r="BR61" s="95">
        <f>(BO61/$H61)-($U61/$H61)</f>
        <v>1.0125220909795507E-2</v>
      </c>
    </row>
    <row r="62" spans="1:70" ht="17" hidden="1" thickBot="1" x14ac:dyDescent="0.25">
      <c r="A62" s="1305"/>
      <c r="B62" s="953" t="s">
        <v>10</v>
      </c>
      <c r="C62" s="965"/>
      <c r="D62" s="966"/>
      <c r="E62" s="966"/>
      <c r="F62" s="967"/>
      <c r="G62" s="968"/>
      <c r="H62" s="969"/>
      <c r="I62" s="970"/>
      <c r="J62" s="970"/>
      <c r="K62" s="970"/>
      <c r="L62" s="970"/>
      <c r="M62" s="971"/>
      <c r="N62" s="971"/>
      <c r="O62" s="971"/>
      <c r="P62" s="971"/>
      <c r="Q62" s="971"/>
      <c r="R62" s="971"/>
      <c r="S62" s="971"/>
      <c r="T62" s="971"/>
      <c r="U62" s="971"/>
      <c r="V62" s="972"/>
      <c r="W62" s="867"/>
      <c r="X62" s="868"/>
      <c r="Y62" s="868"/>
      <c r="Z62" s="868"/>
      <c r="AA62" s="868"/>
      <c r="AB62" s="869"/>
      <c r="AC62" s="867"/>
      <c r="AD62" s="869"/>
      <c r="AS62" s="39"/>
      <c r="AT62" s="39"/>
      <c r="AU62" s="868"/>
      <c r="AV62" s="868"/>
      <c r="AW62" s="868"/>
      <c r="AX62" s="868"/>
      <c r="AY62" s="868"/>
      <c r="AZ62" s="868"/>
      <c r="BA62" s="867"/>
      <c r="BB62" s="869"/>
      <c r="BC62" s="39"/>
      <c r="BD62" s="39"/>
      <c r="BE62" s="39"/>
      <c r="BF62" s="39"/>
      <c r="BG62" s="39"/>
      <c r="BH62" s="39"/>
      <c r="BI62" s="39"/>
      <c r="BJ62" s="39"/>
      <c r="BK62" s="39"/>
      <c r="BL62" s="39"/>
      <c r="BM62" s="39"/>
      <c r="BN62" s="39"/>
      <c r="BO62" s="39"/>
      <c r="BP62" s="470"/>
      <c r="BQ62" s="39"/>
      <c r="BR62" s="41"/>
    </row>
    <row r="63" spans="1:70" hidden="1" x14ac:dyDescent="0.2">
      <c r="A63" s="1305"/>
      <c r="B63" s="700" t="s">
        <v>10</v>
      </c>
      <c r="C63" s="720" t="s">
        <v>266</v>
      </c>
      <c r="D63" s="975" t="s">
        <v>194</v>
      </c>
      <c r="E63" s="980">
        <f>VLOOKUP($B63&amp;"_"&amp;$D63,'App5 - CRUK Inci Rates'!C:H,6,FALSE)</f>
        <v>75.7</v>
      </c>
      <c r="F63" s="981">
        <f>VLOOKUP($B63&amp;"_"&amp;$D63,'App5 - CRUK Inci Rates'!C:H,3,FALSE)</f>
        <v>0</v>
      </c>
      <c r="G63" s="992">
        <f>VLOOKUP($B63&amp;"_"&amp;$D63,'App5 - CRUK Inci Rates'!C:J,8,FALSE)</f>
        <v>2293472.6666666665</v>
      </c>
      <c r="H63" s="709">
        <f>VLOOKUP($B63&amp;"_"&amp;$D63,'App5 - CRUK Inci Rates'!C:K,9,FALSE)</f>
        <v>1737</v>
      </c>
      <c r="I63" s="935"/>
      <c r="J63" s="935"/>
      <c r="K63" s="935"/>
      <c r="L63" s="935"/>
      <c r="M63" s="935"/>
      <c r="N63" s="935"/>
      <c r="O63" s="935"/>
      <c r="P63" s="935"/>
      <c r="Q63" s="935"/>
      <c r="R63" s="935"/>
      <c r="S63" s="935"/>
      <c r="T63" s="935"/>
      <c r="U63" s="936"/>
      <c r="V63" s="937"/>
      <c r="W63" s="18">
        <f t="shared" ref="W63:W68" si="12">$G63*W$54</f>
        <v>458694.53333333333</v>
      </c>
      <c r="X63" s="14">
        <f>VLOOKUP("*"&amp;$B63&amp;"*",'S4 - Summ PRS Characteristics'!$C$13:$Q$20,12,FALSE)*$H63</f>
        <v>841.98325603562898</v>
      </c>
      <c r="Y63" s="14">
        <f t="shared" ref="Y63:Y68" si="13">$H63-X63</f>
        <v>895.01674396437102</v>
      </c>
      <c r="Z63" s="14">
        <f>IF($C63="other",(1-#REF!)*X63,(1-(VLOOKUP($C63,'S3 - Screening Tool Metrics'!$C$3:$G$19,5,FALSE)/100))*X63)</f>
        <v>92.618158163919176</v>
      </c>
      <c r="AA63" s="14">
        <f>IF($C63="other",#REF!*X63,(VLOOKUP($C63,'S3 - Screening Tool Metrics'!$C$3:$G$19,5,FALSE)/100)*X63)</f>
        <v>749.36509787170985</v>
      </c>
      <c r="AB63" s="19">
        <f t="shared" ref="AB63:AB68" si="14">$AA63/$H63*100</f>
        <v>43.141341270679902</v>
      </c>
      <c r="AC63" s="18"/>
      <c r="AD63" s="19"/>
      <c r="AS63" s="80"/>
      <c r="AT63" s="94"/>
      <c r="AU63" s="18">
        <f t="shared" ref="AU63:AU68" si="15">$G63*AU$54</f>
        <v>229347.26666666666</v>
      </c>
      <c r="AV63" s="14">
        <f>VLOOKUP("*"&amp;$B63&amp;"*",'S4 - Summ PRS Characteristics'!$C$13:$Q$20,13,FALSE)*$H63</f>
        <v>549.32972084008634</v>
      </c>
      <c r="AW63" s="14">
        <f t="shared" ref="AW63:AW68" si="16">$H63-AV63</f>
        <v>1187.6702791599137</v>
      </c>
      <c r="AX63" s="14">
        <f>IF($C63="other",(1-#REF!)*AV63,(1-(VLOOKUP($C63,'S3 - Screening Tool Metrics'!$C$3:$G$19,5,FALSE)/100))*AV63)</f>
        <v>60.426269292409486</v>
      </c>
      <c r="AY63" s="14">
        <f>IF($C63="other",#REF!*AV63,(VLOOKUP($C63,'S3 - Screening Tool Metrics'!$C$3:$G$19,5,FALSE)/100)*AV63)</f>
        <v>488.90345154767687</v>
      </c>
      <c r="AZ63" s="14">
        <f t="shared" ref="AZ63:AZ68" si="17">$AY63/$H63*100</f>
        <v>28.146427838093086</v>
      </c>
      <c r="BA63" s="18"/>
      <c r="BB63" s="19"/>
      <c r="BC63" s="80"/>
      <c r="BD63" s="80"/>
      <c r="BE63" s="80"/>
      <c r="BF63" s="80"/>
      <c r="BG63" s="80"/>
      <c r="BH63" s="80"/>
      <c r="BI63" s="80"/>
      <c r="BJ63" s="80"/>
      <c r="BK63" s="80"/>
      <c r="BL63" s="80"/>
      <c r="BM63" s="80"/>
      <c r="BN63" s="80"/>
      <c r="BO63" s="80"/>
      <c r="BP63" s="468"/>
      <c r="BQ63" s="80"/>
      <c r="BR63" s="94"/>
    </row>
    <row r="64" spans="1:70" hidden="1" x14ac:dyDescent="0.2">
      <c r="A64" s="1305"/>
      <c r="B64" s="700" t="s">
        <v>10</v>
      </c>
      <c r="C64" s="721" t="str">
        <f>$C$63</f>
        <v>mpMRI</v>
      </c>
      <c r="D64" s="975" t="s">
        <v>195</v>
      </c>
      <c r="E64" s="980">
        <f>VLOOKUP($B64&amp;"_"&amp;$D64,'App5 - CRUK Inci Rates'!C:H,6,FALSE)</f>
        <v>201.8</v>
      </c>
      <c r="F64" s="981">
        <f>VLOOKUP($B64&amp;"_"&amp;$D64,'App5 - CRUK Inci Rates'!C:H,3,FALSE)</f>
        <v>0</v>
      </c>
      <c r="G64" s="992">
        <f>VLOOKUP($B64&amp;"_"&amp;$D64,'App5 - CRUK Inci Rates'!C:J,8,FALSE)</f>
        <v>2061918.6666666667</v>
      </c>
      <c r="H64" s="709">
        <f>VLOOKUP($B64&amp;"_"&amp;$D64,'App5 - CRUK Inci Rates'!C:K,9,FALSE)</f>
        <v>4160</v>
      </c>
      <c r="I64" s="935"/>
      <c r="J64" s="935"/>
      <c r="K64" s="935"/>
      <c r="L64" s="935"/>
      <c r="M64" s="935"/>
      <c r="N64" s="935"/>
      <c r="O64" s="935"/>
      <c r="P64" s="935"/>
      <c r="Q64" s="935"/>
      <c r="R64" s="935"/>
      <c r="S64" s="935"/>
      <c r="T64" s="935"/>
      <c r="U64" s="936"/>
      <c r="V64" s="937"/>
      <c r="W64" s="18">
        <f t="shared" si="12"/>
        <v>412383.7333333334</v>
      </c>
      <c r="X64" s="14">
        <f>VLOOKUP("*"&amp;$B64&amp;"*",'S4 - Summ PRS Characteristics'!$C$13:$Q$20,12,FALSE)*$H64</f>
        <v>2016.4941537755997</v>
      </c>
      <c r="Y64" s="14">
        <f t="shared" si="13"/>
        <v>2143.5058462244006</v>
      </c>
      <c r="Z64" s="14">
        <f>IF($C64="other",(1-#REF!)*X64,(1-(VLOOKUP($C64,'S3 - Screening Tool Metrics'!$C$3:$G$19,5,FALSE)/100))*X64)</f>
        <v>221.81435691531593</v>
      </c>
      <c r="AA64" s="14">
        <f>IF($C64="other",#REF!*X64,(VLOOKUP($C64,'S3 - Screening Tool Metrics'!$C$3:$G$19,5,FALSE)/100)*X64)</f>
        <v>1794.6797968602837</v>
      </c>
      <c r="AB64" s="19">
        <f t="shared" si="14"/>
        <v>43.141341270679895</v>
      </c>
      <c r="AC64" s="18"/>
      <c r="AD64" s="19"/>
      <c r="AS64" s="80"/>
      <c r="AT64" s="94"/>
      <c r="AU64" s="18">
        <f t="shared" si="15"/>
        <v>206191.8666666667</v>
      </c>
      <c r="AV64" s="14">
        <f>VLOOKUP("*"&amp;$B64&amp;"*",'S4 - Summ PRS Characteristics'!$C$13:$Q$20,13,FALSE)*$H64</f>
        <v>1315.6083124322161</v>
      </c>
      <c r="AW64" s="14">
        <f t="shared" si="16"/>
        <v>2844.3916875677842</v>
      </c>
      <c r="AX64" s="14">
        <f>IF($C64="other",(1-#REF!)*AV64,(1-(VLOOKUP($C64,'S3 - Screening Tool Metrics'!$C$3:$G$19,5,FALSE)/100))*AV64)</f>
        <v>144.71691436754375</v>
      </c>
      <c r="AY64" s="14">
        <f>IF($C64="other",#REF!*AV64,(VLOOKUP($C64,'S3 - Screening Tool Metrics'!$C$3:$G$19,5,FALSE)/100)*AV64)</f>
        <v>1170.8913980646723</v>
      </c>
      <c r="AZ64" s="14">
        <f t="shared" si="17"/>
        <v>28.146427838093086</v>
      </c>
      <c r="BA64" s="18"/>
      <c r="BB64" s="19"/>
      <c r="BC64" s="80"/>
      <c r="BD64" s="80"/>
      <c r="BE64" s="80"/>
      <c r="BF64" s="80"/>
      <c r="BG64" s="80"/>
      <c r="BH64" s="80"/>
      <c r="BI64" s="80"/>
      <c r="BJ64" s="80"/>
      <c r="BK64" s="80"/>
      <c r="BL64" s="80"/>
      <c r="BM64" s="80"/>
      <c r="BN64" s="80"/>
      <c r="BO64" s="80"/>
      <c r="BP64" s="468"/>
      <c r="BQ64" s="80"/>
      <c r="BR64" s="94"/>
    </row>
    <row r="65" spans="1:70" ht="17" hidden="1" thickBot="1" x14ac:dyDescent="0.25">
      <c r="A65" s="1305"/>
      <c r="B65" s="700" t="s">
        <v>10</v>
      </c>
      <c r="C65" s="721" t="str">
        <f>$C$63</f>
        <v>mpMRI</v>
      </c>
      <c r="D65" s="976" t="s">
        <v>230</v>
      </c>
      <c r="E65" s="982">
        <f>VLOOKUP($B65&amp;"_"&amp;$D65,'App5 - CRUK Inci Rates'!C:H,6,FALSE)</f>
        <v>135.39541108208113</v>
      </c>
      <c r="F65" s="983">
        <f>VLOOKUP($B65&amp;"_"&amp;$D65,'App5 - CRUK Inci Rates'!C:H,3,FALSE)</f>
        <v>0</v>
      </c>
      <c r="G65" s="993">
        <f>VLOOKUP($B65&amp;"_"&amp;$D65,'App5 - CRUK Inci Rates'!C:J,8,FALSE)</f>
        <v>4355391.333333333</v>
      </c>
      <c r="H65" s="944">
        <f>VLOOKUP($B65&amp;"_"&amp;$D65,'App5 - CRUK Inci Rates'!C:K,9,FALSE)</f>
        <v>5897</v>
      </c>
      <c r="I65" s="945">
        <f>VLOOKUP($B65&amp;I$57&amp;$D65,'App6 - Stage-Route-Surv Data'!$E$5:$G$76,3,FALSE)</f>
        <v>0.59247594050743657</v>
      </c>
      <c r="J65" s="945">
        <f>VLOOKUP($B65&amp;J$57&amp;$D65,'App6 - Stage-Route-Surv Data'!$E$5:$G$76,3,FALSE)</f>
        <v>0</v>
      </c>
      <c r="K65" s="945">
        <f>VLOOKUP($B65&amp;K$57&amp;$D65,'App6 - Stage-Route-Surv Data'!$E$5:$G$76,3,FALSE)</f>
        <v>2.5721784776902887E-2</v>
      </c>
      <c r="L65" s="945">
        <f>VLOOKUP($B65&amp;L$57&amp;$D65,'App6 - Stage-Route-Surv Data'!$E$5:$G$76,3,FALSE)</f>
        <v>0.38180227471566053</v>
      </c>
      <c r="M65" s="946">
        <f>(($H65*$I65)*VLOOKUP($B65&amp;$I$57&amp;M$57,'App6 - Stage-Route-Surv Data'!$L$5:$N$52,3,FALSE))+(($H65*$J65)*VLOOKUP($B65&amp;$J$57&amp;M$57,'App6 - Stage-Route-Surv Data'!$L$5:$N$52,3,FALSE))+(($H65*$K65)*VLOOKUP($B65&amp;$K$57&amp;M$57,'App6 - Stage-Route-Surv Data'!$L$5:$N$52,3,FALSE))+(($H65*$L65)*VLOOKUP($B65&amp;$L$57&amp;M$57,'App6 - Stage-Route-Surv Data'!$L$5:$N$52,3,FALSE))</f>
        <v>2384.5650832956467</v>
      </c>
      <c r="N65" s="946">
        <f>(($H65*$I65)*VLOOKUP($B65&amp;$I$57&amp;N$57,'App6 - Stage-Route-Surv Data'!$L$5:$N$52,3,FALSE))+(($H65*$J65)*VLOOKUP($B65&amp;$J$57&amp;N$57,'App6 - Stage-Route-Surv Data'!$L$5:$N$52,3,FALSE))+(($H65*$K65)*VLOOKUP($B65&amp;$K$57&amp;N$57,'App6 - Stage-Route-Surv Data'!$L$5:$N$52,3,FALSE))+(($H65*$L65)*VLOOKUP($B65&amp;$L$57&amp;N$57,'App6 - Stage-Route-Surv Data'!$L$5:$N$52,3,FALSE))</f>
        <v>910.55055948256927</v>
      </c>
      <c r="O65" s="946">
        <f>(($H65*$I65)*VLOOKUP($B65&amp;$I$57&amp;O$57,'App6 - Stage-Route-Surv Data'!$L$5:$N$52,3,FALSE))+(($H65*$J65)*VLOOKUP($B65&amp;$J$57&amp;O$57,'App6 - Stage-Route-Surv Data'!$L$5:$N$52,3,FALSE))+(($H65*$K65)*VLOOKUP($B65&amp;$K$57&amp;O$57,'App6 - Stage-Route-Surv Data'!$L$5:$N$52,3,FALSE))+(($H65*$L65)*VLOOKUP($B65&amp;$L$57&amp;O$57,'App6 - Stage-Route-Surv Data'!$L$5:$N$52,3,FALSE))</f>
        <v>1579.7620982099547</v>
      </c>
      <c r="P65" s="946">
        <f>(($H65*$I65)*VLOOKUP($B65&amp;$I$57&amp;P$57,'App6 - Stage-Route-Surv Data'!$L$5:$N$52,3,FALSE))+(($H65*$J65)*VLOOKUP($B65&amp;$J$57&amp;P$57,'App6 - Stage-Route-Surv Data'!$L$5:$N$52,3,FALSE))+(($H65*$K65)*VLOOKUP($B65&amp;$K$57&amp;P$57,'App6 - Stage-Route-Surv Data'!$L$5:$N$52,3,FALSE))+(($H65*$L65)*VLOOKUP($B65&amp;$L$57&amp;P$57,'App6 - Stage-Route-Surv Data'!$L$5:$N$52,3,FALSE))</f>
        <v>1022.1222590118294</v>
      </c>
      <c r="Q65" s="946">
        <f>M65*VLOOKUP($B65&amp;$D65&amp;Q$57,'App6 - Stage-Route-Surv Data'!$S$5:$T$40,2,FALSE)</f>
        <v>2384.5650832956467</v>
      </c>
      <c r="R65" s="946">
        <f>N65*VLOOKUP($B65&amp;$D65&amp;R$57,'App6 - Stage-Route-Surv Data'!$S$5:$T$40,2,FALSE)</f>
        <v>910.55055948256927</v>
      </c>
      <c r="S65" s="946">
        <f>O65*VLOOKUP($B65&amp;$D65&amp;S$57,'App6 - Stage-Route-Surv Data'!$S$5:$T$40,2,FALSE)</f>
        <v>1548.1668562457555</v>
      </c>
      <c r="T65" s="946">
        <f>P65*VLOOKUP($B65&amp;$D65&amp;T$57,'App6 - Stage-Route-Surv Data'!$S$5:$T$40,2,FALSE)</f>
        <v>541.72479727626967</v>
      </c>
      <c r="U65" s="944">
        <f>SUM(Q65:T65)</f>
        <v>5385.0072963002413</v>
      </c>
      <c r="V65" s="947">
        <f>U65/H65</f>
        <v>0.91317742857389206</v>
      </c>
      <c r="W65" s="87">
        <f t="shared" si="12"/>
        <v>871078.2666666666</v>
      </c>
      <c r="X65" s="84">
        <f>VLOOKUP("*"&amp;$B65&amp;"*",'S4 - Summ PRS Characteristics'!$C$13:$Q$20,12,FALSE)*$H65</f>
        <v>2858.4774098112289</v>
      </c>
      <c r="Y65" s="84">
        <f t="shared" si="13"/>
        <v>3038.5225901887711</v>
      </c>
      <c r="Z65" s="84">
        <f>IF($C65="other",(1-#REF!)*X65,(1-(VLOOKUP($C65,'S3 - Screening Tool Metrics'!$C$3:$G$19,5,FALSE)/100))*X65)</f>
        <v>314.43251507923515</v>
      </c>
      <c r="AA65" s="84">
        <f>IF($C65="other",#REF!*X65,(VLOOKUP($C65,'S3 - Screening Tool Metrics'!$C$3:$G$19,5,FALSE)/100)*X65)</f>
        <v>2544.0448947319937</v>
      </c>
      <c r="AB65" s="88">
        <f t="shared" si="14"/>
        <v>43.141341270679902</v>
      </c>
      <c r="AC65" s="87">
        <f>AA65+($J65*$H65)</f>
        <v>2544.0448947319937</v>
      </c>
      <c r="AD65" s="88">
        <f>AC65/H65*100</f>
        <v>43.141341270679902</v>
      </c>
      <c r="AS65" s="90">
        <f>U87-U65</f>
        <v>171.33349138208268</v>
      </c>
      <c r="AT65" s="95">
        <f>(U87/$H65)-($U65/$H65)</f>
        <v>2.9054348207916303E-2</v>
      </c>
      <c r="AU65" s="87">
        <f t="shared" si="15"/>
        <v>435539.1333333333</v>
      </c>
      <c r="AV65" s="84">
        <f>VLOOKUP("*"&amp;$B65&amp;"*",'S4 - Summ PRS Characteristics'!$C$13:$Q$20,13,FALSE)*$H65</f>
        <v>1864.9380332723024</v>
      </c>
      <c r="AW65" s="84">
        <f t="shared" si="16"/>
        <v>4032.0619667276978</v>
      </c>
      <c r="AX65" s="84">
        <f>IF($C65="other",(1-#REF!)*AV65,(1-(VLOOKUP($C65,'S3 - Screening Tool Metrics'!$C$3:$G$19,5,FALSE)/100))*AV65)</f>
        <v>205.14318365995325</v>
      </c>
      <c r="AY65" s="84">
        <f>IF($C65="other",#REF!*AV65,(VLOOKUP($C65,'S3 - Screening Tool Metrics'!$C$3:$G$19,5,FALSE)/100)*AV65)</f>
        <v>1659.7948496123493</v>
      </c>
      <c r="AZ65" s="84">
        <f t="shared" si="17"/>
        <v>28.146427838093086</v>
      </c>
      <c r="BA65" s="87">
        <f>AY65+($J65*$H65)</f>
        <v>1659.7948496123493</v>
      </c>
      <c r="BB65" s="88">
        <f>BA65/H65*100</f>
        <v>28.146427838093086</v>
      </c>
      <c r="BC65" s="864">
        <f>(1-BD65)*($I65/SUM($I65,$K65,$L65))</f>
        <v>0.42571512745444756</v>
      </c>
      <c r="BD65" s="89">
        <f>(AY65+($J65*$H65))/$H65</f>
        <v>0.28146427838093085</v>
      </c>
      <c r="BE65" s="89">
        <f>(1-BD65)*($K65/SUM($I65,$K65,$L65))</f>
        <v>1.8482021186002302E-2</v>
      </c>
      <c r="BF65" s="89">
        <f>(1-BD65)*($L65/SUM($I65,$K65,$L65))</f>
        <v>0.27433857297861919</v>
      </c>
      <c r="BG65" s="86">
        <f>(($H65*$BC65)*VLOOKUP($B65&amp;$BC$57&amp;BG$57,'App6 - Stage-Route-Surv Data'!$L$5:$N$52,3,FALSE))+(($H65*$BD65)*VLOOKUP($B65&amp;$BD$57&amp;BG$57,'App6 - Stage-Route-Surv Data'!$L$5:$N$52,3,FALSE))+(($H65*$BE65)*VLOOKUP($B65&amp;$BE$57&amp;BG$57,'App6 - Stage-Route-Surv Data'!$L$5:$N$52,3,FALSE))+(($H65*$BF65)*VLOOKUP($B65&amp;$BF$57&amp;BG$57,'App6 - Stage-Route-Surv Data'!$L$5:$N$52,3,FALSE))</f>
        <v>2699.8770374543965</v>
      </c>
      <c r="BH65" s="86">
        <f>(($H65*$BC65)*VLOOKUP($B65&amp;$BC$57&amp;BH$57,'App6 - Stage-Route-Surv Data'!$L$5:$N$52,3,FALSE))+(($H65*$BD65)*VLOOKUP($B65&amp;$BD$57&amp;BH$57,'App6 - Stage-Route-Surv Data'!$L$5:$N$52,3,FALSE))+(($H65*$BE65)*VLOOKUP($B65&amp;$BE$57&amp;BH$57,'App6 - Stage-Route-Surv Data'!$L$5:$N$52,3,FALSE))+(($H65*$BF65)*VLOOKUP($B65&amp;$BF$57&amp;BH$57,'App6 - Stage-Route-Surv Data'!$L$5:$N$52,3,FALSE))</f>
        <v>1127.3287253787089</v>
      </c>
      <c r="BI65" s="86">
        <f>(($H65*$BC65)*VLOOKUP($B65&amp;$BC$57&amp;BI$57,'App6 - Stage-Route-Surv Data'!$L$5:$N$52,3,FALSE))+(($H65*$BD65)*VLOOKUP($B65&amp;$BD$57&amp;BI$57,'App6 - Stage-Route-Surv Data'!$L$5:$N$52,3,FALSE))+(($H65*$BE65)*VLOOKUP($B65&amp;$BE$57&amp;BI$57,'App6 - Stage-Route-Surv Data'!$L$5:$N$52,3,FALSE))+(($H65*$BF65)*VLOOKUP($B65&amp;$BF$57&amp;BI$57,'App6 - Stage-Route-Surv Data'!$L$5:$N$52,3,FALSE))</f>
        <v>1272.427990410833</v>
      </c>
      <c r="BJ65" s="86">
        <f>(($H65*$BC65)*VLOOKUP($B65&amp;$BC$57&amp;BJ$57,'App6 - Stage-Route-Surv Data'!$L$5:$N$52,3,FALSE))+(($H65*$BD65)*VLOOKUP($B65&amp;$BD$57&amp;BJ$57,'App6 - Stage-Route-Surv Data'!$L$5:$N$52,3,FALSE))+(($H65*$BE65)*VLOOKUP($B65&amp;$BE$57&amp;BJ$57,'App6 - Stage-Route-Surv Data'!$L$5:$N$52,3,FALSE))+(($H65*$BF65)*VLOOKUP($B65&amp;$BF$57&amp;BJ$57,'App6 - Stage-Route-Surv Data'!$L$5:$N$52,3,FALSE))</f>
        <v>797.36624675606004</v>
      </c>
      <c r="BK65" s="86">
        <f>BG65*VLOOKUP($B65&amp;$D65&amp;BK$57,'App6 - Stage-Route-Surv Data'!$S$5:$T$40,2,FALSE)</f>
        <v>2699.8770374543965</v>
      </c>
      <c r="BL65" s="86">
        <f>BH65*VLOOKUP($B65&amp;$D65&amp;BL$57,'App6 - Stage-Route-Surv Data'!$S$5:$T$40,2,FALSE)</f>
        <v>1127.3287253787089</v>
      </c>
      <c r="BM65" s="86">
        <f>BI65*VLOOKUP($B65&amp;$D65&amp;BM$57,'App6 - Stage-Route-Surv Data'!$S$5:$T$40,2,FALSE)</f>
        <v>1246.9794306026163</v>
      </c>
      <c r="BN65" s="86">
        <f>BJ65*VLOOKUP($B65&amp;$D65&amp;BN$57,'App6 - Stage-Route-Surv Data'!$S$5:$T$40,2,FALSE)</f>
        <v>422.60411078071184</v>
      </c>
      <c r="BO65" s="86">
        <f>SUM(BK65:BN65)</f>
        <v>5496.7893042164342</v>
      </c>
      <c r="BP65" s="469">
        <f>BO65/H65</f>
        <v>0.93213317012318708</v>
      </c>
      <c r="BQ65" s="90">
        <f>BO65-U65</f>
        <v>111.78200791619292</v>
      </c>
      <c r="BR65" s="95">
        <f>(BO65/$H65)-($U65/$H65)</f>
        <v>1.8955741549295024E-2</v>
      </c>
    </row>
    <row r="66" spans="1:70" hidden="1" x14ac:dyDescent="0.2">
      <c r="A66" s="1305"/>
      <c r="B66" s="700" t="s">
        <v>10</v>
      </c>
      <c r="C66" s="721" t="str">
        <f>$C$63</f>
        <v>mpMRI</v>
      </c>
      <c r="D66" s="975" t="s">
        <v>196</v>
      </c>
      <c r="E66" s="984">
        <f>VLOOKUP($B66&amp;"_"&amp;$D66,'App5 - CRUK Inci Rates'!C:H,6,FALSE)</f>
        <v>356.1</v>
      </c>
      <c r="F66" s="981">
        <f>VLOOKUP($B66&amp;"_"&amp;$D66,'App5 - CRUK Inci Rates'!C:H,3,FALSE)</f>
        <v>0</v>
      </c>
      <c r="G66" s="992">
        <f>VLOOKUP($B66&amp;"_"&amp;$D66,'App5 - CRUK Inci Rates'!C:J,8,FALSE)</f>
        <v>1764828</v>
      </c>
      <c r="H66" s="709">
        <f>VLOOKUP($B66&amp;"_"&amp;$D66,'App5 - CRUK Inci Rates'!C:K,9,FALSE)</f>
        <v>6285</v>
      </c>
      <c r="I66" s="935"/>
      <c r="J66" s="935"/>
      <c r="K66" s="935"/>
      <c r="L66" s="935"/>
      <c r="M66" s="935"/>
      <c r="N66" s="935"/>
      <c r="O66" s="935"/>
      <c r="P66" s="935"/>
      <c r="Q66" s="935"/>
      <c r="R66" s="935"/>
      <c r="S66" s="935"/>
      <c r="T66" s="935"/>
      <c r="U66" s="936"/>
      <c r="V66" s="937"/>
      <c r="W66" s="18">
        <f t="shared" si="12"/>
        <v>352965.60000000003</v>
      </c>
      <c r="X66" s="14">
        <f>VLOOKUP("*"&amp;$B66&amp;"*",'S4 - Summ PRS Characteristics'!$C$13:$Q$20,12,FALSE)*$H66</f>
        <v>3046.5542683845297</v>
      </c>
      <c r="Y66" s="14">
        <f t="shared" si="13"/>
        <v>3238.4457316154703</v>
      </c>
      <c r="Z66" s="14">
        <f>IF($C66="other",(1-#REF!)*X66,(1-(VLOOKUP($C66,'S3 - Screening Tool Metrics'!$C$3:$G$19,5,FALSE)/100))*X66)</f>
        <v>335.1209695222982</v>
      </c>
      <c r="AA66" s="14">
        <f>IF($C66="other",#REF!*X66,(VLOOKUP($C66,'S3 - Screening Tool Metrics'!$C$3:$G$19,5,FALSE)/100)*X66)</f>
        <v>2711.4332988622314</v>
      </c>
      <c r="AB66" s="19">
        <f t="shared" si="14"/>
        <v>43.141341270679895</v>
      </c>
      <c r="AC66" s="18"/>
      <c r="AD66" s="19"/>
      <c r="AS66" s="80"/>
      <c r="AT66" s="94"/>
      <c r="AU66" s="18">
        <f t="shared" si="15"/>
        <v>176482.80000000002</v>
      </c>
      <c r="AV66" s="14">
        <f>VLOOKUP("*"&amp;$B66&amp;"*",'S4 - Summ PRS Characteristics'!$C$13:$Q$20,13,FALSE)*$H66</f>
        <v>1987.6438085664611</v>
      </c>
      <c r="AW66" s="14">
        <f t="shared" si="16"/>
        <v>4297.3561914335387</v>
      </c>
      <c r="AX66" s="14">
        <f>IF($C66="other",(1-#REF!)*AV66,(1-(VLOOKUP($C66,'S3 - Screening Tool Metrics'!$C$3:$G$19,5,FALSE)/100))*AV66)</f>
        <v>218.64081894231069</v>
      </c>
      <c r="AY66" s="14">
        <f>IF($C66="other",#REF!*AV66,(VLOOKUP($C66,'S3 - Screening Tool Metrics'!$C$3:$G$19,5,FALSE)/100)*AV66)</f>
        <v>1769.0029896241504</v>
      </c>
      <c r="AZ66" s="14">
        <f t="shared" si="17"/>
        <v>28.146427838093086</v>
      </c>
      <c r="BA66" s="18"/>
      <c r="BB66" s="19"/>
      <c r="BC66" s="80"/>
      <c r="BD66" s="80"/>
      <c r="BE66" s="80"/>
      <c r="BF66" s="80"/>
      <c r="BG66" s="80"/>
      <c r="BH66" s="80"/>
      <c r="BI66" s="80"/>
      <c r="BJ66" s="80"/>
      <c r="BK66" s="80"/>
      <c r="BL66" s="80"/>
      <c r="BM66" s="80"/>
      <c r="BN66" s="80"/>
      <c r="BO66" s="80"/>
      <c r="BP66" s="468"/>
      <c r="BQ66" s="80"/>
      <c r="BR66" s="94"/>
    </row>
    <row r="67" spans="1:70" hidden="1" x14ac:dyDescent="0.2">
      <c r="A67" s="1305"/>
      <c r="B67" s="700" t="s">
        <v>10</v>
      </c>
      <c r="C67" s="721" t="str">
        <f>$C$63</f>
        <v>mpMRI</v>
      </c>
      <c r="D67" s="975" t="s">
        <v>197</v>
      </c>
      <c r="E67" s="985">
        <f>VLOOKUP($B67&amp;"_"&amp;$D67,'App5 - CRUK Inci Rates'!C:H,6,FALSE)</f>
        <v>622.70000000000005</v>
      </c>
      <c r="F67" s="981">
        <f>VLOOKUP($B67&amp;"_"&amp;$D67,'App5 - CRUK Inci Rates'!C:H,3,FALSE)</f>
        <v>0</v>
      </c>
      <c r="G67" s="992">
        <f>VLOOKUP($B67&amp;"_"&amp;$D67,'App5 - CRUK Inci Rates'!C:J,8,FALSE)</f>
        <v>1696993.3333333333</v>
      </c>
      <c r="H67" s="709">
        <f>VLOOKUP($B67&amp;"_"&amp;$D67,'App5 - CRUK Inci Rates'!C:K,9,FALSE)</f>
        <v>10568</v>
      </c>
      <c r="I67" s="935"/>
      <c r="J67" s="935"/>
      <c r="K67" s="935"/>
      <c r="L67" s="935"/>
      <c r="M67" s="935"/>
      <c r="N67" s="935"/>
      <c r="O67" s="935"/>
      <c r="P67" s="935"/>
      <c r="Q67" s="935"/>
      <c r="R67" s="935"/>
      <c r="S67" s="935"/>
      <c r="T67" s="935"/>
      <c r="U67" s="936"/>
      <c r="V67" s="937"/>
      <c r="W67" s="18">
        <f t="shared" si="12"/>
        <v>339398.66666666669</v>
      </c>
      <c r="X67" s="14">
        <f>VLOOKUP("*"&amp;$B67&amp;"*",'S4 - Summ PRS Characteristics'!$C$13:$Q$20,12,FALSE)*$H67</f>
        <v>5122.6707252645519</v>
      </c>
      <c r="Y67" s="14">
        <f t="shared" si="13"/>
        <v>5445.3292747354481</v>
      </c>
      <c r="Z67" s="14">
        <f>IF($C67="other",(1-#REF!)*X67,(1-(VLOOKUP($C67,'S3 - Screening Tool Metrics'!$C$3:$G$19,5,FALSE)/100))*X67)</f>
        <v>563.49377977910069</v>
      </c>
      <c r="AA67" s="14">
        <f>IF($C67="other",#REF!*X67,(VLOOKUP($C67,'S3 - Screening Tool Metrics'!$C$3:$G$19,5,FALSE)/100)*X67)</f>
        <v>4559.1769454854511</v>
      </c>
      <c r="AB67" s="19">
        <f t="shared" si="14"/>
        <v>43.141341270679895</v>
      </c>
      <c r="AC67" s="18"/>
      <c r="AD67" s="19"/>
      <c r="AS67" s="80"/>
      <c r="AT67" s="94"/>
      <c r="AU67" s="18">
        <f t="shared" si="15"/>
        <v>169699.33333333334</v>
      </c>
      <c r="AV67" s="14">
        <f>VLOOKUP("*"&amp;$B67&amp;"*",'S4 - Summ PRS Characteristics'!$C$13:$Q$20,13,FALSE)*$H67</f>
        <v>3342.1511167749181</v>
      </c>
      <c r="AW67" s="14">
        <f t="shared" si="16"/>
        <v>7225.8488832250823</v>
      </c>
      <c r="AX67" s="14">
        <f>IF($C67="other",(1-#REF!)*AV67,(1-(VLOOKUP($C67,'S3 - Screening Tool Metrics'!$C$3:$G$19,5,FALSE)/100))*AV67)</f>
        <v>367.63662284524094</v>
      </c>
      <c r="AY67" s="14">
        <f>IF($C67="other",#REF!*AV67,(VLOOKUP($C67,'S3 - Screening Tool Metrics'!$C$3:$G$19,5,FALSE)/100)*AV67)</f>
        <v>2974.514493929677</v>
      </c>
      <c r="AZ67" s="14">
        <f t="shared" si="17"/>
        <v>28.146427838093079</v>
      </c>
      <c r="BA67" s="18"/>
      <c r="BB67" s="19"/>
      <c r="BC67" s="80"/>
      <c r="BD67" s="80"/>
      <c r="BE67" s="80"/>
      <c r="BF67" s="80"/>
      <c r="BG67" s="80"/>
      <c r="BH67" s="80"/>
      <c r="BI67" s="80"/>
      <c r="BJ67" s="80"/>
      <c r="BK67" s="80"/>
      <c r="BL67" s="80"/>
      <c r="BM67" s="80"/>
      <c r="BN67" s="80"/>
      <c r="BO67" s="80"/>
      <c r="BP67" s="468"/>
      <c r="BQ67" s="80"/>
      <c r="BR67" s="94"/>
    </row>
    <row r="68" spans="1:70" ht="17" hidden="1" thickBot="1" x14ac:dyDescent="0.25">
      <c r="A68" s="1305"/>
      <c r="B68" s="961" t="s">
        <v>10</v>
      </c>
      <c r="C68" s="960" t="str">
        <f>$C$63</f>
        <v>mpMRI</v>
      </c>
      <c r="D68" s="976" t="s">
        <v>239</v>
      </c>
      <c r="E68" s="982">
        <f>VLOOKUP($B68&amp;"_"&amp;$D68,'App5 - CRUK Inci Rates'!C:H,6,FALSE)</f>
        <v>486.82466185429951</v>
      </c>
      <c r="F68" s="983">
        <f>VLOOKUP($B68&amp;"_"&amp;$D68,'App5 - CRUK Inci Rates'!C:H,3,FALSE)</f>
        <v>0</v>
      </c>
      <c r="G68" s="993">
        <f>VLOOKUP($B68&amp;"_"&amp;$D68,'App5 - CRUK Inci Rates'!C:J,8,FALSE)</f>
        <v>3461821.333333333</v>
      </c>
      <c r="H68" s="944">
        <f>VLOOKUP($B68&amp;"_"&amp;$D68,'App5 - CRUK Inci Rates'!C:K,9,FALSE)</f>
        <v>16853</v>
      </c>
      <c r="I68" s="945">
        <f>VLOOKUP($B68&amp;I$57&amp;$D68,'App6 - Stage-Route-Surv Data'!$E$5:$G$76,3,FALSE)</f>
        <v>0.6049957385432374</v>
      </c>
      <c r="J68" s="945">
        <f>VLOOKUP($B68&amp;J$57&amp;$D68,'App6 - Stage-Route-Surv Data'!$E$5:$G$76,3,FALSE)</f>
        <v>0</v>
      </c>
      <c r="K68" s="945">
        <f>VLOOKUP($B68&amp;K$57&amp;$D68,'App6 - Stage-Route-Surv Data'!$E$5:$G$76,3,FALSE)</f>
        <v>3.1141414803645184E-2</v>
      </c>
      <c r="L68" s="945">
        <f>VLOOKUP($B68&amp;L$57&amp;$D68,'App6 - Stage-Route-Surv Data'!$E$5:$G$76,3,FALSE)</f>
        <v>0.36386284665311741</v>
      </c>
      <c r="M68" s="946">
        <f>(($H68*$I68)*VLOOKUP($B68&amp;$I$57&amp;M$57,'App6 - Stage-Route-Surv Data'!$L$5:$N$52,3,FALSE))+(($H68*$J68)*VLOOKUP($B68&amp;$J$57&amp;M$57,'App6 - Stage-Route-Surv Data'!$L$5:$N$52,3,FALSE))+(($H68*$K68)*VLOOKUP($B68&amp;$K$57&amp;M$57,'App6 - Stage-Route-Surv Data'!$L$5:$N$52,3,FALSE))+(($H68*$L68)*VLOOKUP($B68&amp;$L$57&amp;M$57,'App6 - Stage-Route-Surv Data'!$L$5:$N$52,3,FALSE))</f>
        <v>6756.8901734408828</v>
      </c>
      <c r="N68" s="946">
        <f>(($H68*$I68)*VLOOKUP($B68&amp;$I$57&amp;N$57,'App6 - Stage-Route-Surv Data'!$L$5:$N$52,3,FALSE))+(($H68*$J68)*VLOOKUP($B68&amp;$J$57&amp;N$57,'App6 - Stage-Route-Surv Data'!$L$5:$N$52,3,FALSE))+(($H68*$K68)*VLOOKUP($B68&amp;$K$57&amp;N$57,'App6 - Stage-Route-Surv Data'!$L$5:$N$52,3,FALSE))+(($H68*$L68)*VLOOKUP($B68&amp;$L$57&amp;N$57,'App6 - Stage-Route-Surv Data'!$L$5:$N$52,3,FALSE))</f>
        <v>2587.4263745897233</v>
      </c>
      <c r="O68" s="946">
        <f>(($H68*$I68)*VLOOKUP($B68&amp;$I$57&amp;O$57,'App6 - Stage-Route-Surv Data'!$L$5:$N$52,3,FALSE))+(($H68*$J68)*VLOOKUP($B68&amp;$J$57&amp;O$57,'App6 - Stage-Route-Surv Data'!$L$5:$N$52,3,FALSE))+(($H68*$K68)*VLOOKUP($B68&amp;$K$57&amp;O$57,'App6 - Stage-Route-Surv Data'!$L$5:$N$52,3,FALSE))+(($H68*$L68)*VLOOKUP($B68&amp;$L$57&amp;O$57,'App6 - Stage-Route-Surv Data'!$L$5:$N$52,3,FALSE))</f>
        <v>4520.6898367553804</v>
      </c>
      <c r="P68" s="946">
        <f>(($H68*$I68)*VLOOKUP($B68&amp;$I$57&amp;P$57,'App6 - Stage-Route-Surv Data'!$L$5:$N$52,3,FALSE))+(($H68*$J68)*VLOOKUP($B68&amp;$J$57&amp;P$57,'App6 - Stage-Route-Surv Data'!$L$5:$N$52,3,FALSE))+(($H68*$K68)*VLOOKUP($B68&amp;$K$57&amp;P$57,'App6 - Stage-Route-Surv Data'!$L$5:$N$52,3,FALSE))+(($H68*$L68)*VLOOKUP($B68&amp;$L$57&amp;P$57,'App6 - Stage-Route-Surv Data'!$L$5:$N$52,3,FALSE))</f>
        <v>2987.9936152140158</v>
      </c>
      <c r="Q68" s="946">
        <f>M68*VLOOKUP($B68&amp;$D68&amp;Q$57,'App6 - Stage-Route-Surv Data'!$S$5:$T$40,2,FALSE)</f>
        <v>6824.4590751752921</v>
      </c>
      <c r="R68" s="946">
        <f>N68*VLOOKUP($B68&amp;$D68&amp;R$57,'App6 - Stage-Route-Surv Data'!$S$5:$T$40,2,FALSE)</f>
        <v>2587.4263745897233</v>
      </c>
      <c r="S68" s="946">
        <f>O68*VLOOKUP($B68&amp;$D68&amp;S$57,'App6 - Stage-Route-Surv Data'!$S$5:$T$40,2,FALSE)</f>
        <v>4475.4829383878268</v>
      </c>
      <c r="T68" s="946">
        <f>P68*VLOOKUP($B68&amp;$D68&amp;T$57,'App6 - Stage-Route-Surv Data'!$S$5:$T$40,2,FALSE)</f>
        <v>1703.1563606719888</v>
      </c>
      <c r="U68" s="944">
        <f>SUM(Q68:T68)</f>
        <v>15590.52474882483</v>
      </c>
      <c r="V68" s="947">
        <f>U68/H68</f>
        <v>0.92508899002105438</v>
      </c>
      <c r="W68" s="101">
        <f t="shared" si="12"/>
        <v>692364.2666666666</v>
      </c>
      <c r="X68" s="98">
        <f>VLOOKUP("*"&amp;$B68&amp;"*",'S4 - Summ PRS Characteristics'!$C$13:$Q$20,12,FALSE)*$H68</f>
        <v>8169.2249936490825</v>
      </c>
      <c r="Y68" s="98">
        <f t="shared" si="13"/>
        <v>8683.7750063509175</v>
      </c>
      <c r="Z68" s="98">
        <f>IF($C68="other",(1-#REF!)*X68,(1-(VLOOKUP($C68,'S3 - Screening Tool Metrics'!$C$3:$G$19,5,FALSE)/100))*X68)</f>
        <v>898.614749301399</v>
      </c>
      <c r="AA68" s="98">
        <f>IF($C68="other",#REF!*X68,(VLOOKUP($C68,'S3 - Screening Tool Metrics'!$C$3:$G$19,5,FALSE)/100)*X68)</f>
        <v>7270.6102443476839</v>
      </c>
      <c r="AB68" s="102">
        <f t="shared" si="14"/>
        <v>43.141341270679902</v>
      </c>
      <c r="AC68" s="101">
        <f>AA68+($J68*$H68)</f>
        <v>7270.6102443476839</v>
      </c>
      <c r="AD68" s="102">
        <f>AC68/H68*100</f>
        <v>43.141341270679902</v>
      </c>
      <c r="AS68" s="104">
        <f>U90-U68</f>
        <v>463.30286872828583</v>
      </c>
      <c r="AT68" s="105">
        <f>(U90/$H68)-($U68/$H68)</f>
        <v>2.749082470351194E-2</v>
      </c>
      <c r="AU68" s="101">
        <f t="shared" si="15"/>
        <v>346182.1333333333</v>
      </c>
      <c r="AV68" s="98">
        <f>VLOOKUP("*"&amp;$B68&amp;"*",'S4 - Summ PRS Characteristics'!$C$13:$Q$20,13,FALSE)*$H68</f>
        <v>5329.794925341379</v>
      </c>
      <c r="AW68" s="98">
        <f t="shared" si="16"/>
        <v>11523.205074658621</v>
      </c>
      <c r="AX68" s="98">
        <f>IF($C68="other",(1-#REF!)*AV68,(1-(VLOOKUP($C68,'S3 - Screening Tool Metrics'!$C$3:$G$19,5,FALSE)/100))*AV68)</f>
        <v>586.27744178755165</v>
      </c>
      <c r="AY68" s="98">
        <f>IF($C68="other",#REF!*AV68,(VLOOKUP($C68,'S3 - Screening Tool Metrics'!$C$3:$G$19,5,FALSE)/100)*AV68)</f>
        <v>4743.5174835538273</v>
      </c>
      <c r="AZ68" s="98">
        <f t="shared" si="17"/>
        <v>28.146427838093086</v>
      </c>
      <c r="BA68" s="101">
        <f>AY68+($J68*$H68)</f>
        <v>4743.5174835538273</v>
      </c>
      <c r="BB68" s="102">
        <f>BA68/H68*100</f>
        <v>28.146427838093086</v>
      </c>
      <c r="BC68" s="873">
        <f>(1-BD68)*($I68/SUM($I68,$K68,$L68))</f>
        <v>0.43471104957062673</v>
      </c>
      <c r="BD68" s="103">
        <f>(AY68+($J68*$H68))/$H68</f>
        <v>0.28146427838093085</v>
      </c>
      <c r="BE68" s="103">
        <f>(1-BD68)*($K68/SUM($I68,$K68,$L68))</f>
        <v>2.2376218958175952E-2</v>
      </c>
      <c r="BF68" s="103">
        <f>(1-BD68)*($L68/SUM($I68,$K68,$L68))</f>
        <v>0.26144845309026638</v>
      </c>
      <c r="BG68" s="100">
        <f>(($H68*$BC68)*VLOOKUP($B68&amp;$BC$57&amp;BG$57,'App6 - Stage-Route-Surv Data'!$L$5:$N$52,3,FALSE))+(($H68*$BD68)*VLOOKUP($B68&amp;$BD$57&amp;BG$57,'App6 - Stage-Route-Surv Data'!$L$5:$N$52,3,FALSE))+(($H68*$BE68)*VLOOKUP($B68&amp;$BE$57&amp;BG$57,'App6 - Stage-Route-Surv Data'!$L$5:$N$52,3,FALSE))+(($H68*$BF68)*VLOOKUP($B68&amp;$BF$57&amp;BG$57,'App6 - Stage-Route-Surv Data'!$L$5:$N$52,3,FALSE))</f>
        <v>7674.3273478429237</v>
      </c>
      <c r="BH68" s="100">
        <f>(($H68*$BC68)*VLOOKUP($B68&amp;$BC$57&amp;BH$57,'App6 - Stage-Route-Surv Data'!$L$5:$N$52,3,FALSE))+(($H68*$BD68)*VLOOKUP($B68&amp;$BD$57&amp;BH$57,'App6 - Stage-Route-Surv Data'!$L$5:$N$52,3,FALSE))+(($H68*$BE68)*VLOOKUP($B68&amp;$BE$57&amp;BH$57,'App6 - Stage-Route-Surv Data'!$L$5:$N$52,3,FALSE))+(($H68*$BF68)*VLOOKUP($B68&amp;$BF$57&amp;BH$57,'App6 - Stage-Route-Surv Data'!$L$5:$N$52,3,FALSE))</f>
        <v>3211.129606422478</v>
      </c>
      <c r="BI68" s="100">
        <f>(($H68*$BC68)*VLOOKUP($B68&amp;$BC$57&amp;BI$57,'App6 - Stage-Route-Surv Data'!$L$5:$N$52,3,FALSE))+(($H68*$BD68)*VLOOKUP($B68&amp;$BD$57&amp;BI$57,'App6 - Stage-Route-Surv Data'!$L$5:$N$52,3,FALSE))+(($H68*$BE68)*VLOOKUP($B68&amp;$BE$57&amp;BI$57,'App6 - Stage-Route-Surv Data'!$L$5:$N$52,3,FALSE))+(($H68*$BF68)*VLOOKUP($B68&amp;$BF$57&amp;BI$57,'App6 - Stage-Route-Surv Data'!$L$5:$N$52,3,FALSE))</f>
        <v>3640.7016573818892</v>
      </c>
      <c r="BJ68" s="100">
        <f>(($H68*$BC68)*VLOOKUP($B68&amp;$BC$57&amp;BJ$57,'App6 - Stage-Route-Surv Data'!$L$5:$N$52,3,FALSE))+(($H68*$BD68)*VLOOKUP($B68&amp;$BD$57&amp;BJ$57,'App6 - Stage-Route-Surv Data'!$L$5:$N$52,3,FALSE))+(($H68*$BE68)*VLOOKUP($B68&amp;$BE$57&amp;BJ$57,'App6 - Stage-Route-Surv Data'!$L$5:$N$52,3,FALSE))+(($H68*$BF68)*VLOOKUP($B68&amp;$BF$57&amp;BJ$57,'App6 - Stage-Route-Surv Data'!$L$5:$N$52,3,FALSE))</f>
        <v>2326.8413883527064</v>
      </c>
      <c r="BK68" s="100">
        <f>BG68*VLOOKUP($B68&amp;$D68&amp;BK$57,'App6 - Stage-Route-Surv Data'!$S$5:$T$40,2,FALSE)</f>
        <v>7751.0706213213534</v>
      </c>
      <c r="BL68" s="100">
        <f>BH68*VLOOKUP($B68&amp;$D68&amp;BL$57,'App6 - Stage-Route-Surv Data'!$S$5:$T$40,2,FALSE)</f>
        <v>3211.129606422478</v>
      </c>
      <c r="BM68" s="100">
        <f>BI68*VLOOKUP($B68&amp;$D68&amp;BM$57,'App6 - Stage-Route-Surv Data'!$S$5:$T$40,2,FALSE)</f>
        <v>3604.2946408080702</v>
      </c>
      <c r="BN68" s="100">
        <f>BJ68*VLOOKUP($B68&amp;$D68&amp;BN$57,'App6 - Stage-Route-Surv Data'!$S$5:$T$40,2,FALSE)</f>
        <v>1326.2995913610425</v>
      </c>
      <c r="BO68" s="100">
        <f>SUM(BK68:BN68)</f>
        <v>15892.794459912944</v>
      </c>
      <c r="BP68" s="469">
        <f>BO68/H68</f>
        <v>0.94302465198557783</v>
      </c>
      <c r="BQ68" s="104">
        <f>BO68-U68</f>
        <v>302.26971108811449</v>
      </c>
      <c r="BR68" s="105">
        <f>(BO68/$H68)-($U68/$H68)</f>
        <v>1.7935661964523453E-2</v>
      </c>
    </row>
    <row r="69" spans="1:70" ht="17" hidden="1" thickBot="1" x14ac:dyDescent="0.25">
      <c r="A69" s="1305"/>
      <c r="B69" s="956" t="s">
        <v>10</v>
      </c>
      <c r="C69" s="957"/>
      <c r="D69" s="977"/>
      <c r="E69" s="986"/>
      <c r="F69" s="987"/>
      <c r="G69" s="994"/>
      <c r="H69" s="962"/>
      <c r="I69" s="963"/>
      <c r="J69" s="963"/>
      <c r="K69" s="963"/>
      <c r="L69" s="963"/>
      <c r="M69" s="963"/>
      <c r="N69" s="963"/>
      <c r="O69" s="963"/>
      <c r="P69" s="963"/>
      <c r="Q69" s="963"/>
      <c r="R69" s="963"/>
      <c r="S69" s="963"/>
      <c r="T69" s="963"/>
      <c r="U69" s="964"/>
      <c r="V69" s="943"/>
      <c r="W69" s="867"/>
      <c r="X69" s="868"/>
      <c r="Y69" s="868"/>
      <c r="Z69" s="868"/>
      <c r="AA69" s="868"/>
      <c r="AB69" s="869"/>
      <c r="AC69" s="867"/>
      <c r="AD69" s="869"/>
      <c r="AS69" s="39"/>
      <c r="AT69" s="39"/>
      <c r="AU69" s="868"/>
      <c r="AV69" s="868"/>
      <c r="AW69" s="868"/>
      <c r="AX69" s="868"/>
      <c r="AY69" s="868"/>
      <c r="AZ69" s="868"/>
      <c r="BA69" s="867"/>
      <c r="BB69" s="869"/>
      <c r="BC69" s="39"/>
      <c r="BD69" s="39"/>
      <c r="BE69" s="39"/>
      <c r="BF69" s="39"/>
      <c r="BG69" s="39"/>
      <c r="BH69" s="39"/>
      <c r="BI69" s="39"/>
      <c r="BJ69" s="39"/>
      <c r="BK69" s="39"/>
      <c r="BL69" s="39"/>
      <c r="BM69" s="39"/>
      <c r="BN69" s="39"/>
      <c r="BO69" s="39"/>
      <c r="BP69" s="470"/>
      <c r="BQ69" s="39"/>
      <c r="BR69" s="41"/>
    </row>
    <row r="70" spans="1:70" hidden="1" x14ac:dyDescent="0.2">
      <c r="A70" s="1305"/>
      <c r="B70" s="700" t="s">
        <v>10</v>
      </c>
      <c r="C70" s="720" t="s">
        <v>172</v>
      </c>
      <c r="D70" s="975" t="s">
        <v>194</v>
      </c>
      <c r="E70" s="980">
        <f>VLOOKUP($B70&amp;"_"&amp;$D70,'App5 - CRUK Inci Rates'!C:H,6,FALSE)</f>
        <v>75.7</v>
      </c>
      <c r="F70" s="981">
        <f>VLOOKUP($B70&amp;"_"&amp;$D70,'App5 - CRUK Inci Rates'!C:H,3,FALSE)</f>
        <v>0</v>
      </c>
      <c r="G70" s="992">
        <f>VLOOKUP($B70&amp;"_"&amp;$D70,'App5 - CRUK Inci Rates'!C:J,8,FALSE)</f>
        <v>2293472.6666666665</v>
      </c>
      <c r="H70" s="709">
        <f>VLOOKUP($B70&amp;"_"&amp;$D70,'App5 - CRUK Inci Rates'!C:K,9,FALSE)</f>
        <v>1737</v>
      </c>
      <c r="I70" s="935"/>
      <c r="J70" s="935"/>
      <c r="K70" s="935"/>
      <c r="L70" s="935"/>
      <c r="M70" s="935"/>
      <c r="N70" s="935"/>
      <c r="O70" s="935"/>
      <c r="P70" s="935"/>
      <c r="Q70" s="935"/>
      <c r="R70" s="935"/>
      <c r="S70" s="935"/>
      <c r="T70" s="935"/>
      <c r="U70" s="936"/>
      <c r="V70" s="937"/>
      <c r="W70" s="18">
        <f t="shared" ref="W70:W75" si="18">$G70*W$54</f>
        <v>458694.53333333333</v>
      </c>
      <c r="X70" s="14">
        <f>VLOOKUP("*"&amp;$B70&amp;"*",'S4 - Summ PRS Characteristics'!$C$13:$Q$20,12,FALSE)*$H70</f>
        <v>841.98325603562898</v>
      </c>
      <c r="Y70" s="14">
        <f t="shared" ref="Y70:Y75" si="19">$H70-X70</f>
        <v>895.01674396437102</v>
      </c>
      <c r="Z70" s="14">
        <f>IF($C70="other",(1-#REF!)*X70,(1-(VLOOKUP($C70,'S3 - Screening Tool Metrics'!$C$3:$G$19,5,FALSE)/100))*X70)</f>
        <v>572.54861410422768</v>
      </c>
      <c r="AA70" s="14">
        <f>IF($C70="other",#REF!*X70,(VLOOKUP($C70,'S3 - Screening Tool Metrics'!$C$3:$G$19,5,FALSE)/100)*X70)</f>
        <v>269.4346419314013</v>
      </c>
      <c r="AB70" s="19">
        <f t="shared" ref="AB70:AB75" si="20">$AA70/$H70*100</f>
        <v>15.511493490581538</v>
      </c>
      <c r="AC70" s="18"/>
      <c r="AD70" s="19"/>
      <c r="AS70" s="80"/>
      <c r="AT70" s="94"/>
      <c r="AU70" s="18">
        <f t="shared" ref="AU70:AU75" si="21">$G70*AU$54</f>
        <v>229347.26666666666</v>
      </c>
      <c r="AV70" s="14">
        <f>VLOOKUP("*"&amp;$B70&amp;"*",'S4 - Summ PRS Characteristics'!$C$13:$Q$20,13,FALSE)*$H70</f>
        <v>549.32972084008634</v>
      </c>
      <c r="AW70" s="14">
        <f t="shared" ref="AW70:AW75" si="22">$H70-AV70</f>
        <v>1187.6702791599137</v>
      </c>
      <c r="AX70" s="14">
        <f>IF($C70="other",(1-#REF!)*AV70,(1-(VLOOKUP($C70,'S3 - Screening Tool Metrics'!$C$3:$G$19,5,FALSE)/100))*AV70)</f>
        <v>373.54421017125867</v>
      </c>
      <c r="AY70" s="14">
        <f>IF($C70="other",#REF!*AV70,(VLOOKUP($C70,'S3 - Screening Tool Metrics'!$C$3:$G$19,5,FALSE)/100)*AV70)</f>
        <v>175.78551066882764</v>
      </c>
      <c r="AZ70" s="14">
        <f t="shared" ref="AZ70:AZ75" si="23">$AY70/$H70*100</f>
        <v>10.120063941786277</v>
      </c>
      <c r="BA70" s="18"/>
      <c r="BB70" s="19"/>
      <c r="BC70" s="80"/>
      <c r="BD70" s="80"/>
      <c r="BE70" s="80"/>
      <c r="BF70" s="80"/>
      <c r="BG70" s="80"/>
      <c r="BH70" s="80"/>
      <c r="BI70" s="80"/>
      <c r="BJ70" s="80"/>
      <c r="BK70" s="80"/>
      <c r="BL70" s="80"/>
      <c r="BM70" s="80"/>
      <c r="BN70" s="80"/>
      <c r="BO70" s="80"/>
      <c r="BP70" s="468"/>
      <c r="BQ70" s="80"/>
      <c r="BR70" s="94"/>
    </row>
    <row r="71" spans="1:70" hidden="1" x14ac:dyDescent="0.2">
      <c r="A71" s="1305"/>
      <c r="B71" s="700" t="s">
        <v>10</v>
      </c>
      <c r="C71" s="721" t="str">
        <f>$C$70</f>
        <v>PSA_3ng/mL cut-off</v>
      </c>
      <c r="D71" s="975" t="s">
        <v>195</v>
      </c>
      <c r="E71" s="980">
        <f>VLOOKUP($B71&amp;"_"&amp;$D71,'App5 - CRUK Inci Rates'!C:H,6,FALSE)</f>
        <v>201.8</v>
      </c>
      <c r="F71" s="981">
        <f>VLOOKUP($B71&amp;"_"&amp;$D71,'App5 - CRUK Inci Rates'!C:H,3,FALSE)</f>
        <v>0</v>
      </c>
      <c r="G71" s="992">
        <f>VLOOKUP($B71&amp;"_"&amp;$D71,'App5 - CRUK Inci Rates'!C:J,8,FALSE)</f>
        <v>2061918.6666666667</v>
      </c>
      <c r="H71" s="709">
        <f>VLOOKUP($B71&amp;"_"&amp;$D71,'App5 - CRUK Inci Rates'!C:K,9,FALSE)</f>
        <v>4160</v>
      </c>
      <c r="I71" s="935"/>
      <c r="J71" s="935"/>
      <c r="K71" s="935"/>
      <c r="L71" s="935"/>
      <c r="M71" s="935"/>
      <c r="N71" s="935"/>
      <c r="O71" s="935"/>
      <c r="P71" s="935"/>
      <c r="Q71" s="935"/>
      <c r="R71" s="935"/>
      <c r="S71" s="935"/>
      <c r="T71" s="935"/>
      <c r="U71" s="936"/>
      <c r="V71" s="937"/>
      <c r="W71" s="18">
        <f t="shared" si="18"/>
        <v>412383.7333333334</v>
      </c>
      <c r="X71" s="14">
        <f>VLOOKUP("*"&amp;$B71&amp;"*",'S4 - Summ PRS Characteristics'!$C$13:$Q$20,12,FALSE)*$H71</f>
        <v>2016.4941537755997</v>
      </c>
      <c r="Y71" s="14">
        <f t="shared" si="19"/>
        <v>2143.5058462244006</v>
      </c>
      <c r="Z71" s="14">
        <f>IF($C71="other",(1-#REF!)*X71,(1-(VLOOKUP($C71,'S3 - Screening Tool Metrics'!$C$3:$G$19,5,FALSE)/100))*X71)</f>
        <v>1371.2160245674077</v>
      </c>
      <c r="AA71" s="14">
        <f>IF($C71="other",#REF!*X71,(VLOOKUP($C71,'S3 - Screening Tool Metrics'!$C$3:$G$19,5,FALSE)/100)*X71)</f>
        <v>645.2781292081919</v>
      </c>
      <c r="AB71" s="19">
        <f t="shared" si="20"/>
        <v>15.511493490581534</v>
      </c>
      <c r="AC71" s="18"/>
      <c r="AD71" s="19"/>
      <c r="AS71" s="80"/>
      <c r="AT71" s="94"/>
      <c r="AU71" s="18">
        <f t="shared" si="21"/>
        <v>206191.8666666667</v>
      </c>
      <c r="AV71" s="14">
        <f>VLOOKUP("*"&amp;$B71&amp;"*",'S4 - Summ PRS Characteristics'!$C$13:$Q$20,13,FALSE)*$H71</f>
        <v>1315.6083124322161</v>
      </c>
      <c r="AW71" s="14">
        <f t="shared" si="22"/>
        <v>2844.3916875677842</v>
      </c>
      <c r="AX71" s="14">
        <f>IF($C71="other",(1-#REF!)*AV71,(1-(VLOOKUP($C71,'S3 - Screening Tool Metrics'!$C$3:$G$19,5,FALSE)/100))*AV71)</f>
        <v>894.61365245390687</v>
      </c>
      <c r="AY71" s="14">
        <f>IF($C71="other",#REF!*AV71,(VLOOKUP($C71,'S3 - Screening Tool Metrics'!$C$3:$G$19,5,FALSE)/100)*AV71)</f>
        <v>420.99465997830913</v>
      </c>
      <c r="AZ71" s="14">
        <f t="shared" si="23"/>
        <v>10.120063941786277</v>
      </c>
      <c r="BA71" s="18"/>
      <c r="BB71" s="19"/>
      <c r="BC71" s="80"/>
      <c r="BD71" s="80"/>
      <c r="BE71" s="80"/>
      <c r="BF71" s="80"/>
      <c r="BG71" s="80"/>
      <c r="BH71" s="80"/>
      <c r="BI71" s="80"/>
      <c r="BJ71" s="80"/>
      <c r="BK71" s="80"/>
      <c r="BL71" s="80"/>
      <c r="BM71" s="80"/>
      <c r="BN71" s="80"/>
      <c r="BO71" s="80"/>
      <c r="BP71" s="468"/>
      <c r="BQ71" s="80"/>
      <c r="BR71" s="94"/>
    </row>
    <row r="72" spans="1:70" ht="17" hidden="1" thickBot="1" x14ac:dyDescent="0.25">
      <c r="A72" s="1305"/>
      <c r="B72" s="958" t="s">
        <v>10</v>
      </c>
      <c r="C72" s="959" t="str">
        <f>$C$70</f>
        <v>PSA_3ng/mL cut-off</v>
      </c>
      <c r="D72" s="976" t="s">
        <v>230</v>
      </c>
      <c r="E72" s="982">
        <f>VLOOKUP($B72&amp;"_"&amp;$D72,'App5 - CRUK Inci Rates'!C:H,6,FALSE)</f>
        <v>135.39541108208113</v>
      </c>
      <c r="F72" s="983">
        <f>VLOOKUP($B72&amp;"_"&amp;$D72,'App5 - CRUK Inci Rates'!C:H,3,FALSE)</f>
        <v>0</v>
      </c>
      <c r="G72" s="993">
        <f>VLOOKUP($B72&amp;"_"&amp;$D72,'App5 - CRUK Inci Rates'!C:J,8,FALSE)</f>
        <v>4355391.333333333</v>
      </c>
      <c r="H72" s="944">
        <f>VLOOKUP($B72&amp;"_"&amp;$D72,'App5 - CRUK Inci Rates'!C:K,9,FALSE)</f>
        <v>5897</v>
      </c>
      <c r="I72" s="945">
        <f>VLOOKUP($B72&amp;I$57&amp;$D72,'App6 - Stage-Route-Surv Data'!$E$5:$G$76,3,FALSE)</f>
        <v>0.59247594050743657</v>
      </c>
      <c r="J72" s="945">
        <f>VLOOKUP($B72&amp;J$57&amp;$D72,'App6 - Stage-Route-Surv Data'!$E$5:$G$76,3,FALSE)</f>
        <v>0</v>
      </c>
      <c r="K72" s="945">
        <f>VLOOKUP($B72&amp;K$57&amp;$D72,'App6 - Stage-Route-Surv Data'!$E$5:$G$76,3,FALSE)</f>
        <v>2.5721784776902887E-2</v>
      </c>
      <c r="L72" s="945">
        <f>VLOOKUP($B72&amp;L$57&amp;$D72,'App6 - Stage-Route-Surv Data'!$E$5:$G$76,3,FALSE)</f>
        <v>0.38180227471566053</v>
      </c>
      <c r="M72" s="946">
        <f>(($H72*$I72)*VLOOKUP($B72&amp;$I$57&amp;M$57,'App6 - Stage-Route-Surv Data'!$L$5:$N$52,3,FALSE))+(($H72*$J72)*VLOOKUP($B72&amp;$J$57&amp;M$57,'App6 - Stage-Route-Surv Data'!$L$5:$N$52,3,FALSE))+(($H72*$K72)*VLOOKUP($B72&amp;$K$57&amp;M$57,'App6 - Stage-Route-Surv Data'!$L$5:$N$52,3,FALSE))+(($H72*$L72)*VLOOKUP($B72&amp;$L$57&amp;M$57,'App6 - Stage-Route-Surv Data'!$L$5:$N$52,3,FALSE))</f>
        <v>2384.5650832956467</v>
      </c>
      <c r="N72" s="946">
        <f>(($H72*$I72)*VLOOKUP($B72&amp;$I$57&amp;N$57,'App6 - Stage-Route-Surv Data'!$L$5:$N$52,3,FALSE))+(($H72*$J72)*VLOOKUP($B72&amp;$J$57&amp;N$57,'App6 - Stage-Route-Surv Data'!$L$5:$N$52,3,FALSE))+(($H72*$K72)*VLOOKUP($B72&amp;$K$57&amp;N$57,'App6 - Stage-Route-Surv Data'!$L$5:$N$52,3,FALSE))+(($H72*$L72)*VLOOKUP($B72&amp;$L$57&amp;N$57,'App6 - Stage-Route-Surv Data'!$L$5:$N$52,3,FALSE))</f>
        <v>910.55055948256927</v>
      </c>
      <c r="O72" s="946">
        <f>(($H72*$I72)*VLOOKUP($B72&amp;$I$57&amp;O$57,'App6 - Stage-Route-Surv Data'!$L$5:$N$52,3,FALSE))+(($H72*$J72)*VLOOKUP($B72&amp;$J$57&amp;O$57,'App6 - Stage-Route-Surv Data'!$L$5:$N$52,3,FALSE))+(($H72*$K72)*VLOOKUP($B72&amp;$K$57&amp;O$57,'App6 - Stage-Route-Surv Data'!$L$5:$N$52,3,FALSE))+(($H72*$L72)*VLOOKUP($B72&amp;$L$57&amp;O$57,'App6 - Stage-Route-Surv Data'!$L$5:$N$52,3,FALSE))</f>
        <v>1579.7620982099547</v>
      </c>
      <c r="P72" s="946">
        <f>(($H72*$I72)*VLOOKUP($B72&amp;$I$57&amp;P$57,'App6 - Stage-Route-Surv Data'!$L$5:$N$52,3,FALSE))+(($H72*$J72)*VLOOKUP($B72&amp;$J$57&amp;P$57,'App6 - Stage-Route-Surv Data'!$L$5:$N$52,3,FALSE))+(($H72*$K72)*VLOOKUP($B72&amp;$K$57&amp;P$57,'App6 - Stage-Route-Surv Data'!$L$5:$N$52,3,FALSE))+(($H72*$L72)*VLOOKUP($B72&amp;$L$57&amp;P$57,'App6 - Stage-Route-Surv Data'!$L$5:$N$52,3,FALSE))</f>
        <v>1022.1222590118294</v>
      </c>
      <c r="Q72" s="946">
        <f>M72*VLOOKUP($B72&amp;$D72&amp;Q$57,'App6 - Stage-Route-Surv Data'!$S$5:$T$40,2,FALSE)</f>
        <v>2384.5650832956467</v>
      </c>
      <c r="R72" s="946">
        <f>N72*VLOOKUP($B72&amp;$D72&amp;R$57,'App6 - Stage-Route-Surv Data'!$S$5:$T$40,2,FALSE)</f>
        <v>910.55055948256927</v>
      </c>
      <c r="S72" s="946">
        <f>O72*VLOOKUP($B72&amp;$D72&amp;S$57,'App6 - Stage-Route-Surv Data'!$S$5:$T$40,2,FALSE)</f>
        <v>1548.1668562457555</v>
      </c>
      <c r="T72" s="946">
        <f>P72*VLOOKUP($B72&amp;$D72&amp;T$57,'App6 - Stage-Route-Surv Data'!$S$5:$T$40,2,FALSE)</f>
        <v>541.72479727626967</v>
      </c>
      <c r="U72" s="944">
        <f>SUM(Q72:T72)</f>
        <v>5385.0072963002413</v>
      </c>
      <c r="V72" s="947">
        <f>U72/H72</f>
        <v>0.91317742857389206</v>
      </c>
      <c r="W72" s="87">
        <f t="shared" si="18"/>
        <v>871078.2666666666</v>
      </c>
      <c r="X72" s="84">
        <f>VLOOKUP("*"&amp;$B72&amp;"*",'S4 - Summ PRS Characteristics'!$C$13:$Q$20,12,FALSE)*$H72</f>
        <v>2858.4774098112289</v>
      </c>
      <c r="Y72" s="84">
        <f t="shared" si="19"/>
        <v>3038.5225901887711</v>
      </c>
      <c r="Z72" s="84">
        <f>IF($C72="other",(1-#REF!)*X72,(1-(VLOOKUP($C72,'S3 - Screening Tool Metrics'!$C$3:$G$19,5,FALSE)/100))*X72)</f>
        <v>1943.7646386716356</v>
      </c>
      <c r="AA72" s="84">
        <f>IF($C72="other",#REF!*X72,(VLOOKUP($C72,'S3 - Screening Tool Metrics'!$C$3:$G$19,5,FALSE)/100)*X72)</f>
        <v>914.71277113959331</v>
      </c>
      <c r="AB72" s="88">
        <f t="shared" si="20"/>
        <v>15.511493490581538</v>
      </c>
      <c r="AC72" s="87">
        <f>AA72+($J72*$H72)</f>
        <v>914.71277113959331</v>
      </c>
      <c r="AD72" s="88">
        <f>AC72/H72*100</f>
        <v>15.511493490581538</v>
      </c>
      <c r="AS72" s="90">
        <f>U94-U72</f>
        <v>61.603053081197686</v>
      </c>
      <c r="AT72" s="95">
        <f>(U94/$H72)-($U72/$H72)</f>
        <v>1.0446507220823742E-2</v>
      </c>
      <c r="AU72" s="87">
        <f t="shared" si="21"/>
        <v>435539.1333333333</v>
      </c>
      <c r="AV72" s="84">
        <f>VLOOKUP("*"&amp;$B72&amp;"*",'S4 - Summ PRS Characteristics'!$C$13:$Q$20,13,FALSE)*$H72</f>
        <v>1864.9380332723024</v>
      </c>
      <c r="AW72" s="84">
        <f t="shared" si="22"/>
        <v>4032.0619667276978</v>
      </c>
      <c r="AX72" s="84">
        <f>IF($C72="other",(1-#REF!)*AV72,(1-(VLOOKUP($C72,'S3 - Screening Tool Metrics'!$C$3:$G$19,5,FALSE)/100))*AV72)</f>
        <v>1268.1578626251655</v>
      </c>
      <c r="AY72" s="84">
        <f>IF($C72="other",#REF!*AV72,(VLOOKUP($C72,'S3 - Screening Tool Metrics'!$C$3:$G$19,5,FALSE)/100)*AV72)</f>
        <v>596.78017064713674</v>
      </c>
      <c r="AZ72" s="84">
        <f t="shared" si="23"/>
        <v>10.120063941786277</v>
      </c>
      <c r="BA72" s="87">
        <f>AY72+($J72*$H72)</f>
        <v>596.78017064713674</v>
      </c>
      <c r="BB72" s="88">
        <f>BA72/H72*100</f>
        <v>10.120063941786277</v>
      </c>
      <c r="BC72" s="864">
        <f>(1-BD72)*($I72/SUM($I72,$K72,$L72))</f>
        <v>0.53251699648838435</v>
      </c>
      <c r="BD72" s="89">
        <f>(AY72+($J72*$H72))/$H72</f>
        <v>0.10120063941786277</v>
      </c>
      <c r="BE72" s="89">
        <f>(1-BD72)*($K72/SUM($I72,$K72,$L72))</f>
        <v>2.3118723710511668E-2</v>
      </c>
      <c r="BF72" s="89">
        <f>(1-BD72)*($L72/SUM($I72,$K72,$L72))</f>
        <v>0.34316364038324121</v>
      </c>
      <c r="BG72" s="86">
        <f>(($H72*$BC72)*VLOOKUP($B72&amp;$BC$57&amp;BG$57,'App6 - Stage-Route-Surv Data'!$L$5:$N$52,3,FALSE))+(($H72*$BD72)*VLOOKUP($B72&amp;$BD$57&amp;BG$57,'App6 - Stage-Route-Surv Data'!$L$5:$N$52,3,FALSE))+(($H72*$BE72)*VLOOKUP($B72&amp;$BE$57&amp;BG$57,'App6 - Stage-Route-Surv Data'!$L$5:$N$52,3,FALSE))+(($H72*$BF72)*VLOOKUP($B72&amp;$BF$57&amp;BG$57,'App6 - Stage-Route-Surv Data'!$L$5:$N$52,3,FALSE))</f>
        <v>2497.9356735549727</v>
      </c>
      <c r="BH72" s="86">
        <f>(($H72*$BC72)*VLOOKUP($B72&amp;$BC$57&amp;BH$57,'App6 - Stage-Route-Surv Data'!$L$5:$N$52,3,FALSE))+(($H72*$BD72)*VLOOKUP($B72&amp;$BD$57&amp;BH$57,'App6 - Stage-Route-Surv Data'!$L$5:$N$52,3,FALSE))+(($H72*$BE72)*VLOOKUP($B72&amp;$BE$57&amp;BH$57,'App6 - Stage-Route-Surv Data'!$L$5:$N$52,3,FALSE))+(($H72*$BF72)*VLOOKUP($B72&amp;$BF$57&amp;BH$57,'App6 - Stage-Route-Surv Data'!$L$5:$N$52,3,FALSE))</f>
        <v>988.49327081601291</v>
      </c>
      <c r="BI72" s="86">
        <f>(($H72*$BC72)*VLOOKUP($B72&amp;$BC$57&amp;BI$57,'App6 - Stage-Route-Surv Data'!$L$5:$N$52,3,FALSE))+(($H72*$BD72)*VLOOKUP($B72&amp;$BD$57&amp;BI$57,'App6 - Stage-Route-Surv Data'!$L$5:$N$52,3,FALSE))+(($H72*$BE72)*VLOOKUP($B72&amp;$BE$57&amp;BI$57,'App6 - Stage-Route-Surv Data'!$L$5:$N$52,3,FALSE))+(($H72*$BF72)*VLOOKUP($B72&amp;$BF$57&amp;BI$57,'App6 - Stage-Route-Surv Data'!$L$5:$N$52,3,FALSE))</f>
        <v>1469.2599470911696</v>
      </c>
      <c r="BJ72" s="86">
        <f>(($H72*$BC72)*VLOOKUP($B72&amp;$BC$57&amp;BJ$57,'App6 - Stage-Route-Surv Data'!$L$5:$N$52,3,FALSE))+(($H72*$BD72)*VLOOKUP($B72&amp;$BD$57&amp;BJ$57,'App6 - Stage-Route-Surv Data'!$L$5:$N$52,3,FALSE))+(($H72*$BE72)*VLOOKUP($B72&amp;$BE$57&amp;BJ$57,'App6 - Stage-Route-Surv Data'!$L$5:$N$52,3,FALSE))+(($H72*$BF72)*VLOOKUP($B72&amp;$BF$57&amp;BJ$57,'App6 - Stage-Route-Surv Data'!$L$5:$N$52,3,FALSE))</f>
        <v>941.31110853784503</v>
      </c>
      <c r="BK72" s="86">
        <f>BG72*VLOOKUP($B72&amp;$D72&amp;BK$57,'App6 - Stage-Route-Surv Data'!$S$5:$T$40,2,FALSE)</f>
        <v>2497.9356735549727</v>
      </c>
      <c r="BL72" s="86">
        <f>BH72*VLOOKUP($B72&amp;$D72&amp;BL$57,'App6 - Stage-Route-Surv Data'!$S$5:$T$40,2,FALSE)</f>
        <v>988.49327081601291</v>
      </c>
      <c r="BM72" s="86">
        <f>BI72*VLOOKUP($B72&amp;$D72&amp;BM$57,'App6 - Stage-Route-Surv Data'!$S$5:$T$40,2,FALSE)</f>
        <v>1439.8747481493463</v>
      </c>
      <c r="BN72" s="86">
        <f>BJ72*VLOOKUP($B72&amp;$D72&amp;BN$57,'App6 - Stage-Route-Surv Data'!$S$5:$T$40,2,FALSE)</f>
        <v>498.89488752505787</v>
      </c>
      <c r="BO72" s="86">
        <f>SUM(BK72:BN72)</f>
        <v>5425.1985800453904</v>
      </c>
      <c r="BP72" s="469">
        <f>BO72/H72</f>
        <v>0.91999297609723429</v>
      </c>
      <c r="BQ72" s="90">
        <f>BO72-U72</f>
        <v>40.191283745149121</v>
      </c>
      <c r="BR72" s="95">
        <f>(BO72/$H72)-($U72/$H72)</f>
        <v>6.8155475233422358E-3</v>
      </c>
    </row>
    <row r="73" spans="1:70" hidden="1" x14ac:dyDescent="0.2">
      <c r="A73" s="1305"/>
      <c r="B73" s="700" t="s">
        <v>10</v>
      </c>
      <c r="C73" s="721" t="str">
        <f>$C$70</f>
        <v>PSA_3ng/mL cut-off</v>
      </c>
      <c r="D73" s="975" t="s">
        <v>196</v>
      </c>
      <c r="E73" s="984">
        <f>VLOOKUP($B73&amp;"_"&amp;$D73,'App5 - CRUK Inci Rates'!C:H,6,FALSE)</f>
        <v>356.1</v>
      </c>
      <c r="F73" s="981">
        <f>VLOOKUP($B73&amp;"_"&amp;$D73,'App5 - CRUK Inci Rates'!C:H,3,FALSE)</f>
        <v>0</v>
      </c>
      <c r="G73" s="992">
        <f>VLOOKUP($B73&amp;"_"&amp;$D73,'App5 - CRUK Inci Rates'!C:J,8,FALSE)</f>
        <v>1764828</v>
      </c>
      <c r="H73" s="709">
        <f>VLOOKUP($B73&amp;"_"&amp;$D73,'App5 - CRUK Inci Rates'!C:K,9,FALSE)</f>
        <v>6285</v>
      </c>
      <c r="I73" s="935"/>
      <c r="J73" s="935"/>
      <c r="K73" s="935"/>
      <c r="L73" s="935"/>
      <c r="M73" s="935"/>
      <c r="N73" s="935"/>
      <c r="O73" s="935"/>
      <c r="P73" s="935"/>
      <c r="Q73" s="935"/>
      <c r="R73" s="935"/>
      <c r="S73" s="935"/>
      <c r="T73" s="935"/>
      <c r="U73" s="936"/>
      <c r="V73" s="937"/>
      <c r="W73" s="18">
        <f t="shared" si="18"/>
        <v>352965.60000000003</v>
      </c>
      <c r="X73" s="14">
        <f>VLOOKUP("*"&amp;$B73&amp;"*",'S4 - Summ PRS Characteristics'!$C$13:$Q$20,12,FALSE)*$H73</f>
        <v>3046.5542683845297</v>
      </c>
      <c r="Y73" s="14">
        <f t="shared" si="19"/>
        <v>3238.4457316154703</v>
      </c>
      <c r="Z73" s="14">
        <f>IF($C73="other",(1-#REF!)*X73,(1-(VLOOKUP($C73,'S3 - Screening Tool Metrics'!$C$3:$G$19,5,FALSE)/100))*X73)</f>
        <v>2071.6569025014801</v>
      </c>
      <c r="AA73" s="14">
        <f>IF($C73="other",#REF!*X73,(VLOOKUP($C73,'S3 - Screening Tool Metrics'!$C$3:$G$19,5,FALSE)/100)*X73)</f>
        <v>974.89736588304947</v>
      </c>
      <c r="AB73" s="19">
        <f t="shared" si="20"/>
        <v>15.511493490581534</v>
      </c>
      <c r="AC73" s="18"/>
      <c r="AD73" s="19"/>
      <c r="AS73" s="80"/>
      <c r="AT73" s="94"/>
      <c r="AU73" s="18">
        <f t="shared" si="21"/>
        <v>176482.80000000002</v>
      </c>
      <c r="AV73" s="14">
        <f>VLOOKUP("*"&amp;$B73&amp;"*",'S4 - Summ PRS Characteristics'!$C$13:$Q$20,13,FALSE)*$H73</f>
        <v>1987.6438085664611</v>
      </c>
      <c r="AW73" s="14">
        <f t="shared" si="22"/>
        <v>4297.3561914335387</v>
      </c>
      <c r="AX73" s="14">
        <f>IF($C73="other",(1-#REF!)*AV73,(1-(VLOOKUP($C73,'S3 - Screening Tool Metrics'!$C$3:$G$19,5,FALSE)/100))*AV73)</f>
        <v>1351.5977898251933</v>
      </c>
      <c r="AY73" s="14">
        <f>IF($C73="other",#REF!*AV73,(VLOOKUP($C73,'S3 - Screening Tool Metrics'!$C$3:$G$19,5,FALSE)/100)*AV73)</f>
        <v>636.04601874126752</v>
      </c>
      <c r="AZ73" s="14">
        <f t="shared" si="23"/>
        <v>10.120063941786277</v>
      </c>
      <c r="BA73" s="18"/>
      <c r="BB73" s="19"/>
      <c r="BC73" s="80"/>
      <c r="BD73" s="80"/>
      <c r="BE73" s="80"/>
      <c r="BF73" s="80"/>
      <c r="BG73" s="80"/>
      <c r="BH73" s="80"/>
      <c r="BI73" s="80"/>
      <c r="BJ73" s="80"/>
      <c r="BK73" s="80"/>
      <c r="BL73" s="80"/>
      <c r="BM73" s="80"/>
      <c r="BN73" s="80"/>
      <c r="BO73" s="80"/>
      <c r="BP73" s="468"/>
      <c r="BQ73" s="80"/>
      <c r="BR73" s="94"/>
    </row>
    <row r="74" spans="1:70" hidden="1" x14ac:dyDescent="0.2">
      <c r="A74" s="1305"/>
      <c r="B74" s="700" t="s">
        <v>10</v>
      </c>
      <c r="C74" s="721" t="str">
        <f>$C$70</f>
        <v>PSA_3ng/mL cut-off</v>
      </c>
      <c r="D74" s="975" t="s">
        <v>197</v>
      </c>
      <c r="E74" s="985">
        <f>VLOOKUP($B74&amp;"_"&amp;$D74,'App5 - CRUK Inci Rates'!C:H,6,FALSE)</f>
        <v>622.70000000000005</v>
      </c>
      <c r="F74" s="981">
        <f>VLOOKUP($B74&amp;"_"&amp;$D74,'App5 - CRUK Inci Rates'!C:H,3,FALSE)</f>
        <v>0</v>
      </c>
      <c r="G74" s="992">
        <f>VLOOKUP($B74&amp;"_"&amp;$D74,'App5 - CRUK Inci Rates'!C:J,8,FALSE)</f>
        <v>1696993.3333333333</v>
      </c>
      <c r="H74" s="709">
        <f>VLOOKUP($B74&amp;"_"&amp;$D74,'App5 - CRUK Inci Rates'!C:K,9,FALSE)</f>
        <v>10568</v>
      </c>
      <c r="I74" s="935"/>
      <c r="J74" s="935"/>
      <c r="K74" s="935"/>
      <c r="L74" s="935"/>
      <c r="M74" s="935"/>
      <c r="N74" s="935"/>
      <c r="O74" s="935"/>
      <c r="P74" s="935"/>
      <c r="Q74" s="935"/>
      <c r="R74" s="935"/>
      <c r="S74" s="935"/>
      <c r="T74" s="935"/>
      <c r="U74" s="936"/>
      <c r="V74" s="937"/>
      <c r="W74" s="18">
        <f t="shared" si="18"/>
        <v>339398.66666666669</v>
      </c>
      <c r="X74" s="14">
        <f>VLOOKUP("*"&amp;$B74&amp;"*",'S4 - Summ PRS Characteristics'!$C$13:$Q$20,12,FALSE)*$H74</f>
        <v>5122.6707252645519</v>
      </c>
      <c r="Y74" s="14">
        <f t="shared" si="19"/>
        <v>5445.3292747354481</v>
      </c>
      <c r="Z74" s="14">
        <f>IF($C74="other",(1-#REF!)*X74,(1-(VLOOKUP($C74,'S3 - Screening Tool Metrics'!$C$3:$G$19,5,FALSE)/100))*X74)</f>
        <v>3483.4160931798951</v>
      </c>
      <c r="AA74" s="14">
        <f>IF($C74="other",#REF!*X74,(VLOOKUP($C74,'S3 - Screening Tool Metrics'!$C$3:$G$19,5,FALSE)/100)*X74)</f>
        <v>1639.2546320846566</v>
      </c>
      <c r="AB74" s="19">
        <f t="shared" si="20"/>
        <v>15.511493490581534</v>
      </c>
      <c r="AC74" s="18"/>
      <c r="AD74" s="19"/>
      <c r="AS74" s="80"/>
      <c r="AT74" s="94"/>
      <c r="AU74" s="18">
        <f t="shared" si="21"/>
        <v>169699.33333333334</v>
      </c>
      <c r="AV74" s="14">
        <f>VLOOKUP("*"&amp;$B74&amp;"*",'S4 - Summ PRS Characteristics'!$C$13:$Q$20,13,FALSE)*$H74</f>
        <v>3342.1511167749181</v>
      </c>
      <c r="AW74" s="14">
        <f t="shared" si="22"/>
        <v>7225.8488832250823</v>
      </c>
      <c r="AX74" s="14">
        <f>IF($C74="other",(1-#REF!)*AV74,(1-(VLOOKUP($C74,'S3 - Screening Tool Metrics'!$C$3:$G$19,5,FALSE)/100))*AV74)</f>
        <v>2272.6627594069441</v>
      </c>
      <c r="AY74" s="14">
        <f>IF($C74="other",#REF!*AV74,(VLOOKUP($C74,'S3 - Screening Tool Metrics'!$C$3:$G$19,5,FALSE)/100)*AV74)</f>
        <v>1069.4883573679738</v>
      </c>
      <c r="AZ74" s="14">
        <f t="shared" si="23"/>
        <v>10.120063941786277</v>
      </c>
      <c r="BA74" s="18"/>
      <c r="BB74" s="19"/>
      <c r="BC74" s="80"/>
      <c r="BD74" s="80"/>
      <c r="BE74" s="80"/>
      <c r="BF74" s="80"/>
      <c r="BG74" s="80"/>
      <c r="BH74" s="80"/>
      <c r="BI74" s="80"/>
      <c r="BJ74" s="80"/>
      <c r="BK74" s="80"/>
      <c r="BL74" s="80"/>
      <c r="BM74" s="80"/>
      <c r="BN74" s="80"/>
      <c r="BO74" s="80"/>
      <c r="BP74" s="468"/>
      <c r="BQ74" s="80"/>
      <c r="BR74" s="94"/>
    </row>
    <row r="75" spans="1:70" ht="17" hidden="1" thickBot="1" x14ac:dyDescent="0.25">
      <c r="A75" s="1305"/>
      <c r="B75" s="700" t="s">
        <v>10</v>
      </c>
      <c r="C75" s="721" t="str">
        <f>$C$70</f>
        <v>PSA_3ng/mL cut-off</v>
      </c>
      <c r="D75" s="976" t="s">
        <v>239</v>
      </c>
      <c r="E75" s="982">
        <f>VLOOKUP($B75&amp;"_"&amp;$D75,'App5 - CRUK Inci Rates'!C:H,6,FALSE)</f>
        <v>486.82466185429951</v>
      </c>
      <c r="F75" s="983">
        <f>VLOOKUP($B75&amp;"_"&amp;$D75,'App5 - CRUK Inci Rates'!C:H,3,FALSE)</f>
        <v>0</v>
      </c>
      <c r="G75" s="993">
        <f>VLOOKUP($B75&amp;"_"&amp;$D75,'App5 - CRUK Inci Rates'!C:J,8,FALSE)</f>
        <v>3461821.333333333</v>
      </c>
      <c r="H75" s="944">
        <f>VLOOKUP($B75&amp;"_"&amp;$D75,'App5 - CRUK Inci Rates'!C:K,9,FALSE)</f>
        <v>16853</v>
      </c>
      <c r="I75" s="945">
        <f>VLOOKUP($B75&amp;I$57&amp;$D75,'App6 - Stage-Route-Surv Data'!$E$5:$G$76,3,FALSE)</f>
        <v>0.6049957385432374</v>
      </c>
      <c r="J75" s="945">
        <f>VLOOKUP($B75&amp;J$57&amp;$D75,'App6 - Stage-Route-Surv Data'!$E$5:$G$76,3,FALSE)</f>
        <v>0</v>
      </c>
      <c r="K75" s="945">
        <f>VLOOKUP($B75&amp;K$57&amp;$D75,'App6 - Stage-Route-Surv Data'!$E$5:$G$76,3,FALSE)</f>
        <v>3.1141414803645184E-2</v>
      </c>
      <c r="L75" s="945">
        <f>VLOOKUP($B75&amp;L$57&amp;$D75,'App6 - Stage-Route-Surv Data'!$E$5:$G$76,3,FALSE)</f>
        <v>0.36386284665311741</v>
      </c>
      <c r="M75" s="946">
        <f>(($H75*$I75)*VLOOKUP($B75&amp;$I$57&amp;M$57,'App6 - Stage-Route-Surv Data'!$L$5:$N$52,3,FALSE))+(($H75*$J75)*VLOOKUP($B75&amp;$J$57&amp;M$57,'App6 - Stage-Route-Surv Data'!$L$5:$N$52,3,FALSE))+(($H75*$K75)*VLOOKUP($B75&amp;$K$57&amp;M$57,'App6 - Stage-Route-Surv Data'!$L$5:$N$52,3,FALSE))+(($H75*$L75)*VLOOKUP($B75&amp;$L$57&amp;M$57,'App6 - Stage-Route-Surv Data'!$L$5:$N$52,3,FALSE))</f>
        <v>6756.8901734408828</v>
      </c>
      <c r="N75" s="946">
        <f>(($H75*$I75)*VLOOKUP($B75&amp;$I$57&amp;N$57,'App6 - Stage-Route-Surv Data'!$L$5:$N$52,3,FALSE))+(($H75*$J75)*VLOOKUP($B75&amp;$J$57&amp;N$57,'App6 - Stage-Route-Surv Data'!$L$5:$N$52,3,FALSE))+(($H75*$K75)*VLOOKUP($B75&amp;$K$57&amp;N$57,'App6 - Stage-Route-Surv Data'!$L$5:$N$52,3,FALSE))+(($H75*$L75)*VLOOKUP($B75&amp;$L$57&amp;N$57,'App6 - Stage-Route-Surv Data'!$L$5:$N$52,3,FALSE))</f>
        <v>2587.4263745897233</v>
      </c>
      <c r="O75" s="946">
        <f>(($H75*$I75)*VLOOKUP($B75&amp;$I$57&amp;O$57,'App6 - Stage-Route-Surv Data'!$L$5:$N$52,3,FALSE))+(($H75*$J75)*VLOOKUP($B75&amp;$J$57&amp;O$57,'App6 - Stage-Route-Surv Data'!$L$5:$N$52,3,FALSE))+(($H75*$K75)*VLOOKUP($B75&amp;$K$57&amp;O$57,'App6 - Stage-Route-Surv Data'!$L$5:$N$52,3,FALSE))+(($H75*$L75)*VLOOKUP($B75&amp;$L$57&amp;O$57,'App6 - Stage-Route-Surv Data'!$L$5:$N$52,3,FALSE))</f>
        <v>4520.6898367553804</v>
      </c>
      <c r="P75" s="946">
        <f>(($H75*$I75)*VLOOKUP($B75&amp;$I$57&amp;P$57,'App6 - Stage-Route-Surv Data'!$L$5:$N$52,3,FALSE))+(($H75*$J75)*VLOOKUP($B75&amp;$J$57&amp;P$57,'App6 - Stage-Route-Surv Data'!$L$5:$N$52,3,FALSE))+(($H75*$K75)*VLOOKUP($B75&amp;$K$57&amp;P$57,'App6 - Stage-Route-Surv Data'!$L$5:$N$52,3,FALSE))+(($H75*$L75)*VLOOKUP($B75&amp;$L$57&amp;P$57,'App6 - Stage-Route-Surv Data'!$L$5:$N$52,3,FALSE))</f>
        <v>2987.9936152140158</v>
      </c>
      <c r="Q75" s="946">
        <f>M75*VLOOKUP($B75&amp;$D75&amp;Q$57,'App6 - Stage-Route-Surv Data'!$S$5:$T$40,2,FALSE)</f>
        <v>6824.4590751752921</v>
      </c>
      <c r="R75" s="946">
        <f>N75*VLOOKUP($B75&amp;$D75&amp;R$57,'App6 - Stage-Route-Surv Data'!$S$5:$T$40,2,FALSE)</f>
        <v>2587.4263745897233</v>
      </c>
      <c r="S75" s="946">
        <f>O75*VLOOKUP($B75&amp;$D75&amp;S$57,'App6 - Stage-Route-Surv Data'!$S$5:$T$40,2,FALSE)</f>
        <v>4475.4829383878268</v>
      </c>
      <c r="T75" s="946">
        <f>P75*VLOOKUP($B75&amp;$D75&amp;T$57,'App6 - Stage-Route-Surv Data'!$S$5:$T$40,2,FALSE)</f>
        <v>1703.1563606719888</v>
      </c>
      <c r="U75" s="944">
        <f>SUM(Q75:T75)</f>
        <v>15590.52474882483</v>
      </c>
      <c r="V75" s="947">
        <f>U75/H75</f>
        <v>0.92508899002105438</v>
      </c>
      <c r="W75" s="101">
        <f t="shared" si="18"/>
        <v>692364.2666666666</v>
      </c>
      <c r="X75" s="98">
        <f>VLOOKUP("*"&amp;$B75&amp;"*",'S4 - Summ PRS Characteristics'!$C$13:$Q$20,12,FALSE)*$H75</f>
        <v>8169.2249936490825</v>
      </c>
      <c r="Y75" s="98">
        <f t="shared" si="19"/>
        <v>8683.7750063509175</v>
      </c>
      <c r="Z75" s="98">
        <f>IF($C75="other",(1-#REF!)*X75,(1-(VLOOKUP($C75,'S3 - Screening Tool Metrics'!$C$3:$G$19,5,FALSE)/100))*X75)</f>
        <v>5555.0729956813757</v>
      </c>
      <c r="AA75" s="98">
        <f>IF($C75="other",#REF!*X75,(VLOOKUP($C75,'S3 - Screening Tool Metrics'!$C$3:$G$19,5,FALSE)/100)*X75)</f>
        <v>2614.1519979677064</v>
      </c>
      <c r="AB75" s="102">
        <f t="shared" si="20"/>
        <v>15.511493490581538</v>
      </c>
      <c r="AC75" s="101">
        <f>AA75+($J75*$H75)</f>
        <v>2614.1519979677064</v>
      </c>
      <c r="AD75" s="102">
        <f>AC75/H75*100</f>
        <v>15.511493490581538</v>
      </c>
      <c r="AS75" s="104">
        <f>U97-U75</f>
        <v>166.58080673376571</v>
      </c>
      <c r="AT75" s="105">
        <f>(U97/$H75)-($U75/$H75)</f>
        <v>9.8843414664312457E-3</v>
      </c>
      <c r="AU75" s="101">
        <f t="shared" si="21"/>
        <v>346182.1333333333</v>
      </c>
      <c r="AV75" s="98">
        <f>VLOOKUP("*"&amp;$B75&amp;"*",'S4 - Summ PRS Characteristics'!$C$13:$Q$20,13,FALSE)*$H75</f>
        <v>5329.794925341379</v>
      </c>
      <c r="AW75" s="98">
        <f t="shared" si="22"/>
        <v>11523.205074658621</v>
      </c>
      <c r="AX75" s="98">
        <f>IF($C75="other",(1-#REF!)*AV75,(1-(VLOOKUP($C75,'S3 - Screening Tool Metrics'!$C$3:$G$19,5,FALSE)/100))*AV75)</f>
        <v>3624.2605492321372</v>
      </c>
      <c r="AY75" s="98">
        <f>IF($C75="other",#REF!*AV75,(VLOOKUP($C75,'S3 - Screening Tool Metrics'!$C$3:$G$19,5,FALSE)/100)*AV75)</f>
        <v>1705.5343761092413</v>
      </c>
      <c r="AZ75" s="98">
        <f t="shared" si="23"/>
        <v>10.120063941786277</v>
      </c>
      <c r="BA75" s="101">
        <f>AY75+($J75*$H75)</f>
        <v>1705.5343761092413</v>
      </c>
      <c r="BB75" s="102">
        <f>BA75/H75*100</f>
        <v>10.120063941786277</v>
      </c>
      <c r="BC75" s="873">
        <f>(1-BD75)*($I75/SUM($I75,$K75,$L75))</f>
        <v>0.54376978295757972</v>
      </c>
      <c r="BD75" s="103">
        <f>(AY75+($J75*$H75))/$H75</f>
        <v>0.10120063941786277</v>
      </c>
      <c r="BE75" s="103">
        <f>(1-BD75)*($K75/SUM($I75,$K75,$L75))</f>
        <v>2.7989883713139395E-2</v>
      </c>
      <c r="BF75" s="103">
        <f>(1-BD75)*($L75/SUM($I75,$K75,$L75))</f>
        <v>0.32703969391141818</v>
      </c>
      <c r="BG75" s="100">
        <f>(($H75*$BC75)*VLOOKUP($B75&amp;$BC$57&amp;BG$57,'App6 - Stage-Route-Surv Data'!$L$5:$N$52,3,FALSE))+(($H75*$BD75)*VLOOKUP($B75&amp;$BD$57&amp;BG$57,'App6 - Stage-Route-Surv Data'!$L$5:$N$52,3,FALSE))+(($H75*$BE75)*VLOOKUP($B75&amp;$BE$57&amp;BG$57,'App6 - Stage-Route-Surv Data'!$L$5:$N$52,3,FALSE))+(($H75*$BF75)*VLOOKUP($B75&amp;$BF$57&amp;BG$57,'App6 - Stage-Route-Surv Data'!$L$5:$N$52,3,FALSE))</f>
        <v>7086.7552249112796</v>
      </c>
      <c r="BH75" s="100">
        <f>(($H75*$BC75)*VLOOKUP($B75&amp;$BC$57&amp;BH$57,'App6 - Stage-Route-Surv Data'!$L$5:$N$52,3,FALSE))+(($H75*$BD75)*VLOOKUP($B75&amp;$BD$57&amp;BH$57,'App6 - Stage-Route-Surv Data'!$L$5:$N$52,3,FALSE))+(($H75*$BE75)*VLOOKUP($B75&amp;$BE$57&amp;BH$57,'App6 - Stage-Route-Surv Data'!$L$5:$N$52,3,FALSE))+(($H75*$BF75)*VLOOKUP($B75&amp;$BF$57&amp;BH$57,'App6 - Stage-Route-Surv Data'!$L$5:$N$52,3,FALSE))</f>
        <v>2811.6792219902645</v>
      </c>
      <c r="BI75" s="100">
        <f>(($H75*$BC75)*VLOOKUP($B75&amp;$BC$57&amp;BI$57,'App6 - Stage-Route-Surv Data'!$L$5:$N$52,3,FALSE))+(($H75*$BD75)*VLOOKUP($B75&amp;$BD$57&amp;BI$57,'App6 - Stage-Route-Surv Data'!$L$5:$N$52,3,FALSE))+(($H75*$BE75)*VLOOKUP($B75&amp;$BE$57&amp;BI$57,'App6 - Stage-Route-Surv Data'!$L$5:$N$52,3,FALSE))+(($H75*$BF75)*VLOOKUP($B75&amp;$BF$57&amp;BI$57,'App6 - Stage-Route-Surv Data'!$L$5:$N$52,3,FALSE))</f>
        <v>4204.2895924862605</v>
      </c>
      <c r="BJ75" s="100">
        <f>(($H75*$BC75)*VLOOKUP($B75&amp;$BC$57&amp;BJ$57,'App6 - Stage-Route-Surv Data'!$L$5:$N$52,3,FALSE))+(($H75*$BD75)*VLOOKUP($B75&amp;$BD$57&amp;BJ$57,'App6 - Stage-Route-Surv Data'!$L$5:$N$52,3,FALSE))+(($H75*$BE75)*VLOOKUP($B75&amp;$BE$57&amp;BJ$57,'App6 - Stage-Route-Surv Data'!$L$5:$N$52,3,FALSE))+(($H75*$BF75)*VLOOKUP($B75&amp;$BF$57&amp;BJ$57,'App6 - Stage-Route-Surv Data'!$L$5:$N$52,3,FALSE))</f>
        <v>2750.2759606121972</v>
      </c>
      <c r="BK75" s="100">
        <f>BG75*VLOOKUP($B75&amp;$D75&amp;BK$57,'App6 - Stage-Route-Surv Data'!$S$5:$T$40,2,FALSE)</f>
        <v>7157.6227771603926</v>
      </c>
      <c r="BL75" s="100">
        <f>BH75*VLOOKUP($B75&amp;$D75&amp;BL$57,'App6 - Stage-Route-Surv Data'!$S$5:$T$40,2,FALSE)</f>
        <v>2811.6792219902645</v>
      </c>
      <c r="BM75" s="100">
        <f>BI75*VLOOKUP($B75&amp;$D75&amp;BM$57,'App6 - Stage-Route-Surv Data'!$S$5:$T$40,2,FALSE)</f>
        <v>4162.2466965613976</v>
      </c>
      <c r="BN75" s="100">
        <f>BJ75*VLOOKUP($B75&amp;$D75&amp;BN$57,'App6 - Stage-Route-Surv Data'!$S$5:$T$40,2,FALSE)</f>
        <v>1567.6572975489523</v>
      </c>
      <c r="BO75" s="100">
        <f>SUM(BK75:BN75)</f>
        <v>15699.205993261008</v>
      </c>
      <c r="BP75" s="469">
        <f>BO75/H75</f>
        <v>0.93153776735661353</v>
      </c>
      <c r="BQ75" s="104">
        <f>BO75-U75</f>
        <v>108.68124443617853</v>
      </c>
      <c r="BR75" s="105">
        <f>(BO75/$H75)-($U75/$H75)</f>
        <v>6.4487773355591527E-3</v>
      </c>
    </row>
    <row r="76" spans="1:70" ht="17" hidden="1" thickBot="1" x14ac:dyDescent="0.25">
      <c r="A76" s="1305"/>
      <c r="B76" s="953" t="s">
        <v>11</v>
      </c>
      <c r="C76" s="954"/>
      <c r="D76" s="966"/>
      <c r="E76" s="966"/>
      <c r="F76" s="967"/>
      <c r="G76" s="968"/>
      <c r="H76" s="969"/>
      <c r="I76" s="970"/>
      <c r="J76" s="970"/>
      <c r="K76" s="970"/>
      <c r="L76" s="970"/>
      <c r="M76" s="971"/>
      <c r="N76" s="971"/>
      <c r="O76" s="971"/>
      <c r="P76" s="971"/>
      <c r="Q76" s="971"/>
      <c r="R76" s="971"/>
      <c r="S76" s="971"/>
      <c r="T76" s="971"/>
      <c r="U76" s="971"/>
      <c r="V76" s="955"/>
      <c r="W76" s="40"/>
      <c r="X76" s="39"/>
      <c r="Y76" s="39"/>
      <c r="Z76" s="39"/>
      <c r="AA76" s="39"/>
      <c r="AB76" s="41"/>
      <c r="AC76" s="40"/>
      <c r="AD76" s="41"/>
      <c r="AS76" s="39"/>
      <c r="AT76" s="39"/>
      <c r="AU76" s="39"/>
      <c r="AV76" s="39"/>
      <c r="AW76" s="39"/>
      <c r="AX76" s="39"/>
      <c r="AY76" s="39"/>
      <c r="AZ76" s="39"/>
      <c r="BA76" s="40"/>
      <c r="BB76" s="41"/>
      <c r="BC76" s="39"/>
      <c r="BD76" s="39"/>
      <c r="BE76" s="39"/>
      <c r="BF76" s="39"/>
      <c r="BG76" s="39"/>
      <c r="BH76" s="39"/>
      <c r="BI76" s="39"/>
      <c r="BJ76" s="39"/>
      <c r="BK76" s="39"/>
      <c r="BL76" s="39"/>
      <c r="BM76" s="39"/>
      <c r="BN76" s="39"/>
      <c r="BO76" s="39"/>
      <c r="BP76" s="466"/>
      <c r="BQ76" s="39"/>
      <c r="BR76" s="41"/>
    </row>
    <row r="77" spans="1:70" hidden="1" x14ac:dyDescent="0.2">
      <c r="A77" s="1305"/>
      <c r="B77" s="728" t="s">
        <v>11</v>
      </c>
      <c r="C77" s="742" t="s">
        <v>143</v>
      </c>
      <c r="D77" s="978" t="s">
        <v>194</v>
      </c>
      <c r="E77" s="988">
        <f>VLOOKUP($B77&amp;"_"&amp;$D77,'App5 - CRUK Inci Rates'!C:H,6,FALSE)</f>
        <v>47.1</v>
      </c>
      <c r="F77" s="989">
        <f>VLOOKUP($B77&amp;"_"&amp;$D77,'App5 - CRUK Inci Rates'!C:H,3,FALSE)</f>
        <v>37.1</v>
      </c>
      <c r="G77" s="995">
        <f>VLOOKUP($B77&amp;"_"&amp;$D77,'App5 - CRUK Inci Rates'!C:J,8,FALSE)</f>
        <v>4658110.666666666</v>
      </c>
      <c r="H77" s="705">
        <f>VLOOKUP($B77&amp;"_"&amp;$D77,'App5 - CRUK Inci Rates'!C:K,9,FALSE)</f>
        <v>1958</v>
      </c>
      <c r="I77" s="931"/>
      <c r="J77" s="931"/>
      <c r="K77" s="931"/>
      <c r="L77" s="931"/>
      <c r="M77" s="931"/>
      <c r="N77" s="931"/>
      <c r="O77" s="931"/>
      <c r="P77" s="931"/>
      <c r="Q77" s="931"/>
      <c r="R77" s="931"/>
      <c r="S77" s="931"/>
      <c r="T77" s="931"/>
      <c r="U77" s="932"/>
      <c r="V77" s="933"/>
      <c r="W77" s="26">
        <f>$G77*W$54</f>
        <v>931622.1333333333</v>
      </c>
      <c r="X77" s="25">
        <f>VLOOKUP("*"&amp;$B77&amp;"*",'S4 - Summ PRS Characteristics'!$C$13:$Q$20,12,FALSE)*$H77</f>
        <v>725.16342270575672</v>
      </c>
      <c r="Y77" s="25">
        <f>$H77-X77</f>
        <v>1232.8365772942434</v>
      </c>
      <c r="Z77" s="25">
        <f>IF($C77="other",(1-#REF!)*X77,(1-(VLOOKUP($C77,'S3 - Screening Tool Metrics'!$C$3:$G$19,5,FALSE)/100))*X77)</f>
        <v>217.54902681172706</v>
      </c>
      <c r="AA77" s="25">
        <f>IF($C77="other",#REF!*X77,(VLOOKUP($C77,'S3 - Screening Tool Metrics'!$C$3:$G$19,5,FALSE)/100)*X77)</f>
        <v>507.61439589402966</v>
      </c>
      <c r="AB77" s="27">
        <f>$AA77/$H77*100</f>
        <v>25.925147900614387</v>
      </c>
      <c r="AC77" s="26"/>
      <c r="AD77" s="27"/>
      <c r="AS77" s="81"/>
      <c r="AT77" s="92"/>
      <c r="AU77" s="26">
        <f>$G77*AU$54</f>
        <v>465811.06666666665</v>
      </c>
      <c r="AV77" s="25">
        <f>VLOOKUP("*"&amp;$B77&amp;"*",'S4 - Summ PRS Characteristics'!$C$13:$Q$20,13,FALSE)*$H77</f>
        <v>431.54938777883001</v>
      </c>
      <c r="AW77" s="25">
        <f>$H77-AV77</f>
        <v>1526.4506122211701</v>
      </c>
      <c r="AX77" s="25">
        <f>IF($C77="other",(1-#REF!)*AV77,(1-(VLOOKUP($C77,'S3 - Screening Tool Metrics'!$C$3:$G$19,5,FALSE)/100))*AV77)</f>
        <v>129.46481633364903</v>
      </c>
      <c r="AY77" s="25">
        <f>IF($C77="other",#REF!*AV77,(VLOOKUP($C77,'S3 - Screening Tool Metrics'!$C$3:$G$19,5,FALSE)/100)*AV77)</f>
        <v>302.08457144518098</v>
      </c>
      <c r="AZ77" s="25">
        <f>$AY77/$H77*100</f>
        <v>15.428221217833554</v>
      </c>
      <c r="BA77" s="26"/>
      <c r="BB77" s="27"/>
      <c r="BC77" s="81"/>
      <c r="BD77" s="81"/>
      <c r="BE77" s="81"/>
      <c r="BF77" s="81"/>
      <c r="BG77" s="81"/>
      <c r="BH77" s="81"/>
      <c r="BI77" s="81"/>
      <c r="BJ77" s="81"/>
      <c r="BK77" s="81"/>
      <c r="BL77" s="81"/>
      <c r="BM77" s="81"/>
      <c r="BN77" s="81"/>
      <c r="BO77" s="81"/>
      <c r="BP77" s="467"/>
      <c r="BQ77" s="81"/>
      <c r="BR77" s="92"/>
    </row>
    <row r="78" spans="1:70" hidden="1" x14ac:dyDescent="0.2">
      <c r="A78" s="1305"/>
      <c r="B78" s="700" t="s">
        <v>11</v>
      </c>
      <c r="C78" s="934" t="str">
        <f>$C$77</f>
        <v>FIT 20-50 µg/g threshold (CRC)</v>
      </c>
      <c r="D78" s="975" t="s">
        <v>195</v>
      </c>
      <c r="E78" s="980">
        <f>VLOOKUP($B78&amp;"_"&amp;$D78,'App5 - CRUK Inci Rates'!C:H,6,FALSE)</f>
        <v>87.7</v>
      </c>
      <c r="F78" s="981">
        <f>VLOOKUP($B78&amp;"_"&amp;$D78,'App5 - CRUK Inci Rates'!C:H,3,FALSE)</f>
        <v>60.6</v>
      </c>
      <c r="G78" s="992">
        <f>VLOOKUP($B78&amp;"_"&amp;$D78,'App5 - CRUK Inci Rates'!C:J,8,FALSE)</f>
        <v>4181606</v>
      </c>
      <c r="H78" s="709">
        <f>VLOOKUP($B78&amp;"_"&amp;$D78,'App5 - CRUK Inci Rates'!C:K,9,FALSE)</f>
        <v>3094</v>
      </c>
      <c r="I78" s="935"/>
      <c r="J78" s="935"/>
      <c r="K78" s="935"/>
      <c r="L78" s="935"/>
      <c r="M78" s="935"/>
      <c r="N78" s="935"/>
      <c r="O78" s="935"/>
      <c r="P78" s="935"/>
      <c r="Q78" s="935"/>
      <c r="R78" s="935"/>
      <c r="S78" s="935"/>
      <c r="T78" s="935"/>
      <c r="U78" s="936"/>
      <c r="V78" s="937"/>
      <c r="W78" s="18">
        <f>$G78*W$54</f>
        <v>836321.20000000007</v>
      </c>
      <c r="X78" s="14">
        <f>VLOOKUP("*"&amp;$B78&amp;"*",'S4 - Summ PRS Characteristics'!$C$13:$Q$20,12,FALSE)*$H78</f>
        <v>1145.8915372071558</v>
      </c>
      <c r="Y78" s="14">
        <f>$H78-X78</f>
        <v>1948.1084627928442</v>
      </c>
      <c r="Z78" s="14">
        <f>IF($C78="other",(1-#REF!)*X78,(1-(VLOOKUP($C78,'S3 - Screening Tool Metrics'!$C$3:$G$19,5,FALSE)/100))*X78)</f>
        <v>343.76746116214679</v>
      </c>
      <c r="AA78" s="14">
        <f>IF($C78="other",#REF!*X78,(VLOOKUP($C78,'S3 - Screening Tool Metrics'!$C$3:$G$19,5,FALSE)/100)*X78)</f>
        <v>802.12407604500902</v>
      </c>
      <c r="AB78" s="19">
        <f>$AA78/$H78*100</f>
        <v>25.92514790061438</v>
      </c>
      <c r="AC78" s="18"/>
      <c r="AD78" s="19"/>
      <c r="AS78" s="80"/>
      <c r="AT78" s="94"/>
      <c r="AU78" s="18">
        <f>$G78*AU$54</f>
        <v>418160.60000000003</v>
      </c>
      <c r="AV78" s="14">
        <f>VLOOKUP("*"&amp;$B78&amp;"*",'S4 - Summ PRS Characteristics'!$C$13:$Q$20,13,FALSE)*$H78</f>
        <v>681.92737782824304</v>
      </c>
      <c r="AW78" s="14">
        <f>$H78-AV78</f>
        <v>2412.0726221717568</v>
      </c>
      <c r="AX78" s="14">
        <f>IF($C78="other",(1-#REF!)*AV78,(1-(VLOOKUP($C78,'S3 - Screening Tool Metrics'!$C$3:$G$19,5,FALSE)/100))*AV78)</f>
        <v>204.57821334847293</v>
      </c>
      <c r="AY78" s="14">
        <f>IF($C78="other",#REF!*AV78,(VLOOKUP($C78,'S3 - Screening Tool Metrics'!$C$3:$G$19,5,FALSE)/100)*AV78)</f>
        <v>477.34916447977008</v>
      </c>
      <c r="AZ78" s="14">
        <f>$AY78/$H78*100</f>
        <v>15.428221217833551</v>
      </c>
      <c r="BA78" s="18"/>
      <c r="BB78" s="19"/>
      <c r="BC78" s="80"/>
      <c r="BD78" s="80"/>
      <c r="BE78" s="80"/>
      <c r="BF78" s="80"/>
      <c r="BG78" s="80"/>
      <c r="BH78" s="80"/>
      <c r="BI78" s="80"/>
      <c r="BJ78" s="80"/>
      <c r="BK78" s="80"/>
      <c r="BL78" s="80"/>
      <c r="BM78" s="80"/>
      <c r="BN78" s="80"/>
      <c r="BO78" s="80"/>
      <c r="BP78" s="468"/>
      <c r="BQ78" s="80"/>
      <c r="BR78" s="94"/>
    </row>
    <row r="79" spans="1:70" ht="17" hidden="1" thickBot="1" x14ac:dyDescent="0.25">
      <c r="A79" s="1305"/>
      <c r="B79" s="731" t="s">
        <v>11</v>
      </c>
      <c r="C79" s="938" t="str">
        <f>$C$77</f>
        <v>FIT 20-50 µg/g threshold (CRC)</v>
      </c>
      <c r="D79" s="979" t="s">
        <v>230</v>
      </c>
      <c r="E79" s="990">
        <f>VLOOKUP($B79&amp;"_"&amp;$D79,'App5 - CRUK Inci Rates'!C:H,6,FALSE)</f>
        <v>66.354542653419429</v>
      </c>
      <c r="F79" s="991">
        <f>VLOOKUP($B79&amp;"_"&amp;$D79,'App5 - CRUK Inci Rates'!C:H,3,FALSE)</f>
        <v>48.212380665809548</v>
      </c>
      <c r="G79" s="996">
        <f>VLOOKUP($B79&amp;"_"&amp;$D79,'App5 - CRUK Inci Rates'!C:J,8,FALSE)</f>
        <v>8839716.6666666679</v>
      </c>
      <c r="H79" s="939">
        <f>VLOOKUP($B79&amp;"_"&amp;$D79,'App5 - CRUK Inci Rates'!C:K,9,FALSE)</f>
        <v>5052</v>
      </c>
      <c r="I79" s="940">
        <f>VLOOKUP($B79&amp;I$57&amp;$D79,'App6 - Stage-Route-Surv Data'!$E$5:$G$76,3,FALSE)+(VLOOKUP($B79&amp;J$57&amp;$D79,'App6 - Stage-Route-Surv Data'!$E$5:$G$76,3,FALSE)*(VLOOKUP($B79&amp;I$57&amp;$D79,'App6 - Stage-Route-Surv Data'!$E$5:$G$76,3,FALSE)/SUM(VLOOKUP($B79&amp;I$57&amp;$D79,'App6 - Stage-Route-Surv Data'!$E$5:$G$76,3,FALSE),VLOOKUP($B79&amp;K$57&amp;$D79,'App6 - Stage-Route-Surv Data'!$E$5:$G$76,3,FALSE),VLOOKUP($B79&amp;L$57&amp;$D79,'App6 - Stage-Route-Surv Data'!$E$5:$G$76,3,FALSE))))</f>
        <v>0.43463801483755432</v>
      </c>
      <c r="J79" s="940">
        <v>0</v>
      </c>
      <c r="K79" s="940">
        <f>VLOOKUP($B79&amp;K$57&amp;$D79,'App6 - Stage-Route-Surv Data'!$E$5:$G$76,3,FALSE)+(VLOOKUP($B79&amp;J$57&amp;$D79,'App6 - Stage-Route-Surv Data'!$E$5:$G$76,3,FALSE)*(VLOOKUP($B79&amp;K$57&amp;$D79,'App6 - Stage-Route-Surv Data'!$E$5:$G$76,3,FALSE)/SUM(VLOOKUP($B79&amp;I$57&amp;$D79,'App6 - Stage-Route-Surv Data'!$E$5:$G$76,3,FALSE),VLOOKUP($B79&amp;K$57&amp;$D79,'App6 - Stage-Route-Surv Data'!$E$5:$G$76,3,FALSE),VLOOKUP($B79&amp;L$57&amp;$D79,'App6 - Stage-Route-Surv Data'!$E$5:$G$76,3,FALSE))))</f>
        <v>0.21514453824507548</v>
      </c>
      <c r="L79" s="940">
        <f>VLOOKUP($B79&amp;L$57&amp;$D79,'App6 - Stage-Route-Surv Data'!$E$5:$G$76,3,FALSE)+(VLOOKUP($B79&amp;J$57&amp;$D79,'App6 - Stage-Route-Surv Data'!$E$5:$G$76,3,FALSE)*(VLOOKUP($B79&amp;L$57&amp;$D79,'App6 - Stage-Route-Surv Data'!$E$5:$G$76,3,FALSE)/SUM(VLOOKUP($B79&amp;I$57&amp;$D79,'App6 - Stage-Route-Surv Data'!$E$5:$G$76,3,FALSE),VLOOKUP($B79&amp;K$57&amp;$D79,'App6 - Stage-Route-Surv Data'!$E$5:$G$76,3,FALSE),VLOOKUP($B79&amp;L$57&amp;$D79,'App6 - Stage-Route-Surv Data'!$E$5:$G$76,3,FALSE))))</f>
        <v>0.35021744691737017</v>
      </c>
      <c r="M79" s="941">
        <f>(($H79*$I79)*VLOOKUP($B79&amp;$I$57&amp;M$57,'App6 - Stage-Route-Surv Data'!$L$5:$N$52,3,FALSE))+(($H79*$J79)*VLOOKUP($B79&amp;$J$57&amp;M$57,'App6 - Stage-Route-Surv Data'!$L$5:$N$52,3,FALSE))+(($H79*$K79)*VLOOKUP($B79&amp;$K$57&amp;M$57,'App6 - Stage-Route-Surv Data'!$L$5:$N$52,3,FALSE))+(($H79*$L79)*VLOOKUP($B79&amp;$L$57&amp;M$57,'App6 - Stage-Route-Surv Data'!$L$5:$N$52,3,FALSE))</f>
        <v>862.80307903941525</v>
      </c>
      <c r="N79" s="941">
        <f>(($H79*$I79)*VLOOKUP($B79&amp;$I$57&amp;N$57,'App6 - Stage-Route-Surv Data'!$L$5:$N$52,3,FALSE))+(($H79*$J79)*VLOOKUP($B79&amp;$J$57&amp;N$57,'App6 - Stage-Route-Surv Data'!$L$5:$N$52,3,FALSE))+(($H79*$K79)*VLOOKUP($B79&amp;$K$57&amp;N$57,'App6 - Stage-Route-Surv Data'!$L$5:$N$52,3,FALSE))+(($H79*$L79)*VLOOKUP($B79&amp;$L$57&amp;N$57,'App6 - Stage-Route-Surv Data'!$L$5:$N$52,3,FALSE))</f>
        <v>1294.6750782216038</v>
      </c>
      <c r="O79" s="941">
        <f>(($H79*$I79)*VLOOKUP($B79&amp;$I$57&amp;O$57,'App6 - Stage-Route-Surv Data'!$L$5:$N$52,3,FALSE))+(($H79*$J79)*VLOOKUP($B79&amp;$J$57&amp;O$57,'App6 - Stage-Route-Surv Data'!$L$5:$N$52,3,FALSE))+(($H79*$K79)*VLOOKUP($B79&amp;$K$57&amp;O$57,'App6 - Stage-Route-Surv Data'!$L$5:$N$52,3,FALSE))+(($H79*$L79)*VLOOKUP($B79&amp;$L$57&amp;O$57,'App6 - Stage-Route-Surv Data'!$L$5:$N$52,3,FALSE))</f>
        <v>1536.6538869017895</v>
      </c>
      <c r="P79" s="941">
        <f>(($H79*$I79)*VLOOKUP($B79&amp;$I$57&amp;P$57,'App6 - Stage-Route-Surv Data'!$L$5:$N$52,3,FALSE))+(($H79*$J79)*VLOOKUP($B79&amp;$J$57&amp;P$57,'App6 - Stage-Route-Surv Data'!$L$5:$N$52,3,FALSE))+(($H79*$K79)*VLOOKUP($B79&amp;$K$57&amp;P$57,'App6 - Stage-Route-Surv Data'!$L$5:$N$52,3,FALSE))+(($H79*$L79)*VLOOKUP($B79&amp;$L$57&amp;P$57,'App6 - Stage-Route-Surv Data'!$L$5:$N$52,3,FALSE))</f>
        <v>1357.8679558371914</v>
      </c>
      <c r="Q79" s="941">
        <f>M79*VLOOKUP($B79&amp;$D79&amp;Q$57,'App6 - Stage-Route-Surv Data'!$S$5:$T$40,2,FALSE)</f>
        <v>830.38247634317838</v>
      </c>
      <c r="R79" s="941">
        <f>N79*VLOOKUP($B79&amp;$D79&amp;R$57,'App6 - Stage-Route-Surv Data'!$S$5:$T$40,2,FALSE)</f>
        <v>1151.220644888514</v>
      </c>
      <c r="S79" s="941">
        <f>O79*VLOOKUP($B79&amp;$D79&amp;S$57,'App6 - Stage-Route-Surv Data'!$S$5:$T$40,2,FALSE)</f>
        <v>1152.6953058295351</v>
      </c>
      <c r="T79" s="941">
        <f>P79*VLOOKUP($B79&amp;$D79&amp;T$57,'App6 - Stage-Route-Surv Data'!$S$5:$T$40,2,FALSE)</f>
        <v>202.6708985941041</v>
      </c>
      <c r="U79" s="939">
        <f>SUM(Q79:T79)</f>
        <v>3336.9693256553319</v>
      </c>
      <c r="V79" s="942">
        <f>U79/H79</f>
        <v>0.6605244112540245</v>
      </c>
      <c r="W79" s="101">
        <f>$G79*W$54</f>
        <v>1767943.3333333337</v>
      </c>
      <c r="X79" s="98">
        <f>VLOOKUP("*"&amp;$B79&amp;"*",'S4 - Summ PRS Characteristics'!$C$13:$Q$20,12,FALSE)*$H79</f>
        <v>1871.0549599129126</v>
      </c>
      <c r="Y79" s="98">
        <f>$H79-X79</f>
        <v>3180.9450400870874</v>
      </c>
      <c r="Z79" s="98">
        <f>IF($C79="other",(1-#REF!)*X79,(1-(VLOOKUP($C79,'S3 - Screening Tool Metrics'!$C$3:$G$19,5,FALSE)/100))*X79)</f>
        <v>561.3164879738739</v>
      </c>
      <c r="AA79" s="98">
        <f>IF($C79="other",#REF!*X79,(VLOOKUP($C79,'S3 - Screening Tool Metrics'!$C$3:$G$19,5,FALSE)/100)*X79)</f>
        <v>1309.7384719390388</v>
      </c>
      <c r="AB79" s="102">
        <f>$AA79/$H79*100</f>
        <v>25.925147900614387</v>
      </c>
      <c r="AC79" s="101">
        <f>AA79+($J79*$H79)</f>
        <v>1309.7384719390388</v>
      </c>
      <c r="AD79" s="102">
        <f>AC79/H79*100</f>
        <v>25.925147900614387</v>
      </c>
      <c r="AS79" s="104">
        <f>U101-U79</f>
        <v>206.63122207105562</v>
      </c>
      <c r="AT79" s="105">
        <f>(U101/$H79)-($U79/$H79)</f>
        <v>4.090087531097697E-2</v>
      </c>
      <c r="AU79" s="101">
        <f>$G79*AU$54</f>
        <v>883971.66666666686</v>
      </c>
      <c r="AV79" s="98">
        <f>VLOOKUP("*"&amp;$B79&amp;"*",'S4 - Summ PRS Characteristics'!$C$13:$Q$20,13,FALSE)*$H79</f>
        <v>1113.476765607073</v>
      </c>
      <c r="AW79" s="98">
        <f>$H79-AV79</f>
        <v>3938.523234392927</v>
      </c>
      <c r="AX79" s="98">
        <f>IF($C79="other",(1-#REF!)*AV79,(1-(VLOOKUP($C79,'S3 - Screening Tool Metrics'!$C$3:$G$19,5,FALSE)/100))*AV79)</f>
        <v>334.04302968212198</v>
      </c>
      <c r="AY79" s="98">
        <f>IF($C79="other",#REF!*AV79,(VLOOKUP($C79,'S3 - Screening Tool Metrics'!$C$3:$G$19,5,FALSE)/100)*AV79)</f>
        <v>779.43373592495107</v>
      </c>
      <c r="AZ79" s="98">
        <f>$AY79/$H79*100</f>
        <v>15.428221217833551</v>
      </c>
      <c r="BA79" s="101">
        <f>AY79+($J79*$H79)</f>
        <v>779.43373592495107</v>
      </c>
      <c r="BB79" s="102">
        <f>BA79/H79*100</f>
        <v>15.428221217833551</v>
      </c>
      <c r="BC79" s="873">
        <f>(1-BD79)*($I79/SUM($I79,$K79,$L79))</f>
        <v>0.36758110041161624</v>
      </c>
      <c r="BD79" s="103">
        <f>(AY79+($J79*$H79))/$H79</f>
        <v>0.15428221217833551</v>
      </c>
      <c r="BE79" s="103">
        <f>(1-BD79)*($K79/SUM($I79,$K79,$L79))</f>
        <v>0.18195156294653875</v>
      </c>
      <c r="BF79" s="103">
        <f>(1-BD79)*($L79/SUM($I79,$K79,$L79))</f>
        <v>0.29618512446350953</v>
      </c>
      <c r="BG79" s="100">
        <f>(($H79*$BC79)*VLOOKUP($B79&amp;$BC$57&amp;BG$57,'App6 - Stage-Route-Surv Data'!$L$5:$N$52,3,FALSE))+(($H79*$BD79)*VLOOKUP($B79&amp;$BD$57&amp;BG$57,'App6 - Stage-Route-Surv Data'!$L$5:$N$52,3,FALSE))+(($H79*$BE79)*VLOOKUP($B79&amp;$BE$57&amp;BG$57,'App6 - Stage-Route-Surv Data'!$L$5:$N$52,3,FALSE))+(($H79*$BF79)*VLOOKUP($B79&amp;$BF$57&amp;BG$57,'App6 - Stage-Route-Surv Data'!$L$5:$N$52,3,FALSE))</f>
        <v>1024.651415327975</v>
      </c>
      <c r="BH79" s="100">
        <f>(($H79*$BC79)*VLOOKUP($B79&amp;$BC$57&amp;BH$57,'App6 - Stage-Route-Surv Data'!$L$5:$N$52,3,FALSE))+(($H79*$BD79)*VLOOKUP($B79&amp;$BD$57&amp;BH$57,'App6 - Stage-Route-Surv Data'!$L$5:$N$52,3,FALSE))+(($H79*$BE79)*VLOOKUP($B79&amp;$BE$57&amp;BH$57,'App6 - Stage-Route-Surv Data'!$L$5:$N$52,3,FALSE))+(($H79*$BF79)*VLOOKUP($B79&amp;$BF$57&amp;BH$57,'App6 - Stage-Route-Surv Data'!$L$5:$N$52,3,FALSE))</f>
        <v>1287.5911609146078</v>
      </c>
      <c r="BI79" s="100">
        <f>(($H79*$BC79)*VLOOKUP($B79&amp;$BC$57&amp;BI$57,'App6 - Stage-Route-Surv Data'!$L$5:$N$52,3,FALSE))+(($H79*$BD79)*VLOOKUP($B79&amp;$BD$57&amp;BI$57,'App6 - Stage-Route-Surv Data'!$L$5:$N$52,3,FALSE))+(($H79*$BE79)*VLOOKUP($B79&amp;$BE$57&amp;BI$57,'App6 - Stage-Route-Surv Data'!$L$5:$N$52,3,FALSE))+(($H79*$BF79)*VLOOKUP($B79&amp;$BF$57&amp;BI$57,'App6 - Stage-Route-Surv Data'!$L$5:$N$52,3,FALSE))</f>
        <v>1530.9945622455693</v>
      </c>
      <c r="BJ79" s="100">
        <f>(($H79*$BC79)*VLOOKUP($B79&amp;$BC$57&amp;BJ$57,'App6 - Stage-Route-Surv Data'!$L$5:$N$52,3,FALSE))+(($H79*$BD79)*VLOOKUP($B79&amp;$BD$57&amp;BJ$57,'App6 - Stage-Route-Surv Data'!$L$5:$N$52,3,FALSE))+(($H79*$BE79)*VLOOKUP($B79&amp;$BE$57&amp;BJ$57,'App6 - Stage-Route-Surv Data'!$L$5:$N$52,3,FALSE))+(($H79*$BF79)*VLOOKUP($B79&amp;$BF$57&amp;BJ$57,'App6 - Stage-Route-Surv Data'!$L$5:$N$52,3,FALSE))</f>
        <v>1208.7628615118481</v>
      </c>
      <c r="BK79" s="100">
        <f>BG79*VLOOKUP($B79&amp;$D79&amp;BK$57,'App6 - Stage-Route-Surv Data'!$S$5:$T$40,2,FALSE)</f>
        <v>986.1492156424224</v>
      </c>
      <c r="BL79" s="100">
        <f>BH79*VLOOKUP($B79&amp;$D79&amp;BL$57,'App6 - Stage-Route-Surv Data'!$S$5:$T$40,2,FALSE)</f>
        <v>1144.9216498837602</v>
      </c>
      <c r="BM79" s="100">
        <f>BI79*VLOOKUP($B79&amp;$D79&amp;BM$57,'App6 - Stage-Route-Surv Data'!$S$5:$T$40,2,FALSE)</f>
        <v>1148.450057747976</v>
      </c>
      <c r="BN79" s="100">
        <f>BJ79*VLOOKUP($B79&amp;$D79&amp;BN$57,'App6 - Stage-Route-Surv Data'!$S$5:$T$40,2,FALSE)</f>
        <v>180.41596333182792</v>
      </c>
      <c r="BO79" s="100">
        <f>SUM(BK79:BN79)</f>
        <v>3459.9368866059858</v>
      </c>
      <c r="BP79" s="469">
        <f>BO79/H79</f>
        <v>0.68486478357204783</v>
      </c>
      <c r="BQ79" s="104">
        <f>BO79-U79</f>
        <v>122.96756095065393</v>
      </c>
      <c r="BR79" s="105">
        <f>(BO79/$H79)-($U79/$H79)</f>
        <v>2.4340372318023329E-2</v>
      </c>
    </row>
    <row r="80" spans="1:70" x14ac:dyDescent="0.2">
      <c r="A80" s="1304" t="s">
        <v>402</v>
      </c>
      <c r="B80" s="948" t="s">
        <v>8</v>
      </c>
      <c r="C80" s="948"/>
      <c r="D80" s="949"/>
      <c r="E80" s="949"/>
      <c r="F80" s="950"/>
      <c r="G80" s="949"/>
      <c r="H80" s="950"/>
      <c r="I80" s="951"/>
      <c r="J80" s="951"/>
      <c r="K80" s="951"/>
      <c r="L80" s="951"/>
      <c r="M80" s="952"/>
      <c r="N80" s="952"/>
      <c r="O80" s="952"/>
      <c r="P80" s="952"/>
      <c r="Q80" s="952"/>
      <c r="R80" s="952"/>
      <c r="S80" s="952"/>
      <c r="T80" s="952"/>
      <c r="U80" s="950"/>
      <c r="V80" s="948"/>
      <c r="AF80" s="851"/>
      <c r="AQ80" s="462"/>
      <c r="AR80" s="462"/>
      <c r="BP80" s="462"/>
    </row>
    <row r="81" spans="1:22" ht="15.5" hidden="1" customHeight="1" x14ac:dyDescent="0.2">
      <c r="A81" s="1305"/>
      <c r="B81" s="700" t="s">
        <v>8</v>
      </c>
      <c r="C81" s="973" t="s">
        <v>162</v>
      </c>
      <c r="D81" s="975" t="s">
        <v>192</v>
      </c>
      <c r="E81" s="980">
        <f>VLOOKUP($B81&amp;"_"&amp;$D81,'App5 - CRUK Inci Rates'!C:H,6,FALSE)</f>
        <v>0</v>
      </c>
      <c r="F81" s="981">
        <f>VLOOKUP($B81&amp;"_"&amp;$D81,'App5 - CRUK Inci Rates'!C:H,3,FALSE)</f>
        <v>124.6</v>
      </c>
      <c r="G81" s="992">
        <f>VLOOKUP($B81&amp;"_"&amp;$D81,'App5 - CRUK Inci Rates'!C:J,8,FALSE)</f>
        <v>2054223.3333333333</v>
      </c>
      <c r="H81" s="709">
        <f>VLOOKUP($B81&amp;"_"&amp;$D81,'App5 - CRUK Inci Rates'!C:K,9,FALSE)</f>
        <v>2559</v>
      </c>
      <c r="I81" s="935"/>
      <c r="J81" s="935"/>
      <c r="K81" s="935"/>
      <c r="L81" s="935"/>
      <c r="M81" s="935"/>
      <c r="N81" s="935"/>
      <c r="O81" s="935"/>
      <c r="P81" s="935"/>
      <c r="Q81" s="935"/>
      <c r="R81" s="935"/>
      <c r="S81" s="935"/>
      <c r="T81" s="935"/>
      <c r="U81" s="936"/>
      <c r="V81" s="933"/>
    </row>
    <row r="82" spans="1:22" ht="15.5" hidden="1" customHeight="1" x14ac:dyDescent="0.2">
      <c r="A82" s="1305"/>
      <c r="B82" s="700" t="s">
        <v>8</v>
      </c>
      <c r="C82" s="934" t="str">
        <f>$C81</f>
        <v>Digital mammography</v>
      </c>
      <c r="D82" s="975" t="s">
        <v>193</v>
      </c>
      <c r="E82" s="980">
        <f>VLOOKUP($B82&amp;"_"&amp;$D82,'App5 - CRUK Inci Rates'!C:H,6,FALSE)</f>
        <v>0</v>
      </c>
      <c r="F82" s="981">
        <f>VLOOKUP($B82&amp;"_"&amp;$D82,'App5 - CRUK Inci Rates'!C:H,3,FALSE)</f>
        <v>214.8</v>
      </c>
      <c r="G82" s="992">
        <f>VLOOKUP($B82&amp;"_"&amp;$D82,'App5 - CRUK Inci Rates'!C:J,8,FALSE)</f>
        <v>2315479.3333333335</v>
      </c>
      <c r="H82" s="709">
        <f>VLOOKUP($B82&amp;"_"&amp;$D82,'App5 - CRUK Inci Rates'!C:K,9,FALSE)</f>
        <v>4974</v>
      </c>
      <c r="I82" s="935"/>
      <c r="J82" s="935"/>
      <c r="K82" s="935"/>
      <c r="L82" s="935"/>
      <c r="M82" s="935"/>
      <c r="N82" s="935"/>
      <c r="O82" s="935"/>
      <c r="P82" s="935"/>
      <c r="Q82" s="935"/>
      <c r="R82" s="935"/>
      <c r="S82" s="935"/>
      <c r="T82" s="935"/>
      <c r="U82" s="936"/>
      <c r="V82" s="937"/>
    </row>
    <row r="83" spans="1:22" x14ac:dyDescent="0.2">
      <c r="A83" s="1305"/>
      <c r="B83" s="974" t="s">
        <v>8</v>
      </c>
      <c r="C83" s="960" t="str">
        <f>$C82</f>
        <v>Digital mammography</v>
      </c>
      <c r="D83" s="976" t="s">
        <v>229</v>
      </c>
      <c r="E83" s="982">
        <f>VLOOKUP($B83&amp;"_"&amp;$D83,'App5 - CRUK Inci Rates'!C:H,6,FALSE)</f>
        <v>0</v>
      </c>
      <c r="F83" s="983">
        <f>VLOOKUP($B83&amp;"_"&amp;$D83,'App5 - CRUK Inci Rates'!C:H,3,FALSE)</f>
        <v>172.40296040749985</v>
      </c>
      <c r="G83" s="993">
        <f>VLOOKUP($B83&amp;"_"&amp;$D83,'App5 - CRUK Inci Rates'!C:J,8,FALSE)</f>
        <v>4369702.666666667</v>
      </c>
      <c r="H83" s="944">
        <f>VLOOKUP($B83&amp;"_"&amp;$D83,'App5 - CRUK Inci Rates'!C:K,9,FALSE)</f>
        <v>7533</v>
      </c>
      <c r="I83" s="945">
        <f>(1-J83)*($I61/SUM($I61,$K61,$L61))</f>
        <v>0.56482625724013169</v>
      </c>
      <c r="J83" s="945">
        <f>AA61/$H61</f>
        <v>0.30871253043819497</v>
      </c>
      <c r="K83" s="945">
        <f>(1-J83)*($K61/SUM($I61,$K61,$L61))</f>
        <v>1.2430490278359062E-2</v>
      </c>
      <c r="L83" s="945">
        <f>(1-J83)*($L61/SUM($I61,$K61,$L61))</f>
        <v>0.11403072204331426</v>
      </c>
      <c r="M83" s="946">
        <f>(($H61*$I83)*VLOOKUP($B61&amp;$AE$57&amp;AI$57,'App6 - Stage-Route-Surv Data'!$L$5:$N$52,3,FALSE))+(($H61*$J83)*VLOOKUP($B61&amp;$AF$57&amp;AI$57,'App6 - Stage-Route-Surv Data'!$L$5:$N$52,3,FALSE))+(($H61*$K83)*VLOOKUP($B61&amp;$AG$57&amp;AI$57,'App6 - Stage-Route-Surv Data'!$L$5:$N$52,3,FALSE))+(($H61*$L83)*VLOOKUP($B61&amp;$AH$57&amp;AI$57,'App6 - Stage-Route-Surv Data'!$L$5:$N$52,3,FALSE))</f>
        <v>3307.4317628207932</v>
      </c>
      <c r="N83" s="946">
        <f>(($H61*$I83)*VLOOKUP($B61&amp;$AE$57&amp;AJ$57,'App6 - Stage-Route-Surv Data'!$L$5:$N$52,3,FALSE))+(($H61*$J83)*VLOOKUP($B61&amp;$AF$57&amp;AJ$57,'App6 - Stage-Route-Surv Data'!$L$5:$N$52,3,FALSE))+(($H61*$K83)*VLOOKUP($B61&amp;$AG$57&amp;AJ$57,'App6 - Stage-Route-Surv Data'!$L$5:$N$52,3,FALSE))+(($H61*$L83)*VLOOKUP($B61&amp;$AH$57&amp;AJ$57,'App6 - Stage-Route-Surv Data'!$L$5:$N$52,3,FALSE))</f>
        <v>3170.0890319173723</v>
      </c>
      <c r="O83" s="946">
        <f>(($H61*$I83)*VLOOKUP($B61&amp;$AE$57&amp;AK$57,'App6 - Stage-Route-Surv Data'!$L$5:$N$52,3,FALSE))+(($H61*$J83)*VLOOKUP($B61&amp;$AF$57&amp;AK$57,'App6 - Stage-Route-Surv Data'!$L$5:$N$52,3,FALSE))+(($H61*$K83)*VLOOKUP($B61&amp;$AG$57&amp;AK$57,'App6 - Stage-Route-Surv Data'!$L$5:$N$52,3,FALSE))+(($H61*$L83)*VLOOKUP($B61&amp;$AH$57&amp;AK$57,'App6 - Stage-Route-Surv Data'!$L$5:$N$52,3,FALSE))</f>
        <v>696.78679377672972</v>
      </c>
      <c r="P83" s="946">
        <f>(($H61*$I83)*VLOOKUP($B61&amp;$AE$57&amp;AL$57,'App6 - Stage-Route-Surv Data'!$L$5:$N$52,3,FALSE))+(($H61*$J83)*VLOOKUP($B61&amp;$AF$57&amp;AL$57,'App6 - Stage-Route-Surv Data'!$L$5:$N$52,3,FALSE))+(($H61*$K83)*VLOOKUP($B61&amp;$AG$57&amp;AL$57,'App6 - Stage-Route-Surv Data'!$L$5:$N$52,3,FALSE))+(($H61*$L83)*VLOOKUP($B61&amp;$AH$57&amp;AL$57,'App6 - Stage-Route-Surv Data'!$L$5:$N$52,3,FALSE))</f>
        <v>359.41312704513206</v>
      </c>
      <c r="Q83" s="946">
        <f>M83*VLOOKUP($B61&amp;$D61&amp;AM$57,'App6 - Stage-Route-Surv Data'!$S$5:$T$40,2,FALSE)</f>
        <v>3248.9983949751277</v>
      </c>
      <c r="R83" s="946">
        <f>N83*VLOOKUP($B61&amp;$D61&amp;AN$57,'App6 - Stage-Route-Surv Data'!$S$5:$T$40,2,FALSE)</f>
        <v>2965.4577617599234</v>
      </c>
      <c r="S83" s="946">
        <f>O83*VLOOKUP($B61&amp;$D61&amp;AO$57,'App6 - Stage-Route-Surv Data'!$S$5:$T$40,2,FALSE)</f>
        <v>579.50139781523558</v>
      </c>
      <c r="T83" s="946">
        <f>P83*VLOOKUP($B61&amp;$D61&amp;AP$57,'App6 - Stage-Route-Surv Data'!$S$5:$T$40,2,FALSE)</f>
        <v>165.53703819911823</v>
      </c>
      <c r="U83" s="944">
        <f>SUM(Q83:T83)</f>
        <v>6959.4945927494045</v>
      </c>
      <c r="V83" s="947">
        <f>U83/H61</f>
        <v>0.92386759494881254</v>
      </c>
    </row>
    <row r="84" spans="1:22" x14ac:dyDescent="0.2">
      <c r="A84" s="1305"/>
      <c r="B84" s="953" t="s">
        <v>10</v>
      </c>
      <c r="C84" s="965"/>
      <c r="D84" s="966"/>
      <c r="E84" s="966"/>
      <c r="F84" s="967"/>
      <c r="G84" s="968"/>
      <c r="H84" s="969"/>
      <c r="I84" s="970"/>
      <c r="J84" s="970"/>
      <c r="K84" s="970"/>
      <c r="L84" s="970"/>
      <c r="M84" s="971"/>
      <c r="N84" s="971"/>
      <c r="O84" s="971"/>
      <c r="P84" s="971"/>
      <c r="Q84" s="971"/>
      <c r="R84" s="971"/>
      <c r="S84" s="971"/>
      <c r="T84" s="971"/>
      <c r="U84" s="971"/>
      <c r="V84" s="972"/>
    </row>
    <row r="85" spans="1:22" ht="15.5" hidden="1" customHeight="1" x14ac:dyDescent="0.2">
      <c r="A85" s="1305"/>
      <c r="B85" s="700" t="s">
        <v>10</v>
      </c>
      <c r="C85" s="720" t="s">
        <v>266</v>
      </c>
      <c r="D85" s="975" t="s">
        <v>194</v>
      </c>
      <c r="E85" s="980">
        <f>VLOOKUP($B85&amp;"_"&amp;$D85,'App5 - CRUK Inci Rates'!C:H,6,FALSE)</f>
        <v>75.7</v>
      </c>
      <c r="F85" s="981">
        <f>VLOOKUP($B85&amp;"_"&amp;$D85,'App5 - CRUK Inci Rates'!C:H,3,FALSE)</f>
        <v>0</v>
      </c>
      <c r="G85" s="992">
        <f>VLOOKUP($B85&amp;"_"&amp;$D85,'App5 - CRUK Inci Rates'!C:J,8,FALSE)</f>
        <v>2293472.6666666665</v>
      </c>
      <c r="H85" s="709">
        <f>VLOOKUP($B85&amp;"_"&amp;$D85,'App5 - CRUK Inci Rates'!C:K,9,FALSE)</f>
        <v>1737</v>
      </c>
      <c r="I85" s="935"/>
      <c r="J85" s="935"/>
      <c r="K85" s="935"/>
      <c r="L85" s="935"/>
      <c r="M85" s="935"/>
      <c r="N85" s="935"/>
      <c r="O85" s="935"/>
      <c r="P85" s="935"/>
      <c r="Q85" s="935"/>
      <c r="R85" s="935"/>
      <c r="S85" s="935"/>
      <c r="T85" s="935"/>
      <c r="U85" s="936"/>
      <c r="V85" s="937"/>
    </row>
    <row r="86" spans="1:22" ht="15.5" hidden="1" customHeight="1" x14ac:dyDescent="0.2">
      <c r="A86" s="1305"/>
      <c r="B86" s="700" t="s">
        <v>10</v>
      </c>
      <c r="C86" s="721" t="str">
        <f>$C$63</f>
        <v>mpMRI</v>
      </c>
      <c r="D86" s="975" t="s">
        <v>195</v>
      </c>
      <c r="E86" s="980">
        <f>VLOOKUP($B86&amp;"_"&amp;$D86,'App5 - CRUK Inci Rates'!C:H,6,FALSE)</f>
        <v>201.8</v>
      </c>
      <c r="F86" s="981">
        <f>VLOOKUP($B86&amp;"_"&amp;$D86,'App5 - CRUK Inci Rates'!C:H,3,FALSE)</f>
        <v>0</v>
      </c>
      <c r="G86" s="992">
        <f>VLOOKUP($B86&amp;"_"&amp;$D86,'App5 - CRUK Inci Rates'!C:J,8,FALSE)</f>
        <v>2061918.6666666667</v>
      </c>
      <c r="H86" s="709">
        <f>VLOOKUP($B86&amp;"_"&amp;$D86,'App5 - CRUK Inci Rates'!C:K,9,FALSE)</f>
        <v>4160</v>
      </c>
      <c r="I86" s="935"/>
      <c r="J86" s="935"/>
      <c r="K86" s="935"/>
      <c r="L86" s="935"/>
      <c r="M86" s="935"/>
      <c r="N86" s="935"/>
      <c r="O86" s="935"/>
      <c r="P86" s="935"/>
      <c r="Q86" s="935"/>
      <c r="R86" s="935"/>
      <c r="S86" s="935"/>
      <c r="T86" s="935"/>
      <c r="U86" s="936"/>
      <c r="V86" s="937"/>
    </row>
    <row r="87" spans="1:22" x14ac:dyDescent="0.2">
      <c r="A87" s="1305"/>
      <c r="B87" s="700" t="s">
        <v>10</v>
      </c>
      <c r="C87" s="721" t="str">
        <f>$C$63</f>
        <v>mpMRI</v>
      </c>
      <c r="D87" s="976" t="s">
        <v>230</v>
      </c>
      <c r="E87" s="982">
        <f>VLOOKUP($B87&amp;"_"&amp;$D87,'App5 - CRUK Inci Rates'!C:H,6,FALSE)</f>
        <v>135.39541108208113</v>
      </c>
      <c r="F87" s="983">
        <f>VLOOKUP($B87&amp;"_"&amp;$D87,'App5 - CRUK Inci Rates'!C:H,3,FALSE)</f>
        <v>0</v>
      </c>
      <c r="G87" s="993">
        <f>VLOOKUP($B87&amp;"_"&amp;$D87,'App5 - CRUK Inci Rates'!C:J,8,FALSE)</f>
        <v>4355391.333333333</v>
      </c>
      <c r="H87" s="944">
        <f>VLOOKUP($B87&amp;"_"&amp;$D87,'App5 - CRUK Inci Rates'!C:K,9,FALSE)</f>
        <v>5897</v>
      </c>
      <c r="I87" s="945">
        <f>(1-J87)*($I65/SUM($I65,$K65,$L65))</f>
        <v>0.33687387306645294</v>
      </c>
      <c r="J87" s="945">
        <f>AA65/$H65</f>
        <v>0.431413412706799</v>
      </c>
      <c r="K87" s="945">
        <f>(1-J87)*($K65/SUM($I65,$K65,$L65))</f>
        <v>1.4625061825389422E-2</v>
      </c>
      <c r="L87" s="945">
        <f>(1-J87)*($L65/SUM($I65,$K65,$L65))</f>
        <v>0.21708765240135863</v>
      </c>
      <c r="M87" s="946">
        <f>(($H65*$I87)*VLOOKUP($B65&amp;$AE$57&amp;AI$57,'App6 - Stage-Route-Surv Data'!$L$5:$N$52,3,FALSE))+(($H65*$J87)*VLOOKUP($B65&amp;$AF$57&amp;AI$57,'App6 - Stage-Route-Surv Data'!$L$5:$N$52,3,FALSE))+(($H65*$K87)*VLOOKUP($B65&amp;$AG$57&amp;AI$57,'App6 - Stage-Route-Surv Data'!$L$5:$N$52,3,FALSE))+(($H65*$L87)*VLOOKUP($B65&amp;$AH$57&amp;AI$57,'App6 - Stage-Route-Surv Data'!$L$5:$N$52,3,FALSE))</f>
        <v>2867.8584056076697</v>
      </c>
      <c r="N87" s="946">
        <f>(($H65*$I87)*VLOOKUP($B65&amp;$AE$57&amp;AJ$57,'App6 - Stage-Route-Surv Data'!$L$5:$N$52,3,FALSE))+(($H65*$J87)*VLOOKUP($B65&amp;$AF$57&amp;AJ$57,'App6 - Stage-Route-Surv Data'!$L$5:$N$52,3,FALSE))+(($H65*$K87)*VLOOKUP($B65&amp;$AG$57&amp;AJ$57,'App6 - Stage-Route-Surv Data'!$L$5:$N$52,3,FALSE))+(($H65*$L87)*VLOOKUP($B65&amp;$AH$57&amp;AJ$57,'App6 - Stage-Route-Surv Data'!$L$5:$N$52,3,FALSE))</f>
        <v>1242.8165539012427</v>
      </c>
      <c r="O87" s="946">
        <f>(($H65*$I87)*VLOOKUP($B65&amp;$AE$57&amp;AK$57,'App6 - Stage-Route-Surv Data'!$L$5:$N$52,3,FALSE))+(($H65*$J87)*VLOOKUP($B65&amp;$AF$57&amp;AK$57,'App6 - Stage-Route-Surv Data'!$L$5:$N$52,3,FALSE))+(($H65*$K87)*VLOOKUP($B65&amp;$AG$57&amp;AK$57,'App6 - Stage-Route-Surv Data'!$L$5:$N$52,3,FALSE))+(($H65*$L87)*VLOOKUP($B65&amp;$AH$57&amp;AK$57,'App6 - Stage-Route-Surv Data'!$L$5:$N$52,3,FALSE))</f>
        <v>1108.6967926958566</v>
      </c>
      <c r="P87" s="946">
        <f>(($H65*$I87)*VLOOKUP($B65&amp;$AE$57&amp;AL$57,'App6 - Stage-Route-Surv Data'!$L$5:$N$52,3,FALSE))+(($H65*$J87)*VLOOKUP($B65&amp;$AF$57&amp;AL$57,'App6 - Stage-Route-Surv Data'!$L$5:$N$52,3,FALSE))+(($H65*$K87)*VLOOKUP($B65&amp;$AG$57&amp;AL$57,'App6 - Stage-Route-Surv Data'!$L$5:$N$52,3,FALSE))+(($H65*$L87)*VLOOKUP($B65&amp;$AH$57&amp;AL$57,'App6 - Stage-Route-Surv Data'!$L$5:$N$52,3,FALSE))</f>
        <v>677.62824779522953</v>
      </c>
      <c r="Q87" s="946">
        <f>M87*VLOOKUP($B65&amp;$D65&amp;AM$57,'App6 - Stage-Route-Surv Data'!$S$5:$T$40,2,FALSE)</f>
        <v>2867.8584056076697</v>
      </c>
      <c r="R87" s="946">
        <f>N87*VLOOKUP($B65&amp;$D65&amp;AN$57,'App6 - Stage-Route-Surv Data'!$S$5:$T$40,2,FALSE)</f>
        <v>1242.8165539012427</v>
      </c>
      <c r="S87" s="946">
        <f>O87*VLOOKUP($B65&amp;$D65&amp;AO$57,'App6 - Stage-Route-Surv Data'!$S$5:$T$40,2,FALSE)</f>
        <v>1086.5228568419395</v>
      </c>
      <c r="T87" s="946">
        <f>P87*VLOOKUP($B65&amp;$D65&amp;AP$57,'App6 - Stage-Route-Surv Data'!$S$5:$T$40,2,FALSE)</f>
        <v>359.14297133147164</v>
      </c>
      <c r="U87" s="944">
        <f>SUM(Q87:T87)</f>
        <v>5556.3407876823239</v>
      </c>
      <c r="V87" s="947">
        <f>U87/H65</f>
        <v>0.94223177678180836</v>
      </c>
    </row>
    <row r="88" spans="1:22" ht="15.5" hidden="1" customHeight="1" x14ac:dyDescent="0.2">
      <c r="A88" s="1305"/>
      <c r="B88" s="700" t="s">
        <v>10</v>
      </c>
      <c r="C88" s="721" t="str">
        <f>$C$63</f>
        <v>mpMRI</v>
      </c>
      <c r="D88" s="975" t="s">
        <v>196</v>
      </c>
      <c r="E88" s="984">
        <f>VLOOKUP($B88&amp;"_"&amp;$D88,'App5 - CRUK Inci Rates'!C:H,6,FALSE)</f>
        <v>356.1</v>
      </c>
      <c r="F88" s="981">
        <f>VLOOKUP($B88&amp;"_"&amp;$D88,'App5 - CRUK Inci Rates'!C:H,3,FALSE)</f>
        <v>0</v>
      </c>
      <c r="G88" s="992">
        <f>VLOOKUP($B88&amp;"_"&amp;$D88,'App5 - CRUK Inci Rates'!C:J,8,FALSE)</f>
        <v>1764828</v>
      </c>
      <c r="H88" s="709">
        <f>VLOOKUP($B88&amp;"_"&amp;$D88,'App5 - CRUK Inci Rates'!C:K,9,FALSE)</f>
        <v>6285</v>
      </c>
      <c r="I88" s="935"/>
      <c r="J88" s="935"/>
      <c r="K88" s="935"/>
      <c r="L88" s="935"/>
      <c r="M88" s="935"/>
      <c r="N88" s="935"/>
      <c r="O88" s="935"/>
      <c r="P88" s="935"/>
      <c r="Q88" s="935"/>
      <c r="R88" s="935"/>
      <c r="S88" s="935"/>
      <c r="T88" s="935"/>
      <c r="U88" s="936"/>
      <c r="V88" s="937"/>
    </row>
    <row r="89" spans="1:22" ht="15.5" hidden="1" customHeight="1" x14ac:dyDescent="0.2">
      <c r="A89" s="1305"/>
      <c r="B89" s="700" t="s">
        <v>10</v>
      </c>
      <c r="C89" s="721" t="str">
        <f>$C$63</f>
        <v>mpMRI</v>
      </c>
      <c r="D89" s="975" t="s">
        <v>197</v>
      </c>
      <c r="E89" s="985">
        <f>VLOOKUP($B89&amp;"_"&amp;$D89,'App5 - CRUK Inci Rates'!C:H,6,FALSE)</f>
        <v>622.70000000000005</v>
      </c>
      <c r="F89" s="981">
        <f>VLOOKUP($B89&amp;"_"&amp;$D89,'App5 - CRUK Inci Rates'!C:H,3,FALSE)</f>
        <v>0</v>
      </c>
      <c r="G89" s="992">
        <f>VLOOKUP($B89&amp;"_"&amp;$D89,'App5 - CRUK Inci Rates'!C:J,8,FALSE)</f>
        <v>1696993.3333333333</v>
      </c>
      <c r="H89" s="709">
        <f>VLOOKUP($B89&amp;"_"&amp;$D89,'App5 - CRUK Inci Rates'!C:K,9,FALSE)</f>
        <v>10568</v>
      </c>
      <c r="I89" s="935"/>
      <c r="J89" s="935"/>
      <c r="K89" s="935"/>
      <c r="L89" s="935"/>
      <c r="M89" s="935"/>
      <c r="N89" s="935"/>
      <c r="O89" s="935"/>
      <c r="P89" s="935"/>
      <c r="Q89" s="935"/>
      <c r="R89" s="935"/>
      <c r="S89" s="935"/>
      <c r="T89" s="935"/>
      <c r="U89" s="936"/>
      <c r="V89" s="937"/>
    </row>
    <row r="90" spans="1:22" x14ac:dyDescent="0.2">
      <c r="A90" s="1305"/>
      <c r="B90" s="961" t="s">
        <v>10</v>
      </c>
      <c r="C90" s="960" t="str">
        <f>$C$63</f>
        <v>mpMRI</v>
      </c>
      <c r="D90" s="976" t="s">
        <v>239</v>
      </c>
      <c r="E90" s="982">
        <f>VLOOKUP($B90&amp;"_"&amp;$D90,'App5 - CRUK Inci Rates'!C:H,6,FALSE)</f>
        <v>486.82466185429951</v>
      </c>
      <c r="F90" s="983">
        <f>VLOOKUP($B90&amp;"_"&amp;$D90,'App5 - CRUK Inci Rates'!C:H,3,FALSE)</f>
        <v>0</v>
      </c>
      <c r="G90" s="993">
        <f>VLOOKUP($B90&amp;"_"&amp;$D90,'App5 - CRUK Inci Rates'!C:J,8,FALSE)</f>
        <v>3461821.333333333</v>
      </c>
      <c r="H90" s="944">
        <f>VLOOKUP($B90&amp;"_"&amp;$D90,'App5 - CRUK Inci Rates'!C:K,9,FALSE)</f>
        <v>16853</v>
      </c>
      <c r="I90" s="945">
        <f>(1-J90)*($I68/SUM($I68,$K68,$L68))</f>
        <v>0.34399246230522906</v>
      </c>
      <c r="J90" s="945">
        <f>AA68/$H68</f>
        <v>0.431413412706799</v>
      </c>
      <c r="K90" s="945">
        <f>(1-J90)*($K68/SUM($I68,$K68,$L68))</f>
        <v>1.7706590766686583E-2</v>
      </c>
      <c r="L90" s="945">
        <f>(1-J90)*($L68/SUM($I68,$K68,$L68))</f>
        <v>0.20688753422128536</v>
      </c>
      <c r="M90" s="946">
        <f>(($H68*$I90)*VLOOKUP($B68&amp;$AE$57&amp;AI$57,'App6 - Stage-Route-Surv Data'!$L$5:$N$52,3,FALSE))+(($H68*$J90)*VLOOKUP($B68&amp;$AF$57&amp;AI$57,'App6 - Stage-Route-Surv Data'!$L$5:$N$52,3,FALSE))+(($H68*$K90)*VLOOKUP($B68&amp;$AG$57&amp;AI$57,'App6 - Stage-Route-Surv Data'!$L$5:$N$52,3,FALSE))+(($H68*$L90)*VLOOKUP($B68&amp;$AH$57&amp;AI$57,'App6 - Stage-Route-Surv Data'!$L$5:$N$52,3,FALSE))</f>
        <v>8163.0888734308082</v>
      </c>
      <c r="N90" s="946">
        <f>(($H68*$I90)*VLOOKUP($B68&amp;$AE$57&amp;AJ$57,'App6 - Stage-Route-Surv Data'!$L$5:$N$52,3,FALSE))+(($H68*$J90)*VLOOKUP($B68&amp;$AF$57&amp;AJ$57,'App6 - Stage-Route-Surv Data'!$L$5:$N$52,3,FALSE))+(($H68*$K90)*VLOOKUP($B68&amp;$AG$57&amp;AJ$57,'App6 - Stage-Route-Surv Data'!$L$5:$N$52,3,FALSE))+(($H68*$L90)*VLOOKUP($B68&amp;$AH$57&amp;AJ$57,'App6 - Stage-Route-Surv Data'!$L$5:$N$52,3,FALSE))</f>
        <v>3543.4053759359144</v>
      </c>
      <c r="O90" s="946">
        <f>(($H68*$I90)*VLOOKUP($B68&amp;$AE$57&amp;AK$57,'App6 - Stage-Route-Surv Data'!$L$5:$N$52,3,FALSE))+(($H68*$J90)*VLOOKUP($B68&amp;$AF$57&amp;AK$57,'App6 - Stage-Route-Surv Data'!$L$5:$N$52,3,FALSE))+(($H68*$K90)*VLOOKUP($B68&amp;$AG$57&amp;AK$57,'App6 - Stage-Route-Surv Data'!$L$5:$N$52,3,FALSE))+(($H68*$L90)*VLOOKUP($B68&amp;$AH$57&amp;AK$57,'App6 - Stage-Route-Surv Data'!$L$5:$N$52,3,FALSE))</f>
        <v>3171.8909561693295</v>
      </c>
      <c r="P90" s="946">
        <f>(($H68*$I90)*VLOOKUP($B68&amp;$AE$57&amp;AL$57,'App6 - Stage-Route-Surv Data'!$L$5:$N$52,3,FALSE))+(($H68*$J90)*VLOOKUP($B68&amp;$AF$57&amp;AL$57,'App6 - Stage-Route-Surv Data'!$L$5:$N$52,3,FALSE))+(($H68*$K90)*VLOOKUP($B68&amp;$AG$57&amp;AL$57,'App6 - Stage-Route-Surv Data'!$L$5:$N$52,3,FALSE))+(($H68*$L90)*VLOOKUP($B68&amp;$AH$57&amp;AL$57,'App6 - Stage-Route-Surv Data'!$L$5:$N$52,3,FALSE))</f>
        <v>1974.6147944639456</v>
      </c>
      <c r="Q90" s="946">
        <f>M90*VLOOKUP($B68&amp;$D68&amp;AM$57,'App6 - Stage-Route-Surv Data'!$S$5:$T$40,2,FALSE)</f>
        <v>8244.7197621651158</v>
      </c>
      <c r="R90" s="946">
        <f>N90*VLOOKUP($B68&amp;$D68&amp;AN$57,'App6 - Stage-Route-Surv Data'!$S$5:$T$40,2,FALSE)</f>
        <v>3543.4053759359144</v>
      </c>
      <c r="S90" s="946">
        <f>O90*VLOOKUP($B68&amp;$D68&amp;AO$57,'App6 - Stage-Route-Surv Data'!$S$5:$T$40,2,FALSE)</f>
        <v>3140.1720466076363</v>
      </c>
      <c r="T90" s="946">
        <f>P90*VLOOKUP($B68&amp;$D68&amp;AP$57,'App6 - Stage-Route-Surv Data'!$S$5:$T$40,2,FALSE)</f>
        <v>1125.5304328444488</v>
      </c>
      <c r="U90" s="944">
        <f>SUM(Q90:T90)</f>
        <v>16053.827617553115</v>
      </c>
      <c r="V90" s="947">
        <f>U90/H68</f>
        <v>0.95257981472456632</v>
      </c>
    </row>
    <row r="91" spans="1:22" ht="16" hidden="1" customHeight="1" thickBot="1" x14ac:dyDescent="0.25">
      <c r="A91" s="1305"/>
      <c r="B91" s="956" t="s">
        <v>10</v>
      </c>
      <c r="C91" s="957"/>
      <c r="D91" s="977"/>
      <c r="E91" s="986"/>
      <c r="F91" s="987"/>
      <c r="G91" s="994"/>
      <c r="H91" s="962"/>
      <c r="I91" s="963"/>
      <c r="J91" s="963"/>
      <c r="K91" s="963"/>
      <c r="L91" s="963"/>
      <c r="M91" s="963"/>
      <c r="N91" s="963"/>
      <c r="O91" s="963"/>
      <c r="P91" s="963"/>
      <c r="Q91" s="963"/>
      <c r="R91" s="963"/>
      <c r="S91" s="963"/>
      <c r="T91" s="963"/>
      <c r="U91" s="964"/>
      <c r="V91" s="943"/>
    </row>
    <row r="92" spans="1:22" ht="15.5" hidden="1" customHeight="1" x14ac:dyDescent="0.2">
      <c r="A92" s="1305"/>
      <c r="B92" s="700" t="s">
        <v>10</v>
      </c>
      <c r="C92" s="720" t="s">
        <v>172</v>
      </c>
      <c r="D92" s="975" t="s">
        <v>194</v>
      </c>
      <c r="E92" s="980">
        <f>VLOOKUP($B92&amp;"_"&amp;$D92,'App5 - CRUK Inci Rates'!C:H,6,FALSE)</f>
        <v>75.7</v>
      </c>
      <c r="F92" s="981">
        <f>VLOOKUP($B92&amp;"_"&amp;$D92,'App5 - CRUK Inci Rates'!C:H,3,FALSE)</f>
        <v>0</v>
      </c>
      <c r="G92" s="992">
        <f>VLOOKUP($B92&amp;"_"&amp;$D92,'App5 - CRUK Inci Rates'!C:J,8,FALSE)</f>
        <v>2293472.6666666665</v>
      </c>
      <c r="H92" s="709">
        <f>VLOOKUP($B92&amp;"_"&amp;$D92,'App5 - CRUK Inci Rates'!C:K,9,FALSE)</f>
        <v>1737</v>
      </c>
      <c r="I92" s="935"/>
      <c r="J92" s="935"/>
      <c r="K92" s="935"/>
      <c r="L92" s="935"/>
      <c r="M92" s="935"/>
      <c r="N92" s="935"/>
      <c r="O92" s="935"/>
      <c r="P92" s="935"/>
      <c r="Q92" s="935"/>
      <c r="R92" s="935"/>
      <c r="S92" s="935"/>
      <c r="T92" s="935"/>
      <c r="U92" s="936"/>
      <c r="V92" s="937"/>
    </row>
    <row r="93" spans="1:22" ht="15.5" hidden="1" customHeight="1" x14ac:dyDescent="0.2">
      <c r="A93" s="1305"/>
      <c r="B93" s="700" t="s">
        <v>10</v>
      </c>
      <c r="C93" s="721" t="str">
        <f>$C$70</f>
        <v>PSA_3ng/mL cut-off</v>
      </c>
      <c r="D93" s="975" t="s">
        <v>195</v>
      </c>
      <c r="E93" s="980">
        <f>VLOOKUP($B93&amp;"_"&amp;$D93,'App5 - CRUK Inci Rates'!C:H,6,FALSE)</f>
        <v>201.8</v>
      </c>
      <c r="F93" s="981">
        <f>VLOOKUP($B93&amp;"_"&amp;$D93,'App5 - CRUK Inci Rates'!C:H,3,FALSE)</f>
        <v>0</v>
      </c>
      <c r="G93" s="992">
        <f>VLOOKUP($B93&amp;"_"&amp;$D93,'App5 - CRUK Inci Rates'!C:J,8,FALSE)</f>
        <v>2061918.6666666667</v>
      </c>
      <c r="H93" s="709">
        <f>VLOOKUP($B93&amp;"_"&amp;$D93,'App5 - CRUK Inci Rates'!C:K,9,FALSE)</f>
        <v>4160</v>
      </c>
      <c r="I93" s="935"/>
      <c r="J93" s="935"/>
      <c r="K93" s="935"/>
      <c r="L93" s="935"/>
      <c r="M93" s="935"/>
      <c r="N93" s="935"/>
      <c r="O93" s="935"/>
      <c r="P93" s="935"/>
      <c r="Q93" s="935"/>
      <c r="R93" s="935"/>
      <c r="S93" s="935"/>
      <c r="T93" s="935"/>
      <c r="U93" s="936"/>
      <c r="V93" s="937"/>
    </row>
    <row r="94" spans="1:22" x14ac:dyDescent="0.2">
      <c r="A94" s="1305"/>
      <c r="B94" s="958" t="s">
        <v>10</v>
      </c>
      <c r="C94" s="959" t="str">
        <f>$C$70</f>
        <v>PSA_3ng/mL cut-off</v>
      </c>
      <c r="D94" s="976" t="s">
        <v>230</v>
      </c>
      <c r="E94" s="982">
        <f>VLOOKUP($B94&amp;"_"&amp;$D94,'App5 - CRUK Inci Rates'!C:H,6,FALSE)</f>
        <v>135.39541108208113</v>
      </c>
      <c r="F94" s="983">
        <f>VLOOKUP($B94&amp;"_"&amp;$D94,'App5 - CRUK Inci Rates'!C:H,3,FALSE)</f>
        <v>0</v>
      </c>
      <c r="G94" s="993">
        <f>VLOOKUP($B94&amp;"_"&amp;$D94,'App5 - CRUK Inci Rates'!C:J,8,FALSE)</f>
        <v>4355391.333333333</v>
      </c>
      <c r="H94" s="944">
        <f>VLOOKUP($B94&amp;"_"&amp;$D94,'App5 - CRUK Inci Rates'!C:K,9,FALSE)</f>
        <v>5897</v>
      </c>
      <c r="I94" s="945">
        <f>(1-J94)*($I72/SUM($I72,$K72,$L72))</f>
        <v>0.50057407356236383</v>
      </c>
      <c r="J94" s="945">
        <f>AA72/$H72</f>
        <v>0.15511493490581538</v>
      </c>
      <c r="K94" s="945">
        <f>(1-J94)*($K72/SUM($I72,$K72,$L72))</f>
        <v>2.1731951805572202E-2</v>
      </c>
      <c r="L94" s="945">
        <f>(1-J94)*($L72/SUM($I72,$K72,$L72))</f>
        <v>0.32257903972624857</v>
      </c>
      <c r="M94" s="946">
        <f>(($H72*$I94)*VLOOKUP($B72&amp;$AE$57&amp;AI$57,'App6 - Stage-Route-Surv Data'!$L$5:$N$52,3,FALSE))+(($H72*$J94)*VLOOKUP($B72&amp;$AF$57&amp;AI$57,'App6 - Stage-Route-Surv Data'!$L$5:$N$52,3,FALSE))+(($H72*$K94)*VLOOKUP($B72&amp;$AG$57&amp;AI$57,'App6 - Stage-Route-Surv Data'!$L$5:$N$52,3,FALSE))+(($H72*$L94)*VLOOKUP($B72&amp;$AH$57&amp;AI$57,'App6 - Stage-Route-Surv Data'!$L$5:$N$52,3,FALSE))</f>
        <v>2558.3334688460372</v>
      </c>
      <c r="N94" s="946">
        <f>(($H72*$I94)*VLOOKUP($B72&amp;$AE$57&amp;AJ$57,'App6 - Stage-Route-Surv Data'!$L$5:$N$52,3,FALSE))+(($H72*$J94)*VLOOKUP($B72&amp;$AF$57&amp;AJ$57,'App6 - Stage-Route-Surv Data'!$L$5:$N$52,3,FALSE))+(($H72*$K94)*VLOOKUP($B72&amp;$AG$57&amp;AJ$57,'App6 - Stage-Route-Surv Data'!$L$5:$N$52,3,FALSE))+(($H72*$L94)*VLOOKUP($B72&amp;$AH$57&amp;AJ$57,'App6 - Stage-Route-Surv Data'!$L$5:$N$52,3,FALSE))</f>
        <v>1030.0169844420921</v>
      </c>
      <c r="O94" s="946">
        <f>(($H72*$I94)*VLOOKUP($B72&amp;$AE$57&amp;AK$57,'App6 - Stage-Route-Surv Data'!$L$5:$N$52,3,FALSE))+(($H72*$J94)*VLOOKUP($B72&amp;$AF$57&amp;AK$57,'App6 - Stage-Route-Surv Data'!$L$5:$N$52,3,FALSE))+(($H72*$K94)*VLOOKUP($B72&amp;$AG$57&amp;AK$57,'App6 - Stage-Route-Surv Data'!$L$5:$N$52,3,FALSE))+(($H72*$L94)*VLOOKUP($B72&amp;$AH$57&amp;AK$57,'App6 - Stage-Route-Surv Data'!$L$5:$N$52,3,FALSE))</f>
        <v>1410.3903029689307</v>
      </c>
      <c r="P94" s="946">
        <f>(($H72*$I94)*VLOOKUP($B72&amp;$AE$57&amp;AL$57,'App6 - Stage-Route-Surv Data'!$L$5:$N$52,3,FALSE))+(($H72*$J94)*VLOOKUP($B72&amp;$AF$57&amp;AL$57,'App6 - Stage-Route-Surv Data'!$L$5:$N$52,3,FALSE))+(($H72*$K94)*VLOOKUP($B72&amp;$AG$57&amp;AL$57,'App6 - Stage-Route-Surv Data'!$L$5:$N$52,3,FALSE))+(($H72*$L94)*VLOOKUP($B72&amp;$AH$57&amp;AL$57,'App6 - Stage-Route-Surv Data'!$L$5:$N$52,3,FALSE))</f>
        <v>898.25924374293959</v>
      </c>
      <c r="Q94" s="946">
        <f>M94*VLOOKUP($B72&amp;$D72&amp;AM$57,'App6 - Stage-Route-Surv Data'!$S$5:$T$40,2,FALSE)</f>
        <v>2558.3334688460372</v>
      </c>
      <c r="R94" s="946">
        <f>N94*VLOOKUP($B72&amp;$D72&amp;AN$57,'App6 - Stage-Route-Surv Data'!$S$5:$T$40,2,FALSE)</f>
        <v>1030.0169844420921</v>
      </c>
      <c r="S94" s="946">
        <f>O94*VLOOKUP($B72&amp;$D72&amp;AO$57,'App6 - Stage-Route-Surv Data'!$S$5:$T$40,2,FALSE)</f>
        <v>1382.1824969095521</v>
      </c>
      <c r="T94" s="946">
        <f>P94*VLOOKUP($B72&amp;$D72&amp;AP$57,'App6 - Stage-Route-Surv Data'!$S$5:$T$40,2,FALSE)</f>
        <v>476.07739918375802</v>
      </c>
      <c r="U94" s="944">
        <f>SUM(Q94:T94)</f>
        <v>5446.6103493814389</v>
      </c>
      <c r="V94" s="947">
        <f>U94/H72</f>
        <v>0.9236239357947158</v>
      </c>
    </row>
    <row r="95" spans="1:22" ht="15.5" hidden="1" customHeight="1" x14ac:dyDescent="0.2">
      <c r="A95" s="1305"/>
      <c r="B95" s="700" t="s">
        <v>10</v>
      </c>
      <c r="C95" s="721" t="str">
        <f>$C$70</f>
        <v>PSA_3ng/mL cut-off</v>
      </c>
      <c r="D95" s="975" t="s">
        <v>196</v>
      </c>
      <c r="E95" s="984">
        <f>VLOOKUP($B95&amp;"_"&amp;$D95,'App5 - CRUK Inci Rates'!C:H,6,FALSE)</f>
        <v>356.1</v>
      </c>
      <c r="F95" s="981">
        <f>VLOOKUP($B95&amp;"_"&amp;$D95,'App5 - CRUK Inci Rates'!C:H,3,FALSE)</f>
        <v>0</v>
      </c>
      <c r="G95" s="992">
        <f>VLOOKUP($B95&amp;"_"&amp;$D95,'App5 - CRUK Inci Rates'!C:J,8,FALSE)</f>
        <v>1764828</v>
      </c>
      <c r="H95" s="709">
        <f>VLOOKUP($B95&amp;"_"&amp;$D95,'App5 - CRUK Inci Rates'!C:K,9,FALSE)</f>
        <v>6285</v>
      </c>
      <c r="I95" s="935"/>
      <c r="J95" s="935"/>
      <c r="K95" s="935"/>
      <c r="L95" s="935"/>
      <c r="M95" s="935"/>
      <c r="N95" s="935"/>
      <c r="O95" s="935"/>
      <c r="P95" s="935"/>
      <c r="Q95" s="935"/>
      <c r="R95" s="935"/>
      <c r="S95" s="935"/>
      <c r="T95" s="935"/>
      <c r="U95" s="936"/>
      <c r="V95" s="937"/>
    </row>
    <row r="96" spans="1:22" ht="15.5" hidden="1" customHeight="1" x14ac:dyDescent="0.2">
      <c r="A96" s="1305"/>
      <c r="B96" s="700" t="s">
        <v>10</v>
      </c>
      <c r="C96" s="721" t="str">
        <f>$C$70</f>
        <v>PSA_3ng/mL cut-off</v>
      </c>
      <c r="D96" s="975" t="s">
        <v>197</v>
      </c>
      <c r="E96" s="985">
        <f>VLOOKUP($B96&amp;"_"&amp;$D96,'App5 - CRUK Inci Rates'!C:H,6,FALSE)</f>
        <v>622.70000000000005</v>
      </c>
      <c r="F96" s="981">
        <f>VLOOKUP($B96&amp;"_"&amp;$D96,'App5 - CRUK Inci Rates'!C:H,3,FALSE)</f>
        <v>0</v>
      </c>
      <c r="G96" s="992">
        <f>VLOOKUP($B96&amp;"_"&amp;$D96,'App5 - CRUK Inci Rates'!C:J,8,FALSE)</f>
        <v>1696993.3333333333</v>
      </c>
      <c r="H96" s="709">
        <f>VLOOKUP($B96&amp;"_"&amp;$D96,'App5 - CRUK Inci Rates'!C:K,9,FALSE)</f>
        <v>10568</v>
      </c>
      <c r="I96" s="935"/>
      <c r="J96" s="935"/>
      <c r="K96" s="935"/>
      <c r="L96" s="935"/>
      <c r="M96" s="935"/>
      <c r="N96" s="935"/>
      <c r="O96" s="935"/>
      <c r="P96" s="935"/>
      <c r="Q96" s="935"/>
      <c r="R96" s="935"/>
      <c r="S96" s="935"/>
      <c r="T96" s="935"/>
      <c r="U96" s="936"/>
      <c r="V96" s="937"/>
    </row>
    <row r="97" spans="1:44" x14ac:dyDescent="0.2">
      <c r="A97" s="1305"/>
      <c r="B97" s="700" t="s">
        <v>10</v>
      </c>
      <c r="C97" s="721" t="str">
        <f>$C$70</f>
        <v>PSA_3ng/mL cut-off</v>
      </c>
      <c r="D97" s="976" t="s">
        <v>239</v>
      </c>
      <c r="E97" s="982">
        <f>VLOOKUP($B97&amp;"_"&amp;$D97,'App5 - CRUK Inci Rates'!C:H,6,FALSE)</f>
        <v>486.82466185429951</v>
      </c>
      <c r="F97" s="983">
        <f>VLOOKUP($B97&amp;"_"&amp;$D97,'App5 - CRUK Inci Rates'!C:H,3,FALSE)</f>
        <v>0</v>
      </c>
      <c r="G97" s="993">
        <f>VLOOKUP($B97&amp;"_"&amp;$D97,'App5 - CRUK Inci Rates'!C:J,8,FALSE)</f>
        <v>3461821.333333333</v>
      </c>
      <c r="H97" s="944">
        <f>VLOOKUP($B97&amp;"_"&amp;$D97,'App5 - CRUK Inci Rates'!C:K,9,FALSE)</f>
        <v>16853</v>
      </c>
      <c r="I97" s="945">
        <f>(1-J97)*($I75/SUM($I75,$K75,$L75))</f>
        <v>0.51115186394080747</v>
      </c>
      <c r="J97" s="945">
        <f>AA75/$H75</f>
        <v>0.15511493490581538</v>
      </c>
      <c r="K97" s="945">
        <f>(1-J97)*($K75/SUM($I75,$K75,$L75))</f>
        <v>2.6310916273502766E-2</v>
      </c>
      <c r="L97" s="945">
        <f>(1-J97)*($L75/SUM($I75,$K75,$L75))</f>
        <v>0.30742228487987439</v>
      </c>
      <c r="M97" s="946">
        <f>(($H75*$I97)*VLOOKUP($B75&amp;$AE$57&amp;AI$57,'App6 - Stage-Route-Surv Data'!$L$5:$N$52,3,FALSE))+(($H75*$J97)*VLOOKUP($B75&amp;$AF$57&amp;AI$57,'App6 - Stage-Route-Surv Data'!$L$5:$N$52,3,FALSE))+(($H75*$K97)*VLOOKUP($B75&amp;$AG$57&amp;AI$57,'App6 - Stage-Route-Surv Data'!$L$5:$N$52,3,FALSE))+(($H75*$L97)*VLOOKUP($B75&amp;$AH$57&amp;AI$57,'App6 - Stage-Route-Surv Data'!$L$5:$N$52,3,FALSE))</f>
        <v>7262.489706021528</v>
      </c>
      <c r="N97" s="946">
        <f>(($H75*$I97)*VLOOKUP($B75&amp;$AE$57&amp;AJ$57,'App6 - Stage-Route-Surv Data'!$L$5:$N$52,3,FALSE))+(($H75*$J97)*VLOOKUP($B75&amp;$AF$57&amp;AJ$57,'App6 - Stage-Route-Surv Data'!$L$5:$N$52,3,FALSE))+(($H75*$K97)*VLOOKUP($B75&amp;$AG$57&amp;AJ$57,'App6 - Stage-Route-Surv Data'!$L$5:$N$52,3,FALSE))+(($H75*$L97)*VLOOKUP($B75&amp;$AH$57&amp;AJ$57,'App6 - Stage-Route-Surv Data'!$L$5:$N$52,3,FALSE))</f>
        <v>2931.1491615906007</v>
      </c>
      <c r="O97" s="946">
        <f>(($H75*$I97)*VLOOKUP($B75&amp;$AE$57&amp;AK$57,'App6 - Stage-Route-Surv Data'!$L$5:$N$52,3,FALSE))+(($H75*$J97)*VLOOKUP($B75&amp;$AF$57&amp;AK$57,'App6 - Stage-Route-Surv Data'!$L$5:$N$52,3,FALSE))+(($H75*$K97)*VLOOKUP($B75&amp;$AG$57&amp;AK$57,'App6 - Stage-Route-Surv Data'!$L$5:$N$52,3,FALSE))+(($H75*$L97)*VLOOKUP($B75&amp;$AH$57&amp;AK$57,'App6 - Stage-Route-Surv Data'!$L$5:$N$52,3,FALSE))</f>
        <v>4035.7284414884857</v>
      </c>
      <c r="P97" s="946">
        <f>(($H75*$I97)*VLOOKUP($B75&amp;$AE$57&amp;AL$57,'App6 - Stage-Route-Surv Data'!$L$5:$N$52,3,FALSE))+(($H75*$J97)*VLOOKUP($B75&amp;$AF$57&amp;AL$57,'App6 - Stage-Route-Surv Data'!$L$5:$N$52,3,FALSE))+(($H75*$K97)*VLOOKUP($B75&amp;$AG$57&amp;AL$57,'App6 - Stage-Route-Surv Data'!$L$5:$N$52,3,FALSE))+(($H75*$L97)*VLOOKUP($B75&amp;$AH$57&amp;AL$57,'App6 - Stage-Route-Surv Data'!$L$5:$N$52,3,FALSE))</f>
        <v>2623.6326908993838</v>
      </c>
      <c r="Q97" s="946">
        <f>M97*VLOOKUP($B75&amp;$D75&amp;AM$57,'App6 - Stage-Route-Surv Data'!$S$5:$T$40,2,FALSE)</f>
        <v>7335.1146030817436</v>
      </c>
      <c r="R97" s="946">
        <f>N97*VLOOKUP($B75&amp;$D75&amp;AN$57,'App6 - Stage-Route-Surv Data'!$S$5:$T$40,2,FALSE)</f>
        <v>2931.1491615906007</v>
      </c>
      <c r="S97" s="946">
        <f>O97*VLOOKUP($B75&amp;$D75&amp;AO$57,'App6 - Stage-Route-Surv Data'!$S$5:$T$40,2,FALSE)</f>
        <v>3995.3711570736009</v>
      </c>
      <c r="T97" s="946">
        <f>P97*VLOOKUP($B75&amp;$D75&amp;AP$57,'App6 - Stage-Route-Surv Data'!$S$5:$T$40,2,FALSE)</f>
        <v>1495.4706338126487</v>
      </c>
      <c r="U97" s="944">
        <f>SUM(Q97:T97)</f>
        <v>15757.105555558595</v>
      </c>
      <c r="V97" s="947">
        <f>U97/H75</f>
        <v>0.93497333148748563</v>
      </c>
    </row>
    <row r="98" spans="1:44" x14ac:dyDescent="0.2">
      <c r="A98" s="1305"/>
      <c r="B98" s="953" t="s">
        <v>11</v>
      </c>
      <c r="C98" s="954"/>
      <c r="D98" s="966"/>
      <c r="E98" s="966"/>
      <c r="F98" s="967"/>
      <c r="G98" s="968"/>
      <c r="H98" s="969"/>
      <c r="I98" s="970"/>
      <c r="J98" s="970"/>
      <c r="K98" s="970"/>
      <c r="L98" s="970"/>
      <c r="M98" s="971"/>
      <c r="N98" s="971"/>
      <c r="O98" s="971"/>
      <c r="P98" s="971"/>
      <c r="Q98" s="971"/>
      <c r="R98" s="971"/>
      <c r="S98" s="971"/>
      <c r="T98" s="971"/>
      <c r="U98" s="971"/>
      <c r="V98" s="955"/>
    </row>
    <row r="99" spans="1:44" ht="15.5" hidden="1" customHeight="1" x14ac:dyDescent="0.2">
      <c r="A99" s="1305"/>
      <c r="B99" s="728" t="s">
        <v>11</v>
      </c>
      <c r="C99" s="742" t="s">
        <v>143</v>
      </c>
      <c r="D99" s="978" t="s">
        <v>194</v>
      </c>
      <c r="E99" s="988">
        <f>VLOOKUP($B99&amp;"_"&amp;$D99,'App5 - CRUK Inci Rates'!C:H,6,FALSE)</f>
        <v>47.1</v>
      </c>
      <c r="F99" s="989">
        <f>VLOOKUP($B99&amp;"_"&amp;$D99,'App5 - CRUK Inci Rates'!C:H,3,FALSE)</f>
        <v>37.1</v>
      </c>
      <c r="G99" s="995">
        <f>VLOOKUP($B99&amp;"_"&amp;$D99,'App5 - CRUK Inci Rates'!C:J,8,FALSE)</f>
        <v>4658110.666666666</v>
      </c>
      <c r="H99" s="705">
        <f>VLOOKUP($B99&amp;"_"&amp;$D99,'App5 - CRUK Inci Rates'!C:K,9,FALSE)</f>
        <v>1958</v>
      </c>
      <c r="I99" s="931"/>
      <c r="J99" s="931"/>
      <c r="K99" s="931"/>
      <c r="L99" s="931"/>
      <c r="M99" s="931"/>
      <c r="N99" s="931"/>
      <c r="O99" s="931"/>
      <c r="P99" s="931"/>
      <c r="Q99" s="931"/>
      <c r="R99" s="931"/>
      <c r="S99" s="931"/>
      <c r="T99" s="931"/>
      <c r="U99" s="932"/>
      <c r="V99" s="933"/>
    </row>
    <row r="100" spans="1:44" ht="15.5" hidden="1" customHeight="1" x14ac:dyDescent="0.2">
      <c r="A100" s="1305"/>
      <c r="B100" s="700" t="s">
        <v>11</v>
      </c>
      <c r="C100" s="934" t="str">
        <f>$C$77</f>
        <v>FIT 20-50 µg/g threshold (CRC)</v>
      </c>
      <c r="D100" s="975" t="s">
        <v>195</v>
      </c>
      <c r="E100" s="980">
        <f>VLOOKUP($B100&amp;"_"&amp;$D100,'App5 - CRUK Inci Rates'!C:H,6,FALSE)</f>
        <v>87.7</v>
      </c>
      <c r="F100" s="981">
        <f>VLOOKUP($B100&amp;"_"&amp;$D100,'App5 - CRUK Inci Rates'!C:H,3,FALSE)</f>
        <v>60.6</v>
      </c>
      <c r="G100" s="992">
        <f>VLOOKUP($B100&amp;"_"&amp;$D100,'App5 - CRUK Inci Rates'!C:J,8,FALSE)</f>
        <v>4181606</v>
      </c>
      <c r="H100" s="709">
        <f>VLOOKUP($B100&amp;"_"&amp;$D100,'App5 - CRUK Inci Rates'!C:K,9,FALSE)</f>
        <v>3094</v>
      </c>
      <c r="I100" s="935"/>
      <c r="J100" s="935"/>
      <c r="K100" s="935"/>
      <c r="L100" s="935"/>
      <c r="M100" s="935"/>
      <c r="N100" s="935"/>
      <c r="O100" s="935"/>
      <c r="P100" s="935"/>
      <c r="Q100" s="935"/>
      <c r="R100" s="935"/>
      <c r="S100" s="935"/>
      <c r="T100" s="935"/>
      <c r="U100" s="936"/>
      <c r="V100" s="937"/>
    </row>
    <row r="101" spans="1:44" ht="17" thickBot="1" x14ac:dyDescent="0.25">
      <c r="A101" s="1305"/>
      <c r="B101" s="731" t="s">
        <v>11</v>
      </c>
      <c r="C101" s="938" t="str">
        <f>$C$77</f>
        <v>FIT 20-50 µg/g threshold (CRC)</v>
      </c>
      <c r="D101" s="979" t="s">
        <v>230</v>
      </c>
      <c r="E101" s="990">
        <f>VLOOKUP($B101&amp;"_"&amp;$D101,'App5 - CRUK Inci Rates'!C:H,6,FALSE)</f>
        <v>66.354542653419429</v>
      </c>
      <c r="F101" s="991">
        <f>VLOOKUP($B101&amp;"_"&amp;$D101,'App5 - CRUK Inci Rates'!C:H,3,FALSE)</f>
        <v>48.212380665809548</v>
      </c>
      <c r="G101" s="996">
        <f>VLOOKUP($B101&amp;"_"&amp;$D101,'App5 - CRUK Inci Rates'!C:J,8,FALSE)</f>
        <v>8839716.6666666679</v>
      </c>
      <c r="H101" s="939">
        <f>VLOOKUP($B101&amp;"_"&amp;$D101,'App5 - CRUK Inci Rates'!C:K,9,FALSE)</f>
        <v>5052</v>
      </c>
      <c r="I101" s="940">
        <f>(1-J101)*($I79/SUM($I79,$K79,$L79))</f>
        <v>0.32195746665862407</v>
      </c>
      <c r="J101" s="940">
        <f>AA79/$H79</f>
        <v>0.25925147900614387</v>
      </c>
      <c r="K101" s="940">
        <f>(1-J101)*($K79/SUM($I79,$K79,$L79))</f>
        <v>0.15936799850494579</v>
      </c>
      <c r="L101" s="940">
        <f>(1-J101)*($L79/SUM($I79,$K79,$L79))</f>
        <v>0.2594230558302863</v>
      </c>
      <c r="M101" s="941">
        <f>(($H79*$I101)*VLOOKUP($B79&amp;$AE$57&amp;AI$57,'App6 - Stage-Route-Surv Data'!$L$5:$N$52,3,FALSE))+(($H79*$J101)*VLOOKUP($B79&amp;$AF$57&amp;AI$57,'App6 - Stage-Route-Surv Data'!$L$5:$N$52,3,FALSE))+(($H79*$K101)*VLOOKUP($B79&amp;$AG$57&amp;AI$57,'App6 - Stage-Route-Surv Data'!$L$5:$N$52,3,FALSE))+(($H79*$L101)*VLOOKUP($B79&amp;$AH$57&amp;AI$57,'App6 - Stage-Route-Surv Data'!$L$5:$N$52,3,FALSE))</f>
        <v>1134.7684596562794</v>
      </c>
      <c r="N101" s="941">
        <f>(($H79*$I101)*VLOOKUP($B79&amp;$AE$57&amp;AJ$57,'App6 - Stage-Route-Surv Data'!$L$5:$N$52,3,FALSE))+(($H79*$J101)*VLOOKUP($B79&amp;$AF$57&amp;AJ$57,'App6 - Stage-Route-Surv Data'!$L$5:$N$52,3,FALSE))+(($H79*$K101)*VLOOKUP($B79&amp;$AG$57&amp;AJ$57,'App6 - Stage-Route-Surv Data'!$L$5:$N$52,3,FALSE))+(($H79*$L101)*VLOOKUP($B79&amp;$AH$57&amp;AJ$57,'App6 - Stage-Route-Surv Data'!$L$5:$N$52,3,FALSE))</f>
        <v>1282.7714633261089</v>
      </c>
      <c r="O101" s="941">
        <f>(($H79*$I101)*VLOOKUP($B79&amp;$AE$57&amp;AK$57,'App6 - Stage-Route-Surv Data'!$L$5:$N$52,3,FALSE))+(($H79*$J101)*VLOOKUP($B79&amp;$AF$57&amp;AK$57,'App6 - Stage-Route-Surv Data'!$L$5:$N$52,3,FALSE))+(($H79*$K101)*VLOOKUP($B79&amp;$AG$57&amp;AK$57,'App6 - Stage-Route-Surv Data'!$L$5:$N$52,3,FALSE))+(($H79*$L101)*VLOOKUP($B79&amp;$AH$57&amp;AK$57,'App6 - Stage-Route-Surv Data'!$L$5:$N$52,3,FALSE))</f>
        <v>1527.1441173270239</v>
      </c>
      <c r="P101" s="941">
        <f>(($H79*$I101)*VLOOKUP($B79&amp;$AE$57&amp;AL$57,'App6 - Stage-Route-Surv Data'!$L$5:$N$52,3,FALSE))+(($H79*$J101)*VLOOKUP($B79&amp;$AF$57&amp;AL$57,'App6 - Stage-Route-Surv Data'!$L$5:$N$52,3,FALSE))+(($H79*$K101)*VLOOKUP($B79&amp;$AG$57&amp;AL$57,'App6 - Stage-Route-Surv Data'!$L$5:$N$52,3,FALSE))+(($H79*$L101)*VLOOKUP($B79&amp;$AH$57&amp;AL$57,'App6 - Stage-Route-Surv Data'!$L$5:$N$52,3,FALSE))</f>
        <v>1107.3159596905878</v>
      </c>
      <c r="Q101" s="941">
        <f>M101*VLOOKUP($B79&amp;$D79&amp;AM$57,'App6 - Stage-Route-Surv Data'!$S$5:$T$40,2,FALSE)</f>
        <v>1092.1285128636739</v>
      </c>
      <c r="R101" s="941">
        <f>N101*VLOOKUP($B79&amp;$D79&amp;AN$57,'App6 - Stage-Route-Surv Data'!$S$5:$T$40,2,FALSE)</f>
        <v>1140.6359912970354</v>
      </c>
      <c r="S101" s="941">
        <f>O101*VLOOKUP($B79&amp;$D79&amp;AO$57,'App6 - Stage-Route-Surv Data'!$S$5:$T$40,2,FALSE)</f>
        <v>1145.5617106577204</v>
      </c>
      <c r="T101" s="941">
        <f>P101*VLOOKUP($B79&amp;$D79&amp;AP$57,'App6 - Stage-Route-Surv Data'!$S$5:$T$40,2,FALSE)</f>
        <v>165.27433290795787</v>
      </c>
      <c r="U101" s="939">
        <f>SUM(Q101:T101)</f>
        <v>3543.6005477263875</v>
      </c>
      <c r="V101" s="942">
        <f>U101/H79</f>
        <v>0.70142528656500147</v>
      </c>
    </row>
    <row r="102" spans="1:44" hidden="1" x14ac:dyDescent="0.2">
      <c r="B102" s="1388" t="s">
        <v>181</v>
      </c>
      <c r="C102" s="1306" t="s">
        <v>207</v>
      </c>
      <c r="D102" s="1309" t="s">
        <v>182</v>
      </c>
      <c r="E102" s="1391" t="s">
        <v>183</v>
      </c>
      <c r="F102" s="1391"/>
      <c r="G102" s="1393" t="s">
        <v>184</v>
      </c>
      <c r="H102" s="1394"/>
      <c r="I102" s="1332" t="s">
        <v>349</v>
      </c>
      <c r="J102" s="1366"/>
      <c r="K102" s="1366"/>
      <c r="L102" s="1366"/>
      <c r="M102" s="1366"/>
      <c r="N102" s="1366"/>
      <c r="O102" s="1366"/>
      <c r="P102" s="1366"/>
      <c r="Q102" s="1366"/>
      <c r="R102" s="1366"/>
      <c r="S102" s="1366"/>
      <c r="T102" s="1366"/>
      <c r="U102" s="1367"/>
      <c r="V102" s="460"/>
      <c r="W102" s="1341" t="s">
        <v>265</v>
      </c>
      <c r="X102" s="1342"/>
      <c r="Y102" s="1342"/>
      <c r="Z102" s="1342"/>
      <c r="AA102" s="1342"/>
      <c r="AB102" s="1343"/>
      <c r="AC102" s="1332" t="s">
        <v>397</v>
      </c>
      <c r="AD102" s="1333"/>
      <c r="AE102" s="1333"/>
      <c r="AF102" s="1333"/>
      <c r="AG102" s="1333"/>
      <c r="AH102" s="1333"/>
      <c r="AI102" s="1333"/>
      <c r="AJ102" s="1333"/>
      <c r="AK102" s="1333"/>
      <c r="AL102" s="1333"/>
      <c r="AM102" s="1333"/>
      <c r="AN102" s="1333"/>
      <c r="AO102" s="1333"/>
      <c r="AP102" s="1333"/>
      <c r="AQ102" s="1333"/>
      <c r="AR102" s="1334"/>
    </row>
    <row r="103" spans="1:44" hidden="1" x14ac:dyDescent="0.2">
      <c r="B103" s="1389"/>
      <c r="C103" s="1307"/>
      <c r="D103" s="1310"/>
      <c r="E103" s="1392"/>
      <c r="F103" s="1392"/>
      <c r="G103" s="1395"/>
      <c r="H103" s="1396"/>
      <c r="I103" s="1368"/>
      <c r="J103" s="1369"/>
      <c r="K103" s="1369"/>
      <c r="L103" s="1369"/>
      <c r="M103" s="1369"/>
      <c r="N103" s="1369"/>
      <c r="O103" s="1369"/>
      <c r="P103" s="1369"/>
      <c r="Q103" s="1369"/>
      <c r="R103" s="1369"/>
      <c r="S103" s="1369"/>
      <c r="T103" s="1369"/>
      <c r="U103" s="1370"/>
      <c r="V103" s="463"/>
      <c r="W103" s="1258">
        <v>1</v>
      </c>
      <c r="X103" s="1259"/>
      <c r="Y103" s="1259"/>
      <c r="Z103" s="1259"/>
      <c r="AA103" s="1259"/>
      <c r="AB103" s="1260"/>
      <c r="AC103" s="1335"/>
      <c r="AD103" s="1336"/>
      <c r="AE103" s="1336"/>
      <c r="AF103" s="1336"/>
      <c r="AG103" s="1336"/>
      <c r="AH103" s="1336"/>
      <c r="AI103" s="1336"/>
      <c r="AJ103" s="1336"/>
      <c r="AK103" s="1336"/>
      <c r="AL103" s="1336"/>
      <c r="AM103" s="1336"/>
      <c r="AN103" s="1336"/>
      <c r="AO103" s="1336"/>
      <c r="AP103" s="1336"/>
      <c r="AQ103" s="1336"/>
      <c r="AR103" s="1337"/>
    </row>
    <row r="104" spans="1:44" ht="17" hidden="1" thickBot="1" x14ac:dyDescent="0.25">
      <c r="B104" s="1389"/>
      <c r="C104" s="1307"/>
      <c r="D104" s="1310"/>
      <c r="E104" s="1392"/>
      <c r="F104" s="1392"/>
      <c r="G104" s="1395"/>
      <c r="H104" s="1396"/>
      <c r="I104" s="1371"/>
      <c r="J104" s="1372"/>
      <c r="K104" s="1372"/>
      <c r="L104" s="1372"/>
      <c r="M104" s="1372"/>
      <c r="N104" s="1372"/>
      <c r="O104" s="1372"/>
      <c r="P104" s="1372"/>
      <c r="Q104" s="1372"/>
      <c r="R104" s="1372"/>
      <c r="S104" s="1372"/>
      <c r="T104" s="1372"/>
      <c r="U104" s="1373"/>
      <c r="V104" s="461"/>
      <c r="W104" s="1263" t="s">
        <v>270</v>
      </c>
      <c r="X104" s="1264"/>
      <c r="Y104" s="1264"/>
      <c r="Z104" s="1264"/>
      <c r="AA104" s="1264"/>
      <c r="AB104" s="1265"/>
      <c r="AC104" s="1401"/>
      <c r="AD104" s="1402"/>
      <c r="AE104" s="1402"/>
      <c r="AF104" s="1402"/>
      <c r="AG104" s="1402"/>
      <c r="AH104" s="1402"/>
      <c r="AI104" s="1402"/>
      <c r="AJ104" s="1402"/>
      <c r="AK104" s="1402"/>
      <c r="AL104" s="1402"/>
      <c r="AM104" s="1402"/>
      <c r="AN104" s="1402"/>
      <c r="AO104" s="1402"/>
      <c r="AP104" s="1402"/>
      <c r="AQ104" s="1402"/>
      <c r="AR104" s="1403"/>
    </row>
    <row r="105" spans="1:44" ht="85" hidden="1" x14ac:dyDescent="0.2">
      <c r="B105" s="1389"/>
      <c r="C105" s="1307"/>
      <c r="D105" s="1310"/>
      <c r="E105" s="1397" t="s">
        <v>40</v>
      </c>
      <c r="F105" s="1397" t="s">
        <v>41</v>
      </c>
      <c r="G105" s="1398" t="s">
        <v>186</v>
      </c>
      <c r="H105" s="1387" t="s">
        <v>189</v>
      </c>
      <c r="I105" s="1374" t="s">
        <v>216</v>
      </c>
      <c r="J105" s="1375"/>
      <c r="K105" s="1375"/>
      <c r="L105" s="1375"/>
      <c r="M105" s="1375" t="s">
        <v>217</v>
      </c>
      <c r="N105" s="1375"/>
      <c r="O105" s="1375"/>
      <c r="P105" s="1375"/>
      <c r="Q105" s="1376" t="s">
        <v>218</v>
      </c>
      <c r="R105" s="1376"/>
      <c r="S105" s="1376"/>
      <c r="T105" s="1376"/>
      <c r="U105" s="1377"/>
      <c r="V105" s="464"/>
      <c r="W105" s="1295" t="s">
        <v>268</v>
      </c>
      <c r="X105" s="1278" t="s">
        <v>189</v>
      </c>
      <c r="Y105" s="1279" t="s">
        <v>191</v>
      </c>
      <c r="Z105" s="1279" t="s">
        <v>271</v>
      </c>
      <c r="AA105" s="1280" t="s">
        <v>211</v>
      </c>
      <c r="AB105" s="1281" t="s">
        <v>212</v>
      </c>
      <c r="AC105" s="874" t="s">
        <v>219</v>
      </c>
      <c r="AD105" s="875"/>
      <c r="AE105" s="875"/>
      <c r="AF105" s="876"/>
      <c r="AG105" s="877" t="s">
        <v>220</v>
      </c>
      <c r="AH105" s="878"/>
      <c r="AI105" s="878"/>
      <c r="AJ105" s="879"/>
      <c r="AK105" s="880" t="s">
        <v>221</v>
      </c>
      <c r="AL105" s="875"/>
      <c r="AM105" s="875"/>
      <c r="AN105" s="875"/>
      <c r="AO105" s="875"/>
      <c r="AP105" s="464"/>
      <c r="AQ105" s="850" t="s">
        <v>222</v>
      </c>
      <c r="AR105" s="850" t="s">
        <v>223</v>
      </c>
    </row>
    <row r="106" spans="1:44" ht="52" hidden="1" thickBot="1" x14ac:dyDescent="0.25">
      <c r="B106" s="1390"/>
      <c r="C106" s="1308"/>
      <c r="D106" s="1311"/>
      <c r="E106" s="1318"/>
      <c r="F106" s="1318"/>
      <c r="G106" s="1383"/>
      <c r="H106" s="1385"/>
      <c r="I106" s="72" t="s">
        <v>224</v>
      </c>
      <c r="J106" s="73" t="s">
        <v>225</v>
      </c>
      <c r="K106" s="73" t="s">
        <v>226</v>
      </c>
      <c r="L106" s="76" t="s">
        <v>227</v>
      </c>
      <c r="M106" s="74">
        <v>1</v>
      </c>
      <c r="N106" s="74">
        <v>2</v>
      </c>
      <c r="O106" s="74">
        <v>3</v>
      </c>
      <c r="P106" s="77">
        <v>4</v>
      </c>
      <c r="Q106" s="74">
        <v>1</v>
      </c>
      <c r="R106" s="74">
        <v>2</v>
      </c>
      <c r="S106" s="74">
        <v>3</v>
      </c>
      <c r="T106" s="74">
        <v>4</v>
      </c>
      <c r="U106" s="75" t="s">
        <v>228</v>
      </c>
      <c r="V106" s="465" t="s">
        <v>290</v>
      </c>
      <c r="W106" s="1295"/>
      <c r="X106" s="1278"/>
      <c r="Y106" s="1279"/>
      <c r="Z106" s="1279"/>
      <c r="AA106" s="1280"/>
      <c r="AB106" s="1282"/>
      <c r="AC106" s="72" t="s">
        <v>224</v>
      </c>
      <c r="AD106" s="73" t="s">
        <v>225</v>
      </c>
      <c r="AE106" s="73" t="s">
        <v>226</v>
      </c>
      <c r="AF106" s="76" t="s">
        <v>227</v>
      </c>
      <c r="AG106" s="74">
        <v>1</v>
      </c>
      <c r="AH106" s="74">
        <v>2</v>
      </c>
      <c r="AI106" s="74">
        <v>3</v>
      </c>
      <c r="AJ106" s="77">
        <v>4</v>
      </c>
      <c r="AK106" s="78">
        <v>1</v>
      </c>
      <c r="AL106" s="74">
        <v>2</v>
      </c>
      <c r="AM106" s="74">
        <v>3</v>
      </c>
      <c r="AN106" s="74">
        <v>4</v>
      </c>
      <c r="AO106" s="79" t="s">
        <v>228</v>
      </c>
      <c r="AP106" s="465" t="s">
        <v>290</v>
      </c>
      <c r="AQ106" s="849"/>
      <c r="AR106" s="850"/>
    </row>
    <row r="107" spans="1:44" ht="17" hidden="1" thickBot="1" x14ac:dyDescent="0.25">
      <c r="B107" s="42" t="s">
        <v>8</v>
      </c>
      <c r="C107" s="55"/>
      <c r="D107" s="35"/>
      <c r="E107" s="36"/>
      <c r="F107" s="37"/>
      <c r="G107" s="360"/>
      <c r="H107" s="38"/>
      <c r="I107" s="40"/>
      <c r="J107" s="39"/>
      <c r="K107" s="39"/>
      <c r="L107" s="39"/>
      <c r="M107" s="39"/>
      <c r="N107" s="39"/>
      <c r="O107" s="39"/>
      <c r="P107" s="39"/>
      <c r="Q107" s="39"/>
      <c r="R107" s="39"/>
      <c r="S107" s="39"/>
      <c r="T107" s="39"/>
      <c r="U107" s="39"/>
      <c r="V107" s="466"/>
      <c r="W107" s="40"/>
      <c r="X107" s="39"/>
      <c r="Y107" s="39"/>
      <c r="Z107" s="39"/>
      <c r="AA107" s="39"/>
      <c r="AB107" s="41"/>
      <c r="AC107" s="39"/>
      <c r="AD107" s="39"/>
      <c r="AE107" s="39"/>
      <c r="AF107" s="39"/>
      <c r="AG107" s="39"/>
      <c r="AH107" s="39"/>
      <c r="AI107" s="39"/>
      <c r="AJ107" s="39"/>
      <c r="AK107" s="39"/>
      <c r="AL107" s="39"/>
      <c r="AM107" s="39"/>
      <c r="AN107" s="39"/>
      <c r="AO107" s="39"/>
      <c r="AP107" s="466"/>
      <c r="AQ107" s="39"/>
      <c r="AR107" s="41"/>
    </row>
    <row r="108" spans="1:44" hidden="1" x14ac:dyDescent="0.2">
      <c r="B108" s="29" t="s">
        <v>8</v>
      </c>
      <c r="C108" s="484" t="s">
        <v>162</v>
      </c>
      <c r="D108" s="21" t="s">
        <v>192</v>
      </c>
      <c r="E108" s="862">
        <f>VLOOKUP($B108&amp;"_"&amp;$D108,'App5 - CRUK Inci Rates'!C:H,6,FALSE)</f>
        <v>0</v>
      </c>
      <c r="F108" s="23">
        <f>VLOOKUP($B108&amp;"_"&amp;$D108,'App5 - CRUK Inci Rates'!C:H,3,FALSE)</f>
        <v>124.6</v>
      </c>
      <c r="G108" s="358">
        <f>VLOOKUP($B108&amp;"_"&amp;$D108,'App5 - CRUK Inci Rates'!C:J,8,FALSE)</f>
        <v>2054223.3333333333</v>
      </c>
      <c r="H108" s="27">
        <f>VLOOKUP($B108&amp;"_"&amp;$D108,'App5 - CRUK Inci Rates'!C:K,9,FALSE)</f>
        <v>2559</v>
      </c>
      <c r="I108" s="91"/>
      <c r="J108" s="81"/>
      <c r="K108" s="81"/>
      <c r="L108" s="81"/>
      <c r="M108" s="81"/>
      <c r="N108" s="81"/>
      <c r="O108" s="81"/>
      <c r="P108" s="81"/>
      <c r="Q108" s="81"/>
      <c r="R108" s="81"/>
      <c r="S108" s="81"/>
      <c r="T108" s="81"/>
      <c r="U108" s="92"/>
      <c r="V108" s="467"/>
      <c r="W108" s="26">
        <f>$G108*W$134</f>
        <v>2054223.3333333333</v>
      </c>
      <c r="X108" s="25">
        <f>H108</f>
        <v>2559</v>
      </c>
      <c r="Y108" s="25">
        <f>$H108-X108</f>
        <v>0</v>
      </c>
      <c r="Z108" s="25">
        <f>IF($C108="other",(1-$C$138)*X108,(1-(VLOOKUP($C108,'S3 - Screening Tool Metrics'!$C$3:$G$19,5,FALSE)/100))*X108)</f>
        <v>767.70000000000016</v>
      </c>
      <c r="AA108" s="25">
        <f>IF($C108="other",$C$138*X108,(VLOOKUP($C108,'S3 - Screening Tool Metrics'!$C$3:$G$19,5,FALSE)/100)*X108)</f>
        <v>1791.3</v>
      </c>
      <c r="AB108" s="27">
        <f>$AA108/$H108*100</f>
        <v>70</v>
      </c>
      <c r="AC108" s="91"/>
      <c r="AD108" s="81"/>
      <c r="AE108" s="81"/>
      <c r="AF108" s="81"/>
      <c r="AG108" s="81"/>
      <c r="AH108" s="81"/>
      <c r="AI108" s="81"/>
      <c r="AJ108" s="81"/>
      <c r="AK108" s="81"/>
      <c r="AL108" s="81"/>
      <c r="AM108" s="81"/>
      <c r="AN108" s="81"/>
      <c r="AO108" s="81"/>
      <c r="AP108" s="467"/>
      <c r="AQ108" s="81"/>
      <c r="AR108" s="92"/>
    </row>
    <row r="109" spans="1:44" hidden="1" x14ac:dyDescent="0.2">
      <c r="B109" s="29" t="s">
        <v>8</v>
      </c>
      <c r="C109" s="46" t="str">
        <f>$C108</f>
        <v>Digital mammography</v>
      </c>
      <c r="D109" s="2" t="s">
        <v>193</v>
      </c>
      <c r="E109" s="863">
        <f>VLOOKUP($B109&amp;"_"&amp;$D109,'App5 - CRUK Inci Rates'!C:H,6,FALSE)</f>
        <v>0</v>
      </c>
      <c r="F109" s="17">
        <f>VLOOKUP($B109&amp;"_"&amp;$D109,'App5 - CRUK Inci Rates'!C:H,3,FALSE)</f>
        <v>214.8</v>
      </c>
      <c r="G109" s="359">
        <f>VLOOKUP($B109&amp;"_"&amp;$D109,'App5 - CRUK Inci Rates'!C:J,8,FALSE)</f>
        <v>2315479.3333333335</v>
      </c>
      <c r="H109" s="19">
        <f>VLOOKUP($B109&amp;"_"&amp;$D109,'App5 - CRUK Inci Rates'!C:K,9,FALSE)</f>
        <v>4974</v>
      </c>
      <c r="I109" s="93"/>
      <c r="J109" s="80"/>
      <c r="K109" s="80"/>
      <c r="L109" s="80"/>
      <c r="M109" s="80"/>
      <c r="N109" s="80"/>
      <c r="O109" s="80"/>
      <c r="P109" s="80"/>
      <c r="Q109" s="80"/>
      <c r="R109" s="80"/>
      <c r="S109" s="80"/>
      <c r="T109" s="80"/>
      <c r="U109" s="94"/>
      <c r="V109" s="468"/>
      <c r="W109" s="18">
        <f>$G109*W$134</f>
        <v>2315479.3333333335</v>
      </c>
      <c r="X109" s="14">
        <f>H109</f>
        <v>4974</v>
      </c>
      <c r="Y109" s="14">
        <f>$H109-X109</f>
        <v>0</v>
      </c>
      <c r="Z109" s="14">
        <f>IF($C109="other",(1-$C$138)*X109,(1-(VLOOKUP($C109,'S3 - Screening Tool Metrics'!$C$3:$G$19,5,FALSE)/100))*X109)</f>
        <v>1492.2000000000003</v>
      </c>
      <c r="AA109" s="14">
        <f>IF($C109="other",$C$138*X109,(VLOOKUP($C109,'S3 - Screening Tool Metrics'!$C$3:$G$19,5,FALSE)/100)*X109)</f>
        <v>3481.7999999999997</v>
      </c>
      <c r="AB109" s="19">
        <f>$AA109/$H109*100</f>
        <v>70</v>
      </c>
      <c r="AC109" s="93"/>
      <c r="AD109" s="80"/>
      <c r="AE109" s="80"/>
      <c r="AF109" s="80"/>
      <c r="AG109" s="80"/>
      <c r="AH109" s="80"/>
      <c r="AI109" s="80"/>
      <c r="AJ109" s="80"/>
      <c r="AK109" s="80"/>
      <c r="AL109" s="80"/>
      <c r="AM109" s="80"/>
      <c r="AN109" s="80"/>
      <c r="AO109" s="80"/>
      <c r="AP109" s="468"/>
      <c r="AQ109" s="80"/>
      <c r="AR109" s="94"/>
    </row>
    <row r="110" spans="1:44" ht="17" hidden="1" thickBot="1" x14ac:dyDescent="0.25">
      <c r="B110" s="331" t="s">
        <v>8</v>
      </c>
      <c r="C110" s="429" t="str">
        <f>$C109</f>
        <v>Digital mammography</v>
      </c>
      <c r="D110" s="448" t="s">
        <v>229</v>
      </c>
      <c r="E110" s="871">
        <f>VLOOKUP($B110&amp;"_"&amp;$D110,'App5 - CRUK Inci Rates'!C:H,6,FALSE)</f>
        <v>0</v>
      </c>
      <c r="F110" s="440">
        <f>VLOOKUP($B110&amp;"_"&amp;$D110,'App5 - CRUK Inci Rates'!C:H,3,FALSE)</f>
        <v>172.40296040749985</v>
      </c>
      <c r="G110" s="441">
        <f>VLOOKUP($B110&amp;"_"&amp;$D110,'App5 - CRUK Inci Rates'!C:J,8,FALSE)</f>
        <v>4369702.666666667</v>
      </c>
      <c r="H110" s="102">
        <f>VLOOKUP($B110&amp;"_"&amp;$D110,'App5 - CRUK Inci Rates'!C:K,9,FALSE)</f>
        <v>7533</v>
      </c>
      <c r="I110" s="367">
        <f>VLOOKUP($B110&amp;I$137&amp;$D110,'App6 - Stage-Route-Surv Data'!$E$5:$G$76,3,FALSE)+(VLOOKUP($B110&amp;J$137&amp;$D110,'App6 - Stage-Route-Surv Data'!$E$5:$G$76,3,FALSE)*(VLOOKUP($B110&amp;I$137&amp;$D110,'App6 - Stage-Route-Surv Data'!$E$5:$G$76,3,FALSE)/SUM(VLOOKUP($B110&amp;I$137&amp;$D110,'App6 - Stage-Route-Surv Data'!$E$5:$G$76,3,FALSE),VLOOKUP($B110&amp;K$137&amp;$D110,'App6 - Stage-Route-Surv Data'!$E$5:$G$76,3,FALSE),VLOOKUP($B110&amp;L$137&amp;$D110,'App6 - Stage-Route-Surv Data'!$E$5:$G$76,3,FALSE))))</f>
        <v>0.81706422018348623</v>
      </c>
      <c r="J110" s="85">
        <v>0</v>
      </c>
      <c r="K110" s="85">
        <f>VLOOKUP($B110&amp;K$137&amp;$D110,'App6 - Stage-Route-Surv Data'!$E$5:$G$76,3,FALSE)+(VLOOKUP($B110&amp;J$137&amp;$D110,'App6 - Stage-Route-Surv Data'!$E$5:$G$76,3,FALSE)*(VLOOKUP($B110&amp;K$137&amp;$D110,'App6 - Stage-Route-Surv Data'!$E$5:$G$76,3,FALSE)/SUM(VLOOKUP($B110&amp;I$137&amp;$D110,'App6 - Stage-Route-Surv Data'!$E$5:$G$76,3,FALSE),VLOOKUP($B110&amp;K$137&amp;$D110,'App6 - Stage-Route-Surv Data'!$E$5:$G$76,3,FALSE),VLOOKUP($B110&amp;L$137&amp;$D110,'App6 - Stage-Route-Surv Data'!$E$5:$G$76,3,FALSE))))</f>
        <v>1.7981651376146789E-2</v>
      </c>
      <c r="L110" s="85">
        <f>VLOOKUP($B110&amp;L$137&amp;$D110,'App6 - Stage-Route-Surv Data'!$E$5:$G$76,3,FALSE)+(VLOOKUP($B110&amp;J$137&amp;$D110,'App6 - Stage-Route-Surv Data'!$E$5:$G$76,3,FALSE)*(VLOOKUP($B110&amp;L$137&amp;$D110,'App6 - Stage-Route-Surv Data'!$E$5:$G$76,3,FALSE)/SUM(VLOOKUP($B110&amp;I$137&amp;$D110,'App6 - Stage-Route-Surv Data'!$E$5:$G$76,3,FALSE),VLOOKUP($B110&amp;K$137&amp;$D110,'App6 - Stage-Route-Surv Data'!$E$5:$G$76,3,FALSE),VLOOKUP($B110&amp;L$137&amp;$D110,'App6 - Stage-Route-Surv Data'!$E$5:$G$76,3,FALSE))))</f>
        <v>0.16495412844036697</v>
      </c>
      <c r="M110" s="452">
        <f>(($H110*$I110)*VLOOKUP($B110&amp;$I$137&amp;M$137,'App6 - Stage-Route-Surv Data'!$L$5:$N$36,3,FALSE))+(($H110*$J110)*VLOOKUP($B110&amp;$J$137&amp;M$137,'App6 - Stage-Route-Surv Data'!$L$5:$N$36,3,FALSE))+(($H110*$K110)*VLOOKUP($B110&amp;$K$137&amp;M$137,'App6 - Stage-Route-Surv Data'!$L$5:$N$36,3,FALSE))+(($H110*$L110)*VLOOKUP($B110&amp;$L$137&amp;M$137,'App6 - Stage-Route-Surv Data'!$L$5:$N$36,3,FALSE))</f>
        <v>2495.7609995082994</v>
      </c>
      <c r="N110" s="452">
        <f>(($H110*$I110)*VLOOKUP($B110&amp;$I$137&amp;N$137,'App6 - Stage-Route-Surv Data'!$L$5:$N$36,3,FALSE))+(($H110*$J110)*VLOOKUP($B110&amp;$J$137&amp;N$137,'App6 - Stage-Route-Surv Data'!$L$5:$N$36,3,FALSE))+(($H110*$K110)*VLOOKUP($B110&amp;$K$137&amp;N$137,'App6 - Stage-Route-Surv Data'!$L$5:$N$36,3,FALSE))+(($H110*$L110)*VLOOKUP($B110&amp;$L$137&amp;N$137,'App6 - Stage-Route-Surv Data'!$L$5:$N$36,3,FALSE))</f>
        <v>3667.1468638486499</v>
      </c>
      <c r="O110" s="452">
        <f>(($H110*$I110)*VLOOKUP($B110&amp;$I$137&amp;O$137,'App6 - Stage-Route-Surv Data'!$L$5:$N$36,3,FALSE))+(($H110*$J110)*VLOOKUP($B110&amp;$J$137&amp;O$137,'App6 - Stage-Route-Surv Data'!$L$5:$N$36,3,FALSE))+(($H110*$K110)*VLOOKUP($B110&amp;$K$137&amp;O$137,'App6 - Stage-Route-Surv Data'!$L$5:$N$36,3,FALSE))+(($H110*$L110)*VLOOKUP($B110&amp;$L$137&amp;O$137,'App6 - Stage-Route-Surv Data'!$L$5:$N$36,3,FALSE))</f>
        <v>876.94450317825601</v>
      </c>
      <c r="P110" s="452">
        <f>(($H110*$I110)*VLOOKUP($B110&amp;$I$137&amp;P$137,'App6 - Stage-Route-Surv Data'!$L$5:$N$36,3,FALSE))+(($H110*$J110)*VLOOKUP($B110&amp;$J$137&amp;P$137,'App6 - Stage-Route-Surv Data'!$L$5:$N$36,3,FALSE))+(($H110*$K110)*VLOOKUP($B110&amp;$K$137&amp;P$137,'App6 - Stage-Route-Surv Data'!$L$5:$N$36,3,FALSE))+(($H110*$L110)*VLOOKUP($B110&amp;$L$137&amp;P$137,'App6 - Stage-Route-Surv Data'!$L$5:$N$36,3,FALSE))</f>
        <v>493.14763346479504</v>
      </c>
      <c r="Q110" s="452">
        <f>M110*VLOOKUP($B110&amp;$D110&amp;Q$137,'App6 - Stage-Route-Surv Data'!$S$5:$T$20,2,FALSE)</f>
        <v>2451.667657302879</v>
      </c>
      <c r="R110" s="452">
        <f>N110*VLOOKUP($B110&amp;$D110&amp;R$137,'App6 - Stage-Route-Surv Data'!$S$5:$T$20,2,FALSE)</f>
        <v>3430.430193418299</v>
      </c>
      <c r="S110" s="452">
        <f>O110*VLOOKUP($B110&amp;$D110&amp;S$137,'App6 - Stage-Route-Surv Data'!$S$5:$T$20,2,FALSE)</f>
        <v>729.33438167461213</v>
      </c>
      <c r="T110" s="452">
        <f>P110*VLOOKUP($B110&amp;$D110&amp;T$137,'App6 - Stage-Route-Surv Data'!$S$5:$T$20,2,FALSE)</f>
        <v>227.13193396638405</v>
      </c>
      <c r="U110" s="881">
        <f>SUM(Q110:T110)</f>
        <v>6838.5641663621745</v>
      </c>
      <c r="V110" s="469">
        <f>U110/H110</f>
        <v>0.90781417315308299</v>
      </c>
      <c r="W110" s="453">
        <f>$G110*W$134</f>
        <v>4369702.666666667</v>
      </c>
      <c r="X110" s="454">
        <f>H110</f>
        <v>7533</v>
      </c>
      <c r="Y110" s="454">
        <f>$H110-X110</f>
        <v>0</v>
      </c>
      <c r="Z110" s="454">
        <f>IF($C110="other",(1-$C$138)*X110,(1-(VLOOKUP($C110,'S3 - Screening Tool Metrics'!$C$3:$G$19,5,FALSE)/100))*X110)</f>
        <v>2259.9000000000005</v>
      </c>
      <c r="AA110" s="454">
        <f>IF($C110="other",$C$138*X110,(VLOOKUP($C110,'S3 - Screening Tool Metrics'!$C$3:$G$19,5,FALSE)/100)*X110)</f>
        <v>5273.0999999999995</v>
      </c>
      <c r="AB110" s="449">
        <f>$AA110/$H110*100</f>
        <v>70</v>
      </c>
      <c r="AC110" s="458">
        <f>(1-AD110)*($I110/SUM($I110,$K110,$L110))</f>
        <v>0.24511926605504591</v>
      </c>
      <c r="AD110" s="455">
        <f>AA110/$H110</f>
        <v>0.7</v>
      </c>
      <c r="AE110" s="455">
        <f>(1-AD110)*($K110/SUM($I110,$K110,$L110))</f>
        <v>5.3944954128440376E-3</v>
      </c>
      <c r="AF110" s="455">
        <f>(1-AD110)*($L110/SUM($I110,$K110,$L110))</f>
        <v>4.9486238532110101E-2</v>
      </c>
      <c r="AG110" s="452">
        <f>(($H110*$AC110)*VLOOKUP($B110&amp;$AC$137&amp;AG$137,'App6 - Stage-Route-Surv Data'!$L$5:$N$52,3,FALSE))+(($H110*$AD110)*VLOOKUP($B110&amp;$AD$137&amp;AG$137,'App6 - Stage-Route-Surv Data'!$L$5:$N$52,3,FALSE))+(($H110*$AE110)*VLOOKUP($B110&amp;$AE$137&amp;AG$137,'App6 - Stage-Route-Surv Data'!$L$5:$N$52,3,FALSE))+(($H110*$AF110)*VLOOKUP($B110&amp;$AF$137&amp;AG$137,'App6 - Stage-Route-Surv Data'!$L$5:$N$52,3,FALSE))</f>
        <v>4336.2095666988516</v>
      </c>
      <c r="AH110" s="452">
        <f>(($H110*$AC110)*VLOOKUP($B110&amp;$AC$137&amp;AH$137,'App6 - Stage-Route-Surv Data'!$L$5:$N$52,3,FALSE))+(($H110*$AD110)*VLOOKUP($B110&amp;$AD$137&amp;AH$137,'App6 - Stage-Route-Surv Data'!$L$5:$N$52,3,FALSE))+(($H110*$AE110)*VLOOKUP($B110&amp;$AE$137&amp;AH$137,'App6 - Stage-Route-Surv Data'!$L$5:$N$52,3,FALSE))+(($H110*$AF110)*VLOOKUP($B110&amp;$AF$137&amp;AH$137,'App6 - Stage-Route-Surv Data'!$L$5:$N$52,3,FALSE))</f>
        <v>2540.0773475642982</v>
      </c>
      <c r="AI110" s="452">
        <f>(($H110*$AC110)*VLOOKUP($B110&amp;$AC$137&amp;AI$137,'App6 - Stage-Route-Surv Data'!$L$5:$N$52,3,FALSE))+(($H110*$AD110)*VLOOKUP($B110&amp;$AD$137&amp;AI$137,'App6 - Stage-Route-Surv Data'!$L$5:$N$52,3,FALSE))+(($H110*$AE110)*VLOOKUP($B110&amp;$AE$137&amp;AI$137,'App6 - Stage-Route-Surv Data'!$L$5:$N$52,3,FALSE))+(($H110*$AF110)*VLOOKUP($B110&amp;$AF$137&amp;AI$137,'App6 - Stage-Route-Surv Data'!$L$5:$N$52,3,FALSE))</f>
        <v>468.44020177505791</v>
      </c>
      <c r="AJ110" s="452">
        <f>(($H110*$AC110)*VLOOKUP($B110&amp;$AC$137&amp;AJ$137,'App6 - Stage-Route-Surv Data'!$L$5:$N$52,3,FALSE))+(($H110*$AD110)*VLOOKUP($B110&amp;$AD$137&amp;AJ$137,'App6 - Stage-Route-Surv Data'!$L$5:$N$52,3,FALSE))+(($H110*$AE110)*VLOOKUP($B110&amp;$AE$137&amp;AJ$137,'App6 - Stage-Route-Surv Data'!$L$5:$N$52,3,FALSE))+(($H110*$AF110)*VLOOKUP($B110&amp;$AF$137&amp;AJ$137,'App6 - Stage-Route-Surv Data'!$L$5:$N$52,3,FALSE))</f>
        <v>189.90709327393986</v>
      </c>
      <c r="AK110" s="452">
        <f>AG110*VLOOKUP($B110&amp;$D110&amp;AK$137,'App6 - Stage-Route-Surv Data'!$S$5:$T$40,2,FALSE)</f>
        <v>4259.6004793958045</v>
      </c>
      <c r="AL110" s="452">
        <f>AH110*VLOOKUP($B110&amp;$D110&amp;AL$137,'App6 - Stage-Route-Surv Data'!$S$5:$T$40,2,FALSE)</f>
        <v>2376.1137337045743</v>
      </c>
      <c r="AM110" s="452">
        <f>AI110*VLOOKUP($B110&amp;$D110&amp;AM$137,'App6 - Stage-Route-Surv Data'!$S$5:$T$40,2,FALSE)</f>
        <v>389.59083918642852</v>
      </c>
      <c r="AN110" s="452">
        <f>AJ110*VLOOKUP($B110&amp;$D110&amp;AN$137,'App6 - Stage-Route-Surv Data'!$S$5:$T$40,2,FALSE)</f>
        <v>87.466637660188027</v>
      </c>
      <c r="AO110" s="452">
        <f>SUM(AK110:AN110)</f>
        <v>7112.7716899469951</v>
      </c>
      <c r="AP110" s="469">
        <f>AO110/H110</f>
        <v>0.94421501260414109</v>
      </c>
      <c r="AQ110" s="456">
        <f>AO110-U110</f>
        <v>274.20752358482059</v>
      </c>
      <c r="AR110" s="457">
        <f>(AO110/$H110)-($U110/$H110)</f>
        <v>3.6400839451058098E-2</v>
      </c>
    </row>
    <row r="111" spans="1:44" ht="17" hidden="1" thickBot="1" x14ac:dyDescent="0.25">
      <c r="B111" s="42" t="s">
        <v>10</v>
      </c>
      <c r="C111" s="55"/>
      <c r="D111" s="35"/>
      <c r="E111" s="866"/>
      <c r="F111" s="37"/>
      <c r="G111" s="360"/>
      <c r="H111" s="38"/>
      <c r="I111" s="40"/>
      <c r="J111" s="39"/>
      <c r="K111" s="39"/>
      <c r="L111" s="39"/>
      <c r="M111" s="39"/>
      <c r="N111" s="39"/>
      <c r="O111" s="39"/>
      <c r="P111" s="39"/>
      <c r="Q111" s="39"/>
      <c r="R111" s="39"/>
      <c r="S111" s="39"/>
      <c r="T111" s="39"/>
      <c r="U111" s="41"/>
      <c r="V111" s="470"/>
      <c r="W111" s="40"/>
      <c r="X111" s="39"/>
      <c r="Y111" s="39"/>
      <c r="Z111" s="39"/>
      <c r="AA111" s="39"/>
      <c r="AB111" s="41"/>
      <c r="AC111" s="39"/>
      <c r="AD111" s="39"/>
      <c r="AE111" s="39"/>
      <c r="AF111" s="39"/>
      <c r="AG111" s="39"/>
      <c r="AH111" s="39"/>
      <c r="AI111" s="39"/>
      <c r="AJ111" s="39"/>
      <c r="AK111" s="39"/>
      <c r="AL111" s="39"/>
      <c r="AM111" s="39"/>
      <c r="AN111" s="39"/>
      <c r="AO111" s="39"/>
      <c r="AP111" s="470"/>
      <c r="AQ111" s="39"/>
      <c r="AR111" s="41"/>
    </row>
    <row r="112" spans="1:44" hidden="1" x14ac:dyDescent="0.2">
      <c r="B112" s="29" t="s">
        <v>10</v>
      </c>
      <c r="C112" s="484" t="s">
        <v>266</v>
      </c>
      <c r="D112" s="2" t="s">
        <v>194</v>
      </c>
      <c r="E112" s="863">
        <f>VLOOKUP($B112&amp;"_"&amp;$D112,'App5 - CRUK Inci Rates'!C:H,6,FALSE)</f>
        <v>75.7</v>
      </c>
      <c r="F112" s="17">
        <f>VLOOKUP($B112&amp;"_"&amp;$D112,'App5 - CRUK Inci Rates'!C:H,3,FALSE)</f>
        <v>0</v>
      </c>
      <c r="G112" s="359">
        <f>VLOOKUP($B112&amp;"_"&amp;$D112,'App5 - CRUK Inci Rates'!C:J,8,FALSE)</f>
        <v>2293472.6666666665</v>
      </c>
      <c r="H112" s="19">
        <f>VLOOKUP($B112&amp;"_"&amp;$D112,'App5 - CRUK Inci Rates'!C:K,9,FALSE)</f>
        <v>1737</v>
      </c>
      <c r="I112" s="93"/>
      <c r="J112" s="80"/>
      <c r="K112" s="80"/>
      <c r="L112" s="80"/>
      <c r="M112" s="80"/>
      <c r="N112" s="80"/>
      <c r="O112" s="80"/>
      <c r="P112" s="80"/>
      <c r="Q112" s="80"/>
      <c r="R112" s="80"/>
      <c r="S112" s="80"/>
      <c r="T112" s="80"/>
      <c r="U112" s="94"/>
      <c r="V112" s="468"/>
      <c r="W112" s="18">
        <f t="shared" ref="W112:W117" si="24">$G112*W$134</f>
        <v>2293472.6666666665</v>
      </c>
      <c r="X112" s="14">
        <f t="shared" ref="X112:X117" si="25">H112</f>
        <v>1737</v>
      </c>
      <c r="Y112" s="14">
        <f t="shared" ref="Y112:Y117" si="26">$H112-X112</f>
        <v>0</v>
      </c>
      <c r="Z112" s="14">
        <f>IF($C112="other",(1-$C$138)*X112,(1-(VLOOKUP($C112,'S3 - Screening Tool Metrics'!$C$3:$G$19,5,FALSE)/100))*X112)</f>
        <v>191.06999999999996</v>
      </c>
      <c r="AA112" s="14">
        <f>IF($C112="other",$C$138*X112,(VLOOKUP($C112,'S3 - Screening Tool Metrics'!$C$3:$G$19,5,FALSE)/100)*X112)</f>
        <v>1545.93</v>
      </c>
      <c r="AB112" s="19">
        <f t="shared" ref="AB112:AB117" si="27">$AA112/$H112*100</f>
        <v>89</v>
      </c>
      <c r="AC112" s="93"/>
      <c r="AD112" s="80"/>
      <c r="AE112" s="80"/>
      <c r="AF112" s="80"/>
      <c r="AG112" s="80"/>
      <c r="AH112" s="80"/>
      <c r="AI112" s="80"/>
      <c r="AJ112" s="80"/>
      <c r="AK112" s="80"/>
      <c r="AL112" s="80"/>
      <c r="AM112" s="80"/>
      <c r="AN112" s="80"/>
      <c r="AO112" s="80"/>
      <c r="AP112" s="468"/>
      <c r="AQ112" s="80"/>
      <c r="AR112" s="94"/>
    </row>
    <row r="113" spans="2:44" hidden="1" x14ac:dyDescent="0.2">
      <c r="B113" s="29" t="s">
        <v>10</v>
      </c>
      <c r="C113" s="46" t="str">
        <f>C112</f>
        <v>mpMRI</v>
      </c>
      <c r="D113" s="2" t="s">
        <v>195</v>
      </c>
      <c r="E113" s="863">
        <f>VLOOKUP($B113&amp;"_"&amp;$D113,'App5 - CRUK Inci Rates'!C:H,6,FALSE)</f>
        <v>201.8</v>
      </c>
      <c r="F113" s="17">
        <f>VLOOKUP($B113&amp;"_"&amp;$D113,'App5 - CRUK Inci Rates'!C:H,3,FALSE)</f>
        <v>0</v>
      </c>
      <c r="G113" s="359">
        <f>VLOOKUP($B113&amp;"_"&amp;$D113,'App5 - CRUK Inci Rates'!C:J,8,FALSE)</f>
        <v>2061918.6666666667</v>
      </c>
      <c r="H113" s="19">
        <f>VLOOKUP($B113&amp;"_"&amp;$D113,'App5 - CRUK Inci Rates'!C:K,9,FALSE)</f>
        <v>4160</v>
      </c>
      <c r="I113" s="93"/>
      <c r="J113" s="80"/>
      <c r="K113" s="80"/>
      <c r="L113" s="80"/>
      <c r="M113" s="80"/>
      <c r="N113" s="80"/>
      <c r="O113" s="80"/>
      <c r="P113" s="80"/>
      <c r="Q113" s="80"/>
      <c r="R113" s="80"/>
      <c r="S113" s="80"/>
      <c r="T113" s="80"/>
      <c r="U113" s="94"/>
      <c r="V113" s="468"/>
      <c r="W113" s="18">
        <f t="shared" si="24"/>
        <v>2061918.6666666667</v>
      </c>
      <c r="X113" s="14">
        <f t="shared" si="25"/>
        <v>4160</v>
      </c>
      <c r="Y113" s="14">
        <f t="shared" si="26"/>
        <v>0</v>
      </c>
      <c r="Z113" s="14">
        <f>IF($C113="other",(1-$C$138)*X113,(1-(VLOOKUP($C113,'S3 - Screening Tool Metrics'!$C$3:$G$19,5,FALSE)/100))*X113)</f>
        <v>457.59999999999997</v>
      </c>
      <c r="AA113" s="14">
        <f>IF($C113="other",$C$138*X113,(VLOOKUP($C113,'S3 - Screening Tool Metrics'!$C$3:$G$19,5,FALSE)/100)*X113)</f>
        <v>3702.4</v>
      </c>
      <c r="AB113" s="19">
        <f t="shared" si="27"/>
        <v>89</v>
      </c>
      <c r="AC113" s="93"/>
      <c r="AD113" s="80"/>
      <c r="AE113" s="80"/>
      <c r="AF113" s="80"/>
      <c r="AG113" s="80"/>
      <c r="AH113" s="80"/>
      <c r="AI113" s="80"/>
      <c r="AJ113" s="80"/>
      <c r="AK113" s="80"/>
      <c r="AL113" s="80"/>
      <c r="AM113" s="80"/>
      <c r="AN113" s="80"/>
      <c r="AO113" s="80"/>
      <c r="AP113" s="468"/>
      <c r="AQ113" s="80"/>
      <c r="AR113" s="94"/>
    </row>
    <row r="114" spans="2:44" ht="17" hidden="1" thickBot="1" x14ac:dyDescent="0.25">
      <c r="B114" s="106" t="s">
        <v>10</v>
      </c>
      <c r="C114" s="433" t="str">
        <f>C113</f>
        <v>mpMRI</v>
      </c>
      <c r="D114" s="82" t="s">
        <v>230</v>
      </c>
      <c r="E114" s="870">
        <f>VLOOKUP($B114&amp;"_"&amp;$D114,'App5 - CRUK Inci Rates'!C:H,6,FALSE)</f>
        <v>135.39541108208113</v>
      </c>
      <c r="F114" s="362">
        <f>VLOOKUP($B114&amp;"_"&amp;$D114,'App5 - CRUK Inci Rates'!C:H,3,FALSE)</f>
        <v>0</v>
      </c>
      <c r="G114" s="363">
        <f>VLOOKUP($B114&amp;"_"&amp;$D114,'App5 - CRUK Inci Rates'!C:J,8,FALSE)</f>
        <v>4355391.333333333</v>
      </c>
      <c r="H114" s="88">
        <f>VLOOKUP($B114&amp;"_"&amp;$D114,'App5 - CRUK Inci Rates'!C:K,9,FALSE)</f>
        <v>5897</v>
      </c>
      <c r="I114" s="367">
        <f>VLOOKUP($B114&amp;I$137&amp;$D114,'App6 - Stage-Route-Surv Data'!$E$5:$G$76,3,FALSE)</f>
        <v>0.59247594050743657</v>
      </c>
      <c r="J114" s="85">
        <f>VLOOKUP($B114&amp;J$137&amp;$D114,'App6 - Stage-Route-Surv Data'!$E$5:$G$76,3,FALSE)</f>
        <v>0</v>
      </c>
      <c r="K114" s="85">
        <f>VLOOKUP($B114&amp;K$137&amp;$D114,'App6 - Stage-Route-Surv Data'!$E$5:$G$76,3,FALSE)</f>
        <v>2.5721784776902887E-2</v>
      </c>
      <c r="L114" s="85">
        <f>VLOOKUP($B114&amp;L$137&amp;$D114,'App6 - Stage-Route-Surv Data'!$E$5:$G$76,3,FALSE)</f>
        <v>0.38180227471566053</v>
      </c>
      <c r="M114" s="86">
        <f>(($H114*$I114)*VLOOKUP($B114&amp;$I$137&amp;M$137,'App6 - Stage-Route-Surv Data'!$L$5:$N$52,3,FALSE))+(($H114*$J114)*VLOOKUP($B114&amp;$J$137&amp;M$137,'App6 - Stage-Route-Surv Data'!$L$5:$N$52,3,FALSE))+(($H114*$K114)*VLOOKUP($B114&amp;$K$137&amp;M$137,'App6 - Stage-Route-Surv Data'!$L$5:$N$52,3,FALSE))+(($H114*$L114)*VLOOKUP($B114&amp;$L$137&amp;M$137,'App6 - Stage-Route-Surv Data'!$L$5:$N$52,3,FALSE))</f>
        <v>2384.5650832956467</v>
      </c>
      <c r="N114" s="86">
        <f>(($H114*$I114)*VLOOKUP($B114&amp;$I$137&amp;N$137,'App6 - Stage-Route-Surv Data'!$L$5:$N$52,3,FALSE))+(($H114*$J114)*VLOOKUP($B114&amp;$J$137&amp;N$137,'App6 - Stage-Route-Surv Data'!$L$5:$N$52,3,FALSE))+(($H114*$K114)*VLOOKUP($B114&amp;$K$137&amp;N$137,'App6 - Stage-Route-Surv Data'!$L$5:$N$52,3,FALSE))+(($H114*$L114)*VLOOKUP($B114&amp;$L$137&amp;N$137,'App6 - Stage-Route-Surv Data'!$L$5:$N$52,3,FALSE))</f>
        <v>910.55055948256927</v>
      </c>
      <c r="O114" s="86">
        <f>(($H114*$I114)*VLOOKUP($B114&amp;$I$137&amp;O$137,'App6 - Stage-Route-Surv Data'!$L$5:$N$52,3,FALSE))+(($H114*$J114)*VLOOKUP($B114&amp;$J$137&amp;O$137,'App6 - Stage-Route-Surv Data'!$L$5:$N$52,3,FALSE))+(($H114*$K114)*VLOOKUP($B114&amp;$K$137&amp;O$137,'App6 - Stage-Route-Surv Data'!$L$5:$N$52,3,FALSE))+(($H114*$L114)*VLOOKUP($B114&amp;$L$137&amp;O$137,'App6 - Stage-Route-Surv Data'!$L$5:$N$52,3,FALSE))</f>
        <v>1579.7620982099547</v>
      </c>
      <c r="P114" s="86">
        <f>(($H114*$I114)*VLOOKUP($B114&amp;$I$137&amp;P$137,'App6 - Stage-Route-Surv Data'!$L$5:$N$52,3,FALSE))+(($H114*$J114)*VLOOKUP($B114&amp;$J$137&amp;P$137,'App6 - Stage-Route-Surv Data'!$L$5:$N$52,3,FALSE))+(($H114*$K114)*VLOOKUP($B114&amp;$K$137&amp;P$137,'App6 - Stage-Route-Surv Data'!$L$5:$N$52,3,FALSE))+(($H114*$L114)*VLOOKUP($B114&amp;$L$137&amp;P$137,'App6 - Stage-Route-Surv Data'!$L$5:$N$52,3,FALSE))</f>
        <v>1022.1222590118294</v>
      </c>
      <c r="Q114" s="86">
        <f>M114*VLOOKUP($B114&amp;$D114&amp;Q$137,'App6 - Stage-Route-Surv Data'!$S$5:$T$40,2,FALSE)</f>
        <v>2384.5650832956467</v>
      </c>
      <c r="R114" s="86">
        <f>N114*VLOOKUP($B114&amp;$D114&amp;R$137,'App6 - Stage-Route-Surv Data'!$S$5:$T$40,2,FALSE)</f>
        <v>910.55055948256927</v>
      </c>
      <c r="S114" s="86">
        <f>O114*VLOOKUP($B114&amp;$D114&amp;S$137,'App6 - Stage-Route-Surv Data'!$S$5:$T$40,2,FALSE)</f>
        <v>1548.1668562457555</v>
      </c>
      <c r="T114" s="86">
        <f>P114*VLOOKUP($B114&amp;$D114&amp;T$137,'App6 - Stage-Route-Surv Data'!$S$5:$T$40,2,FALSE)</f>
        <v>541.72479727626967</v>
      </c>
      <c r="U114" s="83">
        <f>SUM(Q114:T114)</f>
        <v>5385.0072963002413</v>
      </c>
      <c r="V114" s="471">
        <f>U114/H114</f>
        <v>0.91317742857389206</v>
      </c>
      <c r="W114" s="87">
        <f t="shared" si="24"/>
        <v>4355391.333333333</v>
      </c>
      <c r="X114" s="84">
        <f t="shared" si="25"/>
        <v>5897</v>
      </c>
      <c r="Y114" s="84">
        <f t="shared" si="26"/>
        <v>0</v>
      </c>
      <c r="Z114" s="84">
        <f>IF($C114="other",(1-$C$138)*X114,(1-(VLOOKUP($C114,'S3 - Screening Tool Metrics'!$C$3:$G$19,5,FALSE)/100))*X114)</f>
        <v>648.66999999999996</v>
      </c>
      <c r="AA114" s="84">
        <f>IF($C114="other",$C$138*X114,(VLOOKUP($C114,'S3 - Screening Tool Metrics'!$C$3:$G$19,5,FALSE)/100)*X114)</f>
        <v>5248.33</v>
      </c>
      <c r="AB114" s="88">
        <f t="shared" si="27"/>
        <v>89</v>
      </c>
      <c r="AC114" s="369">
        <f>(1-AD114)*($I114/SUM($I114,$K114,$L114))</f>
        <v>6.5172353455818011E-2</v>
      </c>
      <c r="AD114" s="89">
        <f>AA114/$H114</f>
        <v>0.89</v>
      </c>
      <c r="AE114" s="89">
        <f>(1-AD114)*($K114/SUM($I114,$K114,$L114))</f>
        <v>2.8293963254593171E-3</v>
      </c>
      <c r="AF114" s="89">
        <f>(1-AD114)*($L114/SUM($I114,$K114,$L114))</f>
        <v>4.1998250218722652E-2</v>
      </c>
      <c r="AG114" s="86">
        <f>(($H114*$AC114)*VLOOKUP($B114&amp;$AC$137&amp;AG$137,'App6 - Stage-Route-Surv Data'!$L$5:$N$52,3,FALSE))+(($H114*$AD114)*VLOOKUP($B114&amp;$AD$137&amp;AG$137,'App6 - Stage-Route-Surv Data'!$L$5:$N$52,3,FALSE))+(($H114*$AE114)*VLOOKUP($B114&amp;$AE$137&amp;AG$137,'App6 - Stage-Route-Surv Data'!$L$5:$N$52,3,FALSE))+(($H114*$AF114)*VLOOKUP($B114&amp;$AF$137&amp;AG$137,'App6 - Stage-Route-Surv Data'!$L$5:$N$52,3,FALSE))</f>
        <v>3381.5926308606317</v>
      </c>
      <c r="AH114" s="86">
        <f>(($H114*$AC114)*VLOOKUP($B114&amp;$AC$137&amp;AH$137,'App6 - Stage-Route-Surv Data'!$L$5:$N$52,3,FALSE))+(($H114*$AD114)*VLOOKUP($B114&amp;$AD$137&amp;AH$137,'App6 - Stage-Route-Surv Data'!$L$5:$N$52,3,FALSE))+(($H114*$AE114)*VLOOKUP($B114&amp;$AE$137&amp;AH$137,'App6 - Stage-Route-Surv Data'!$L$5:$N$52,3,FALSE))+(($H114*$AF114)*VLOOKUP($B114&amp;$AF$137&amp;AH$137,'App6 - Stage-Route-Surv Data'!$L$5:$N$52,3,FALSE))</f>
        <v>1596.0107846925746</v>
      </c>
      <c r="AI114" s="86">
        <f>(($H114*$AC114)*VLOOKUP($B114&amp;$AC$137&amp;AI$137,'App6 - Stage-Route-Surv Data'!$L$5:$N$52,3,FALSE))+(($H114*$AD114)*VLOOKUP($B114&amp;$AD$137&amp;AI$137,'App6 - Stage-Route-Surv Data'!$L$5:$N$52,3,FALSE))+(($H114*$AE114)*VLOOKUP($B114&amp;$AE$137&amp;AI$137,'App6 - Stage-Route-Surv Data'!$L$5:$N$52,3,FALSE))+(($H114*$AF114)*VLOOKUP($B114&amp;$AF$137&amp;AI$137,'App6 - Stage-Route-Surv Data'!$L$5:$N$52,3,FALSE))</f>
        <v>607.96078290759431</v>
      </c>
      <c r="AJ114" s="86">
        <f>(($H114*$AC114)*VLOOKUP($B114&amp;$AC$137&amp;AJ$137,'App6 - Stage-Route-Surv Data'!$L$5:$N$52,3,FALSE))+(($H114*$AD114)*VLOOKUP($B114&amp;$AD$137&amp;AJ$137,'App6 - Stage-Route-Surv Data'!$L$5:$N$52,3,FALSE))+(($H114*$AE114)*VLOOKUP($B114&amp;$AE$137&amp;AJ$137,'App6 - Stage-Route-Surv Data'!$L$5:$N$52,3,FALSE))+(($H114*$AF114)*VLOOKUP($B114&amp;$AF$137&amp;AJ$137,'App6 - Stage-Route-Surv Data'!$L$5:$N$52,3,FALSE))</f>
        <v>311.43580153919675</v>
      </c>
      <c r="AK114" s="86">
        <f>AG114*VLOOKUP($B114&amp;$D114&amp;AK$137,'App6 - Stage-Route-Surv Data'!$S$5:$T$40,2,FALSE)</f>
        <v>3381.5926308606317</v>
      </c>
      <c r="AL114" s="86">
        <f>AH114*VLOOKUP($B114&amp;$D114&amp;AL$137,'App6 - Stage-Route-Surv Data'!$S$5:$T$40,2,FALSE)</f>
        <v>1596.0107846925746</v>
      </c>
      <c r="AM114" s="86">
        <f>AI114*VLOOKUP($B114&amp;$D114&amp;AM$137,'App6 - Stage-Route-Surv Data'!$S$5:$T$40,2,FALSE)</f>
        <v>595.80156724944243</v>
      </c>
      <c r="AN114" s="86">
        <f>AJ114*VLOOKUP($B114&amp;$D114&amp;AN$137,'App6 - Stage-Route-Surv Data'!$S$5:$T$40,2,FALSE)</f>
        <v>165.06097481577427</v>
      </c>
      <c r="AO114" s="86">
        <f>SUM(AK114:AN114)</f>
        <v>5738.4659576184222</v>
      </c>
      <c r="AP114" s="469">
        <f>AO114/H114</f>
        <v>0.97311615357273562</v>
      </c>
      <c r="AQ114" s="90">
        <f>AO114-U114</f>
        <v>353.45866131818093</v>
      </c>
      <c r="AR114" s="95">
        <f>(AO114/$H114)-($U114/$H114)</f>
        <v>5.9938724998843562E-2</v>
      </c>
    </row>
    <row r="115" spans="2:44" hidden="1" x14ac:dyDescent="0.2">
      <c r="B115" s="29" t="s">
        <v>10</v>
      </c>
      <c r="C115" s="46" t="str">
        <f>C114</f>
        <v>mpMRI</v>
      </c>
      <c r="D115" s="2" t="s">
        <v>196</v>
      </c>
      <c r="E115" s="871">
        <f>VLOOKUP($B115&amp;"_"&amp;$D115,'App5 - CRUK Inci Rates'!C:H,6,FALSE)</f>
        <v>356.1</v>
      </c>
      <c r="F115" s="17">
        <f>VLOOKUP($B115&amp;"_"&amp;$D115,'App5 - CRUK Inci Rates'!C:H,3,FALSE)</f>
        <v>0</v>
      </c>
      <c r="G115" s="359">
        <f>VLOOKUP($B115&amp;"_"&amp;$D115,'App5 - CRUK Inci Rates'!C:J,8,FALSE)</f>
        <v>1764828</v>
      </c>
      <c r="H115" s="19">
        <f>VLOOKUP($B115&amp;"_"&amp;$D115,'App5 - CRUK Inci Rates'!C:K,9,FALSE)</f>
        <v>6285</v>
      </c>
      <c r="I115" s="93"/>
      <c r="J115" s="80"/>
      <c r="K115" s="80"/>
      <c r="L115" s="80"/>
      <c r="M115" s="80"/>
      <c r="N115" s="80"/>
      <c r="O115" s="80"/>
      <c r="P115" s="80"/>
      <c r="Q115" s="80"/>
      <c r="R115" s="80"/>
      <c r="S115" s="80"/>
      <c r="T115" s="80"/>
      <c r="U115" s="94"/>
      <c r="V115" s="468"/>
      <c r="W115" s="18">
        <f t="shared" si="24"/>
        <v>1764828</v>
      </c>
      <c r="X115" s="14">
        <f t="shared" si="25"/>
        <v>6285</v>
      </c>
      <c r="Y115" s="14">
        <f t="shared" si="26"/>
        <v>0</v>
      </c>
      <c r="Z115" s="14">
        <f>IF($C115="other",(1-$C$138)*X115,(1-(VLOOKUP($C115,'S3 - Screening Tool Metrics'!$C$3:$G$19,5,FALSE)/100))*X115)</f>
        <v>691.34999999999991</v>
      </c>
      <c r="AA115" s="14">
        <f>IF($C115="other",$C$138*X115,(VLOOKUP($C115,'S3 - Screening Tool Metrics'!$C$3:$G$19,5,FALSE)/100)*X115)</f>
        <v>5593.65</v>
      </c>
      <c r="AB115" s="19">
        <f t="shared" si="27"/>
        <v>88.999999999999986</v>
      </c>
      <c r="AC115" s="93"/>
      <c r="AD115" s="80"/>
      <c r="AE115" s="80"/>
      <c r="AF115" s="80"/>
      <c r="AG115" s="80"/>
      <c r="AH115" s="80"/>
      <c r="AI115" s="80"/>
      <c r="AJ115" s="80"/>
      <c r="AK115" s="80"/>
      <c r="AL115" s="80"/>
      <c r="AM115" s="80"/>
      <c r="AN115" s="80"/>
      <c r="AO115" s="80"/>
      <c r="AP115" s="468"/>
      <c r="AQ115" s="80"/>
      <c r="AR115" s="94"/>
    </row>
    <row r="116" spans="2:44" hidden="1" x14ac:dyDescent="0.2">
      <c r="B116" s="29" t="s">
        <v>10</v>
      </c>
      <c r="C116" s="46" t="str">
        <f>C115</f>
        <v>mpMRI</v>
      </c>
      <c r="D116" s="2" t="s">
        <v>197</v>
      </c>
      <c r="E116" s="428">
        <f>VLOOKUP($B116&amp;"_"&amp;$D116,'App5 - CRUK Inci Rates'!C:H,6,FALSE)</f>
        <v>622.70000000000005</v>
      </c>
      <c r="F116" s="17">
        <f>VLOOKUP($B116&amp;"_"&amp;$D116,'App5 - CRUK Inci Rates'!C:H,3,FALSE)</f>
        <v>0</v>
      </c>
      <c r="G116" s="359">
        <f>VLOOKUP($B116&amp;"_"&amp;$D116,'App5 - CRUK Inci Rates'!C:J,8,FALSE)</f>
        <v>1696993.3333333333</v>
      </c>
      <c r="H116" s="19">
        <f>VLOOKUP($B116&amp;"_"&amp;$D116,'App5 - CRUK Inci Rates'!C:K,9,FALSE)</f>
        <v>10568</v>
      </c>
      <c r="I116" s="93"/>
      <c r="J116" s="80"/>
      <c r="K116" s="80"/>
      <c r="L116" s="80"/>
      <c r="M116" s="80"/>
      <c r="N116" s="80"/>
      <c r="O116" s="80"/>
      <c r="P116" s="80"/>
      <c r="Q116" s="80"/>
      <c r="R116" s="80"/>
      <c r="S116" s="80"/>
      <c r="T116" s="80"/>
      <c r="U116" s="94"/>
      <c r="V116" s="468"/>
      <c r="W116" s="18">
        <f t="shared" si="24"/>
        <v>1696993.3333333333</v>
      </c>
      <c r="X116" s="14">
        <f t="shared" si="25"/>
        <v>10568</v>
      </c>
      <c r="Y116" s="14">
        <f t="shared" si="26"/>
        <v>0</v>
      </c>
      <c r="Z116" s="14">
        <f>IF($C116="other",(1-$C$138)*X116,(1-(VLOOKUP($C116,'S3 - Screening Tool Metrics'!$C$3:$G$19,5,FALSE)/100))*X116)</f>
        <v>1162.4799999999998</v>
      </c>
      <c r="AA116" s="14">
        <f>IF($C116="other",$C$138*X116,(VLOOKUP($C116,'S3 - Screening Tool Metrics'!$C$3:$G$19,5,FALSE)/100)*X116)</f>
        <v>9405.52</v>
      </c>
      <c r="AB116" s="19">
        <f t="shared" si="27"/>
        <v>89</v>
      </c>
      <c r="AC116" s="93"/>
      <c r="AD116" s="80"/>
      <c r="AE116" s="80"/>
      <c r="AF116" s="80"/>
      <c r="AG116" s="80"/>
      <c r="AH116" s="80"/>
      <c r="AI116" s="80"/>
      <c r="AJ116" s="80"/>
      <c r="AK116" s="80"/>
      <c r="AL116" s="80"/>
      <c r="AM116" s="80"/>
      <c r="AN116" s="80"/>
      <c r="AO116" s="80"/>
      <c r="AP116" s="468"/>
      <c r="AQ116" s="80"/>
      <c r="AR116" s="94"/>
    </row>
    <row r="117" spans="2:44" ht="17" hidden="1" thickBot="1" x14ac:dyDescent="0.25">
      <c r="B117" s="107" t="s">
        <v>10</v>
      </c>
      <c r="C117" s="434" t="str">
        <f>C116</f>
        <v>mpMRI</v>
      </c>
      <c r="D117" s="96" t="s">
        <v>239</v>
      </c>
      <c r="E117" s="872">
        <f>VLOOKUP($B117&amp;"_"&amp;$D117,'App5 - CRUK Inci Rates'!C:H,6,FALSE)</f>
        <v>486.82466185429951</v>
      </c>
      <c r="F117" s="365">
        <f>VLOOKUP($B117&amp;"_"&amp;$D117,'App5 - CRUK Inci Rates'!C:H,3,FALSE)</f>
        <v>0</v>
      </c>
      <c r="G117" s="366">
        <f>VLOOKUP($B117&amp;"_"&amp;$D117,'App5 - CRUK Inci Rates'!C:J,8,FALSE)</f>
        <v>3461821.333333333</v>
      </c>
      <c r="H117" s="102">
        <f>VLOOKUP($B117&amp;"_"&amp;$D117,'App5 - CRUK Inci Rates'!C:K,9,FALSE)</f>
        <v>16853</v>
      </c>
      <c r="I117" s="368">
        <f>VLOOKUP($B117&amp;I$137&amp;$D117,'App6 - Stage-Route-Surv Data'!$E$5:$G$76,3,FALSE)</f>
        <v>0.6049957385432374</v>
      </c>
      <c r="J117" s="99">
        <f>VLOOKUP($B117&amp;J$137&amp;$D117,'App6 - Stage-Route-Surv Data'!$E$5:$G$76,3,FALSE)</f>
        <v>0</v>
      </c>
      <c r="K117" s="99">
        <f>VLOOKUP($B117&amp;K$137&amp;$D117,'App6 - Stage-Route-Surv Data'!$E$5:$G$76,3,FALSE)</f>
        <v>3.1141414803645184E-2</v>
      </c>
      <c r="L117" s="99">
        <f>VLOOKUP($B117&amp;L$137&amp;$D117,'App6 - Stage-Route-Surv Data'!$E$5:$G$76,3,FALSE)</f>
        <v>0.36386284665311741</v>
      </c>
      <c r="M117" s="100">
        <f>(($H117*$I117)*VLOOKUP($B117&amp;$I$137&amp;M$137,'App6 - Stage-Route-Surv Data'!$L$5:$N$52,3,FALSE))+(($H117*$J117)*VLOOKUP($B117&amp;$J$137&amp;M$137,'App6 - Stage-Route-Surv Data'!$L$5:$N$52,3,FALSE))+(($H117*$K117)*VLOOKUP($B117&amp;$K$137&amp;M$137,'App6 - Stage-Route-Surv Data'!$L$5:$N$52,3,FALSE))+(($H117*$L117)*VLOOKUP($B117&amp;$L$137&amp;M$137,'App6 - Stage-Route-Surv Data'!$L$5:$N$52,3,FALSE))</f>
        <v>6756.8901734408828</v>
      </c>
      <c r="N117" s="100">
        <f>(($H117*$I117)*VLOOKUP($B117&amp;$I$137&amp;N$137,'App6 - Stage-Route-Surv Data'!$L$5:$N$52,3,FALSE))+(($H117*$J117)*VLOOKUP($B117&amp;$J$137&amp;N$137,'App6 - Stage-Route-Surv Data'!$L$5:$N$52,3,FALSE))+(($H117*$K117)*VLOOKUP($B117&amp;$K$137&amp;N$137,'App6 - Stage-Route-Surv Data'!$L$5:$N$52,3,FALSE))+(($H117*$L117)*VLOOKUP($B117&amp;$L$137&amp;N$137,'App6 - Stage-Route-Surv Data'!$L$5:$N$52,3,FALSE))</f>
        <v>2587.4263745897233</v>
      </c>
      <c r="O117" s="100">
        <f>(($H117*$I117)*VLOOKUP($B117&amp;$I$137&amp;O$137,'App6 - Stage-Route-Surv Data'!$L$5:$N$52,3,FALSE))+(($H117*$J117)*VLOOKUP($B117&amp;$J$137&amp;O$137,'App6 - Stage-Route-Surv Data'!$L$5:$N$52,3,FALSE))+(($H117*$K117)*VLOOKUP($B117&amp;$K$137&amp;O$137,'App6 - Stage-Route-Surv Data'!$L$5:$N$52,3,FALSE))+(($H117*$L117)*VLOOKUP($B117&amp;$L$137&amp;O$137,'App6 - Stage-Route-Surv Data'!$L$5:$N$52,3,FALSE))</f>
        <v>4520.6898367553804</v>
      </c>
      <c r="P117" s="100">
        <f>(($H117*$I117)*VLOOKUP($B117&amp;$I$137&amp;P$137,'App6 - Stage-Route-Surv Data'!$L$5:$N$52,3,FALSE))+(($H117*$J117)*VLOOKUP($B117&amp;$J$137&amp;P$137,'App6 - Stage-Route-Surv Data'!$L$5:$N$52,3,FALSE))+(($H117*$K117)*VLOOKUP($B117&amp;$K$137&amp;P$137,'App6 - Stage-Route-Surv Data'!$L$5:$N$52,3,FALSE))+(($H117*$L117)*VLOOKUP($B117&amp;$L$137&amp;P$137,'App6 - Stage-Route-Surv Data'!$L$5:$N$52,3,FALSE))</f>
        <v>2987.9936152140158</v>
      </c>
      <c r="Q117" s="100">
        <f>M117*VLOOKUP($B117&amp;$D117&amp;Q$137,'App6 - Stage-Route-Surv Data'!$S$5:$T$40,2,FALSE)</f>
        <v>6824.4590751752921</v>
      </c>
      <c r="R117" s="100">
        <f>N117*VLOOKUP($B117&amp;$D117&amp;R$137,'App6 - Stage-Route-Surv Data'!$S$5:$T$40,2,FALSE)</f>
        <v>2587.4263745897233</v>
      </c>
      <c r="S117" s="100">
        <f>O117*VLOOKUP($B117&amp;$D117&amp;S$137,'App6 - Stage-Route-Surv Data'!$S$5:$T$40,2,FALSE)</f>
        <v>4475.4829383878268</v>
      </c>
      <c r="T117" s="100">
        <f>P117*VLOOKUP($B117&amp;$D117&amp;T$137,'App6 - Stage-Route-Surv Data'!$S$5:$T$40,2,FALSE)</f>
        <v>1703.1563606719888</v>
      </c>
      <c r="U117" s="97">
        <f>SUM(Q117:T117)</f>
        <v>15590.52474882483</v>
      </c>
      <c r="V117" s="471">
        <f>U117/H117</f>
        <v>0.92508899002105438</v>
      </c>
      <c r="W117" s="101">
        <f t="shared" si="24"/>
        <v>3461821.333333333</v>
      </c>
      <c r="X117" s="98">
        <f t="shared" si="25"/>
        <v>16853</v>
      </c>
      <c r="Y117" s="98">
        <f t="shared" si="26"/>
        <v>0</v>
      </c>
      <c r="Z117" s="98">
        <f>IF($C117="other",(1-$C$138)*X117,(1-(VLOOKUP($C117,'S3 - Screening Tool Metrics'!$C$3:$G$19,5,FALSE)/100))*X117)</f>
        <v>1853.8299999999997</v>
      </c>
      <c r="AA117" s="98">
        <f>IF($C117="other",$C$138*X117,(VLOOKUP($C117,'S3 - Screening Tool Metrics'!$C$3:$G$19,5,FALSE)/100)*X117)</f>
        <v>14999.17</v>
      </c>
      <c r="AB117" s="102">
        <f t="shared" si="27"/>
        <v>89</v>
      </c>
      <c r="AC117" s="370">
        <f>(1-AD117)*($I117/SUM($I117,$K117,$L117))</f>
        <v>6.6549531239756113E-2</v>
      </c>
      <c r="AD117" s="103">
        <f>AA117/$H117</f>
        <v>0.89</v>
      </c>
      <c r="AE117" s="103">
        <f>(1-AD117)*($K117/SUM($I117,$K117,$L117))</f>
        <v>3.42555562840097E-3</v>
      </c>
      <c r="AF117" s="103">
        <f>(1-AD117)*($L117/SUM($I117,$K117,$L117))</f>
        <v>4.0024913131842914E-2</v>
      </c>
      <c r="AG117" s="100">
        <f>(($H117*$AC117)*VLOOKUP($B117&amp;$AC$137&amp;AG$137,'App6 - Stage-Route-Surv Data'!$L$5:$N$52,3,FALSE))+(($H117*$AD117)*VLOOKUP($B117&amp;$AD$137&amp;AG$137,'App6 - Stage-Route-Surv Data'!$L$5:$N$52,3,FALSE))+(($H117*$AE117)*VLOOKUP($B117&amp;$AE$137&amp;AG$137,'App6 - Stage-Route-Surv Data'!$L$5:$N$52,3,FALSE))+(($H117*$AF117)*VLOOKUP($B117&amp;$AF$137&amp;AG$137,'App6 - Stage-Route-Surv Data'!$L$5:$N$52,3,FALSE))</f>
        <v>9657.8589568143398</v>
      </c>
      <c r="AH117" s="100">
        <f>(($H117*$AC117)*VLOOKUP($B117&amp;$AC$137&amp;AH$137,'App6 - Stage-Route-Surv Data'!$L$5:$N$52,3,FALSE))+(($H117*$AD117)*VLOOKUP($B117&amp;$AD$137&amp;AH$137,'App6 - Stage-Route-Surv Data'!$L$5:$N$52,3,FALSE))+(($H117*$AE117)*VLOOKUP($B117&amp;$AE$137&amp;AH$137,'App6 - Stage-Route-Surv Data'!$L$5:$N$52,3,FALSE))+(($H117*$AF117)*VLOOKUP($B117&amp;$AF$137&amp;AH$137,'App6 - Stage-Route-Surv Data'!$L$5:$N$52,3,FALSE))</f>
        <v>4559.5980459799057</v>
      </c>
      <c r="AI117" s="100">
        <f>(($H117*$AC117)*VLOOKUP($B117&amp;$AC$137&amp;AI$137,'App6 - Stage-Route-Surv Data'!$L$5:$N$52,3,FALSE))+(($H117*$AD117)*VLOOKUP($B117&amp;$AD$137&amp;AI$137,'App6 - Stage-Route-Surv Data'!$L$5:$N$52,3,FALSE))+(($H117*$AE117)*VLOOKUP($B117&amp;$AE$137&amp;AI$137,'App6 - Stage-Route-Surv Data'!$L$5:$N$52,3,FALSE))+(($H117*$AF117)*VLOOKUP($B117&amp;$AF$137&amp;AI$137,'App6 - Stage-Route-Surv Data'!$L$5:$N$52,3,FALSE))</f>
        <v>1738.1360997499135</v>
      </c>
      <c r="AJ117" s="100">
        <f>(($H117*$AC117)*VLOOKUP($B117&amp;$AC$137&amp;AJ$137,'App6 - Stage-Route-Surv Data'!$L$5:$N$52,3,FALSE))+(($H117*$AD117)*VLOOKUP($B117&amp;$AD$137&amp;AJ$137,'App6 - Stage-Route-Surv Data'!$L$5:$N$52,3,FALSE))+(($H117*$AE117)*VLOOKUP($B117&amp;$AE$137&amp;AJ$137,'App6 - Stage-Route-Surv Data'!$L$5:$N$52,3,FALSE))+(($H117*$AF117)*VLOOKUP($B117&amp;$AF$137&amp;AJ$137,'App6 - Stage-Route-Surv Data'!$L$5:$N$52,3,FALSE))</f>
        <v>897.40689745583495</v>
      </c>
      <c r="AK117" s="100">
        <f>AG117*VLOOKUP($B117&amp;$D117&amp;AK$137,'App6 - Stage-Route-Surv Data'!$S$5:$T$40,2,FALSE)</f>
        <v>9754.4375463824836</v>
      </c>
      <c r="AL117" s="100">
        <f>AH117*VLOOKUP($B117&amp;$D117&amp;AL$137,'App6 - Stage-Route-Surv Data'!$S$5:$T$40,2,FALSE)</f>
        <v>4559.5980459799057</v>
      </c>
      <c r="AM117" s="100">
        <f>AI117*VLOOKUP($B117&amp;$D117&amp;AM$137,'App6 - Stage-Route-Surv Data'!$S$5:$T$40,2,FALSE)</f>
        <v>1720.7547387524144</v>
      </c>
      <c r="AN117" s="100">
        <f>AJ117*VLOOKUP($B117&amp;$D117&amp;AN$137,'App6 - Stage-Route-Surv Data'!$S$5:$T$40,2,FALSE)</f>
        <v>511.52193154982587</v>
      </c>
      <c r="AO117" s="100">
        <f>SUM(AK117:AN117)</f>
        <v>16546.312262664629</v>
      </c>
      <c r="AP117" s="469">
        <f>AO117/H117</f>
        <v>0.98180218730579893</v>
      </c>
      <c r="AQ117" s="104">
        <f>AO117-U117</f>
        <v>955.78751383979943</v>
      </c>
      <c r="AR117" s="105">
        <f>(AO117/$H117)-($U117/$H117)</f>
        <v>5.6713197284744554E-2</v>
      </c>
    </row>
    <row r="118" spans="2:44" ht="17" hidden="1" thickBot="1" x14ac:dyDescent="0.25">
      <c r="B118" s="42" t="s">
        <v>10</v>
      </c>
      <c r="C118" s="55"/>
      <c r="D118" s="35"/>
      <c r="E118" s="36"/>
      <c r="F118" s="37"/>
      <c r="G118" s="360"/>
      <c r="H118" s="38"/>
      <c r="I118" s="40"/>
      <c r="J118" s="39"/>
      <c r="K118" s="39"/>
      <c r="L118" s="39"/>
      <c r="M118" s="39"/>
      <c r="N118" s="39"/>
      <c r="O118" s="39"/>
      <c r="P118" s="39"/>
      <c r="Q118" s="39"/>
      <c r="R118" s="39"/>
      <c r="S118" s="39"/>
      <c r="T118" s="39"/>
      <c r="U118" s="41"/>
      <c r="V118" s="470"/>
      <c r="W118" s="40"/>
      <c r="X118" s="39"/>
      <c r="Y118" s="39"/>
      <c r="Z118" s="39"/>
      <c r="AA118" s="39"/>
      <c r="AB118" s="41"/>
      <c r="AC118" s="39"/>
      <c r="AD118" s="39"/>
      <c r="AE118" s="39"/>
      <c r="AF118" s="39"/>
      <c r="AG118" s="39"/>
      <c r="AH118" s="39"/>
      <c r="AI118" s="39"/>
      <c r="AJ118" s="39"/>
      <c r="AK118" s="39"/>
      <c r="AL118" s="39"/>
      <c r="AM118" s="39"/>
      <c r="AN118" s="39"/>
      <c r="AO118" s="39"/>
      <c r="AP118" s="470"/>
      <c r="AQ118" s="39"/>
      <c r="AR118" s="41"/>
    </row>
    <row r="119" spans="2:44" hidden="1" x14ac:dyDescent="0.2">
      <c r="B119" s="29" t="s">
        <v>10</v>
      </c>
      <c r="C119" s="484" t="s">
        <v>172</v>
      </c>
      <c r="D119" s="2" t="s">
        <v>194</v>
      </c>
      <c r="E119" s="16">
        <f>VLOOKUP($B119&amp;"_"&amp;$D119,'App5 - CRUK Inci Rates'!C:H,6,FALSE)</f>
        <v>75.7</v>
      </c>
      <c r="F119" s="17">
        <f>VLOOKUP($B119&amp;"_"&amp;$D119,'App5 - CRUK Inci Rates'!C:H,3,FALSE)</f>
        <v>0</v>
      </c>
      <c r="G119" s="359">
        <f>VLOOKUP($B119&amp;"_"&amp;$D119,'App5 - CRUK Inci Rates'!C:J,8,FALSE)</f>
        <v>2293472.6666666665</v>
      </c>
      <c r="H119" s="19">
        <f>VLOOKUP($B119&amp;"_"&amp;$D119,'App5 - CRUK Inci Rates'!C:K,9,FALSE)</f>
        <v>1737</v>
      </c>
      <c r="I119" s="93"/>
      <c r="J119" s="80"/>
      <c r="K119" s="80"/>
      <c r="L119" s="80"/>
      <c r="M119" s="80"/>
      <c r="N119" s="80"/>
      <c r="O119" s="80"/>
      <c r="P119" s="80"/>
      <c r="Q119" s="80"/>
      <c r="R119" s="80"/>
      <c r="S119" s="80"/>
      <c r="T119" s="80"/>
      <c r="U119" s="94"/>
      <c r="V119" s="468"/>
      <c r="W119" s="18">
        <f t="shared" ref="W119:W124" si="28">$G119*W$134</f>
        <v>2293472.6666666665</v>
      </c>
      <c r="X119" s="14">
        <f t="shared" ref="X119:X124" si="29">H119</f>
        <v>1737</v>
      </c>
      <c r="Y119" s="14">
        <f t="shared" ref="Y119:Y124" si="30">$H119-X119</f>
        <v>0</v>
      </c>
      <c r="Z119" s="14">
        <f>IF($C119="other",(1-$C$138)*X119,(1-(VLOOKUP($C119,'S3 - Screening Tool Metrics'!$C$3:$G$19,5,FALSE)/100))*X119)</f>
        <v>1181.1599999999999</v>
      </c>
      <c r="AA119" s="14">
        <f>IF($C119="other",$C$138*X119,(VLOOKUP($C119,'S3 - Screening Tool Metrics'!$C$3:$G$19,5,FALSE)/100)*X119)</f>
        <v>555.84</v>
      </c>
      <c r="AB119" s="19">
        <f t="shared" ref="AB119:AB124" si="31">$AA119/$H119*100</f>
        <v>32</v>
      </c>
      <c r="AC119" s="93"/>
      <c r="AD119" s="80"/>
      <c r="AE119" s="80"/>
      <c r="AF119" s="80"/>
      <c r="AG119" s="80"/>
      <c r="AH119" s="80"/>
      <c r="AI119" s="80"/>
      <c r="AJ119" s="80"/>
      <c r="AK119" s="80"/>
      <c r="AL119" s="80"/>
      <c r="AM119" s="80"/>
      <c r="AN119" s="80"/>
      <c r="AO119" s="80"/>
      <c r="AP119" s="468"/>
      <c r="AQ119" s="80"/>
      <c r="AR119" s="94"/>
    </row>
    <row r="120" spans="2:44" hidden="1" x14ac:dyDescent="0.2">
      <c r="B120" s="29" t="s">
        <v>10</v>
      </c>
      <c r="C120" s="46" t="str">
        <f>C119</f>
        <v>PSA_3ng/mL cut-off</v>
      </c>
      <c r="D120" s="2" t="s">
        <v>195</v>
      </c>
      <c r="E120" s="16">
        <f>VLOOKUP($B120&amp;"_"&amp;$D120,'App5 - CRUK Inci Rates'!C:H,6,FALSE)</f>
        <v>201.8</v>
      </c>
      <c r="F120" s="17">
        <f>VLOOKUP($B120&amp;"_"&amp;$D120,'App5 - CRUK Inci Rates'!C:H,3,FALSE)</f>
        <v>0</v>
      </c>
      <c r="G120" s="359">
        <f>VLOOKUP($B120&amp;"_"&amp;$D120,'App5 - CRUK Inci Rates'!C:J,8,FALSE)</f>
        <v>2061918.6666666667</v>
      </c>
      <c r="H120" s="19">
        <f>VLOOKUP($B120&amp;"_"&amp;$D120,'App5 - CRUK Inci Rates'!C:K,9,FALSE)</f>
        <v>4160</v>
      </c>
      <c r="I120" s="93"/>
      <c r="J120" s="80"/>
      <c r="K120" s="80"/>
      <c r="L120" s="80"/>
      <c r="M120" s="80"/>
      <c r="N120" s="80"/>
      <c r="O120" s="80"/>
      <c r="P120" s="80"/>
      <c r="Q120" s="80"/>
      <c r="R120" s="80"/>
      <c r="S120" s="80"/>
      <c r="T120" s="80"/>
      <c r="U120" s="94"/>
      <c r="V120" s="468"/>
      <c r="W120" s="18">
        <f t="shared" si="28"/>
        <v>2061918.6666666667</v>
      </c>
      <c r="X120" s="14">
        <f t="shared" si="29"/>
        <v>4160</v>
      </c>
      <c r="Y120" s="14">
        <f t="shared" si="30"/>
        <v>0</v>
      </c>
      <c r="Z120" s="14">
        <f>IF($C120="other",(1-$C$138)*X120,(1-(VLOOKUP($C120,'S3 - Screening Tool Metrics'!$C$3:$G$19,5,FALSE)/100))*X120)</f>
        <v>2828.7999999999997</v>
      </c>
      <c r="AA120" s="14">
        <f>IF($C120="other",$C$138*X120,(VLOOKUP($C120,'S3 - Screening Tool Metrics'!$C$3:$G$19,5,FALSE)/100)*X120)</f>
        <v>1331.2</v>
      </c>
      <c r="AB120" s="19">
        <f t="shared" si="31"/>
        <v>32</v>
      </c>
      <c r="AC120" s="93"/>
      <c r="AD120" s="80"/>
      <c r="AE120" s="80"/>
      <c r="AF120" s="80"/>
      <c r="AG120" s="80"/>
      <c r="AH120" s="80"/>
      <c r="AI120" s="80"/>
      <c r="AJ120" s="80"/>
      <c r="AK120" s="80"/>
      <c r="AL120" s="80"/>
      <c r="AM120" s="80"/>
      <c r="AN120" s="80"/>
      <c r="AO120" s="80"/>
      <c r="AP120" s="468"/>
      <c r="AQ120" s="80"/>
      <c r="AR120" s="94"/>
    </row>
    <row r="121" spans="2:44" ht="17" hidden="1" thickBot="1" x14ac:dyDescent="0.25">
      <c r="B121" s="106" t="s">
        <v>10</v>
      </c>
      <c r="C121" s="433" t="str">
        <f>C120</f>
        <v>PSA_3ng/mL cut-off</v>
      </c>
      <c r="D121" s="82" t="s">
        <v>230</v>
      </c>
      <c r="E121" s="361">
        <f>VLOOKUP($B121&amp;"_"&amp;$D121,'App5 - CRUK Inci Rates'!C:H,6,FALSE)</f>
        <v>135.39541108208113</v>
      </c>
      <c r="F121" s="362">
        <f>VLOOKUP($B121&amp;"_"&amp;$D121,'App5 - CRUK Inci Rates'!C:H,3,FALSE)</f>
        <v>0</v>
      </c>
      <c r="G121" s="363">
        <f>VLOOKUP($B121&amp;"_"&amp;$D121,'App5 - CRUK Inci Rates'!C:J,8,FALSE)</f>
        <v>4355391.333333333</v>
      </c>
      <c r="H121" s="88">
        <f>VLOOKUP($B121&amp;"_"&amp;$D121,'App5 - CRUK Inci Rates'!C:K,9,FALSE)</f>
        <v>5897</v>
      </c>
      <c r="I121" s="367">
        <f>VLOOKUP($B121&amp;I$137&amp;$D121,'App6 - Stage-Route-Surv Data'!$E$5:$G$76,3,FALSE)</f>
        <v>0.59247594050743657</v>
      </c>
      <c r="J121" s="85">
        <f>VLOOKUP($B121&amp;J$137&amp;$D121,'App6 - Stage-Route-Surv Data'!$E$5:$G$76,3,FALSE)</f>
        <v>0</v>
      </c>
      <c r="K121" s="85">
        <f>VLOOKUP($B121&amp;K$137&amp;$D121,'App6 - Stage-Route-Surv Data'!$E$5:$G$76,3,FALSE)</f>
        <v>2.5721784776902887E-2</v>
      </c>
      <c r="L121" s="85">
        <f>VLOOKUP($B121&amp;L$137&amp;$D121,'App6 - Stage-Route-Surv Data'!$E$5:$G$76,3,FALSE)</f>
        <v>0.38180227471566053</v>
      </c>
      <c r="M121" s="86">
        <f>(($H121*$I121)*VLOOKUP($B121&amp;$I$137&amp;M$137,'App6 - Stage-Route-Surv Data'!$L$5:$N$52,3,FALSE))+(($H121*$J121)*VLOOKUP($B121&amp;$J$137&amp;M$137,'App6 - Stage-Route-Surv Data'!$L$5:$N$52,3,FALSE))+(($H121*$K121)*VLOOKUP($B121&amp;$K$137&amp;M$137,'App6 - Stage-Route-Surv Data'!$L$5:$N$52,3,FALSE))+(($H121*$L121)*VLOOKUP($B121&amp;$L$137&amp;M$137,'App6 - Stage-Route-Surv Data'!$L$5:$N$52,3,FALSE))</f>
        <v>2384.5650832956467</v>
      </c>
      <c r="N121" s="86">
        <f>(($H121*$I121)*VLOOKUP($B121&amp;$I$137&amp;N$137,'App6 - Stage-Route-Surv Data'!$L$5:$N$52,3,FALSE))+(($H121*$J121)*VLOOKUP($B121&amp;$J$137&amp;N$137,'App6 - Stage-Route-Surv Data'!$L$5:$N$52,3,FALSE))+(($H121*$K121)*VLOOKUP($B121&amp;$K$137&amp;N$137,'App6 - Stage-Route-Surv Data'!$L$5:$N$52,3,FALSE))+(($H121*$L121)*VLOOKUP($B121&amp;$L$137&amp;N$137,'App6 - Stage-Route-Surv Data'!$L$5:$N$52,3,FALSE))</f>
        <v>910.55055948256927</v>
      </c>
      <c r="O121" s="86">
        <f>(($H121*$I121)*VLOOKUP($B121&amp;$I$137&amp;O$137,'App6 - Stage-Route-Surv Data'!$L$5:$N$52,3,FALSE))+(($H121*$J121)*VLOOKUP($B121&amp;$J$137&amp;O$137,'App6 - Stage-Route-Surv Data'!$L$5:$N$52,3,FALSE))+(($H121*$K121)*VLOOKUP($B121&amp;$K$137&amp;O$137,'App6 - Stage-Route-Surv Data'!$L$5:$N$52,3,FALSE))+(($H121*$L121)*VLOOKUP($B121&amp;$L$137&amp;O$137,'App6 - Stage-Route-Surv Data'!$L$5:$N$52,3,FALSE))</f>
        <v>1579.7620982099547</v>
      </c>
      <c r="P121" s="86">
        <f>(($H121*$I121)*VLOOKUP($B121&amp;$I$137&amp;P$137,'App6 - Stage-Route-Surv Data'!$L$5:$N$52,3,FALSE))+(($H121*$J121)*VLOOKUP($B121&amp;$J$137&amp;P$137,'App6 - Stage-Route-Surv Data'!$L$5:$N$52,3,FALSE))+(($H121*$K121)*VLOOKUP($B121&amp;$K$137&amp;P$137,'App6 - Stage-Route-Surv Data'!$L$5:$N$52,3,FALSE))+(($H121*$L121)*VLOOKUP($B121&amp;$L$137&amp;P$137,'App6 - Stage-Route-Surv Data'!$L$5:$N$52,3,FALSE))</f>
        <v>1022.1222590118294</v>
      </c>
      <c r="Q121" s="86">
        <f>M121*VLOOKUP($B121&amp;$D121&amp;Q$137,'App6 - Stage-Route-Surv Data'!$S$5:$T$40,2,FALSE)</f>
        <v>2384.5650832956467</v>
      </c>
      <c r="R121" s="86">
        <f>N121*VLOOKUP($B121&amp;$D121&amp;R$137,'App6 - Stage-Route-Surv Data'!$S$5:$T$40,2,FALSE)</f>
        <v>910.55055948256927</v>
      </c>
      <c r="S121" s="86">
        <f>O121*VLOOKUP($B121&amp;$D121&amp;S$137,'App6 - Stage-Route-Surv Data'!$S$5:$T$40,2,FALSE)</f>
        <v>1548.1668562457555</v>
      </c>
      <c r="T121" s="86">
        <f>P121*VLOOKUP($B121&amp;$D121&amp;T$137,'App6 - Stage-Route-Surv Data'!$S$5:$T$40,2,FALSE)</f>
        <v>541.72479727626967</v>
      </c>
      <c r="U121" s="83">
        <f>SUM(Q121:T121)</f>
        <v>5385.0072963002413</v>
      </c>
      <c r="V121" s="471">
        <f>U121/H121</f>
        <v>0.91317742857389206</v>
      </c>
      <c r="W121" s="87">
        <f t="shared" si="28"/>
        <v>4355391.333333333</v>
      </c>
      <c r="X121" s="84">
        <f t="shared" si="29"/>
        <v>5897</v>
      </c>
      <c r="Y121" s="84">
        <f t="shared" si="30"/>
        <v>0</v>
      </c>
      <c r="Z121" s="84">
        <f>IF($C121="other",(1-$C$138)*X121,(1-(VLOOKUP($C121,'S3 - Screening Tool Metrics'!$C$3:$G$19,5,FALSE)/100))*X121)</f>
        <v>4009.9599999999996</v>
      </c>
      <c r="AA121" s="84">
        <f>IF($C121="other",$C$138*X121,(VLOOKUP($C121,'S3 - Screening Tool Metrics'!$C$3:$G$19,5,FALSE)/100)*X121)</f>
        <v>1887.04</v>
      </c>
      <c r="AB121" s="88">
        <f t="shared" si="31"/>
        <v>32</v>
      </c>
      <c r="AC121" s="369">
        <f>(1-AD121)*($I121/SUM($I121,$K121,$L121))</f>
        <v>0.40288363954505685</v>
      </c>
      <c r="AD121" s="89">
        <f>AA121/$H121</f>
        <v>0.32</v>
      </c>
      <c r="AE121" s="89">
        <f>(1-AD121)*($K121/SUM($I121,$K121,$L121))</f>
        <v>1.7490813648293961E-2</v>
      </c>
      <c r="AF121" s="89">
        <f>(1-AD121)*($L121/SUM($I121,$K121,$L121))</f>
        <v>0.25962554680664912</v>
      </c>
      <c r="AG121" s="86">
        <f>(($H121*$AC121)*VLOOKUP($B121&amp;$AC$137&amp;AG$137,'App6 - Stage-Route-Surv Data'!$L$5:$N$52,3,FALSE))+(($H121*$AD121)*VLOOKUP($B121&amp;$AD$137&amp;AG$137,'App6 - Stage-Route-Surv Data'!$L$5:$N$52,3,FALSE))+(($H121*$AE121)*VLOOKUP($B121&amp;$AE$137&amp;AG$137,'App6 - Stage-Route-Surv Data'!$L$5:$N$52,3,FALSE))+(($H121*$AF121)*VLOOKUP($B121&amp;$AF$137&amp;AG$137,'App6 - Stage-Route-Surv Data'!$L$5:$N$52,3,FALSE))</f>
        <v>2743.0468981504728</v>
      </c>
      <c r="AH121" s="86">
        <f>(($H121*$AC121)*VLOOKUP($B121&amp;$AC$137&amp;AH$137,'App6 - Stage-Route-Surv Data'!$L$5:$N$52,3,FALSE))+(($H121*$AD121)*VLOOKUP($B121&amp;$AD$137&amp;AH$137,'App6 - Stage-Route-Surv Data'!$L$5:$N$52,3,FALSE))+(($H121*$AE121)*VLOOKUP($B121&amp;$AE$137&amp;AH$137,'App6 - Stage-Route-Surv Data'!$L$5:$N$52,3,FALSE))+(($H121*$AF121)*VLOOKUP($B121&amp;$AF$137&amp;AH$137,'App6 - Stage-Route-Surv Data'!$L$5:$N$52,3,FALSE))</f>
        <v>1157.0081685468408</v>
      </c>
      <c r="AI121" s="86">
        <f>(($H121*$AC121)*VLOOKUP($B121&amp;$AC$137&amp;AI$137,'App6 - Stage-Route-Surv Data'!$L$5:$N$52,3,FALSE))+(($H121*$AD121)*VLOOKUP($B121&amp;$AD$137&amp;AI$137,'App6 - Stage-Route-Surv Data'!$L$5:$N$52,3,FALSE))+(($H121*$AE121)*VLOOKUP($B121&amp;$AE$137&amp;AI$137,'App6 - Stage-Route-Surv Data'!$L$5:$N$52,3,FALSE))+(($H121*$AF121)*VLOOKUP($B121&amp;$AF$137&amp;AI$137,'App6 - Stage-Route-Surv Data'!$L$5:$N$52,3,FALSE))</f>
        <v>1230.3503893371958</v>
      </c>
      <c r="AJ121" s="86">
        <f>(($H121*$AC121)*VLOOKUP($B121&amp;$AC$137&amp;AJ$137,'App6 - Stage-Route-Surv Data'!$L$5:$N$52,3,FALSE))+(($H121*$AD121)*VLOOKUP($B121&amp;$AD$137&amp;AJ$137,'App6 - Stage-Route-Surv Data'!$L$5:$N$52,3,FALSE))+(($H121*$AE121)*VLOOKUP($B121&amp;$AE$137&amp;AJ$137,'App6 - Stage-Route-Surv Data'!$L$5:$N$52,3,FALSE))+(($H121*$AF121)*VLOOKUP($B121&amp;$AF$137&amp;AJ$137,'App6 - Stage-Route-Surv Data'!$L$5:$N$52,3,FALSE))</f>
        <v>766.59454396548938</v>
      </c>
      <c r="AK121" s="86">
        <f>AG121*VLOOKUP($B121&amp;$D121&amp;AK$137,'App6 - Stage-Route-Surv Data'!$S$5:$T$40,2,FALSE)</f>
        <v>2743.0468981504728</v>
      </c>
      <c r="AL121" s="86">
        <f>AH121*VLOOKUP($B121&amp;$D121&amp;AL$137,'App6 - Stage-Route-Surv Data'!$S$5:$T$40,2,FALSE)</f>
        <v>1157.0081685468408</v>
      </c>
      <c r="AM121" s="86">
        <f>AI121*VLOOKUP($B121&amp;$D121&amp;AM$137,'App6 - Stage-Route-Surv Data'!$S$5:$T$40,2,FALSE)</f>
        <v>1205.7433815504519</v>
      </c>
      <c r="AN121" s="86">
        <f>AJ121*VLOOKUP($B121&amp;$D121&amp;AN$137,'App6 - Stage-Route-Surv Data'!$S$5:$T$40,2,FALSE)</f>
        <v>406.29510830170938</v>
      </c>
      <c r="AO121" s="86">
        <f>SUM(AK121:AN121)</f>
        <v>5512.0935565494756</v>
      </c>
      <c r="AP121" s="469">
        <f>AO121/H121</f>
        <v>0.93472843082066737</v>
      </c>
      <c r="AQ121" s="90">
        <f>AO121-U121</f>
        <v>127.08626024923433</v>
      </c>
      <c r="AR121" s="95">
        <f>(AO121/$H121)-($U121/$H121)</f>
        <v>2.1551002246775308E-2</v>
      </c>
    </row>
    <row r="122" spans="2:44" hidden="1" x14ac:dyDescent="0.2">
      <c r="B122" s="29" t="s">
        <v>10</v>
      </c>
      <c r="C122" s="46" t="str">
        <f>C121</f>
        <v>PSA_3ng/mL cut-off</v>
      </c>
      <c r="D122" s="2" t="s">
        <v>196</v>
      </c>
      <c r="E122" s="427">
        <f>VLOOKUP($B122&amp;"_"&amp;$D122,'App5 - CRUK Inci Rates'!C:H,6,FALSE)</f>
        <v>356.1</v>
      </c>
      <c r="F122" s="17">
        <f>VLOOKUP($B122&amp;"_"&amp;$D122,'App5 - CRUK Inci Rates'!C:H,3,FALSE)</f>
        <v>0</v>
      </c>
      <c r="G122" s="359">
        <f>VLOOKUP($B122&amp;"_"&amp;$D122,'App5 - CRUK Inci Rates'!C:J,8,FALSE)</f>
        <v>1764828</v>
      </c>
      <c r="H122" s="19">
        <f>VLOOKUP($B122&amp;"_"&amp;$D122,'App5 - CRUK Inci Rates'!C:K,9,FALSE)</f>
        <v>6285</v>
      </c>
      <c r="I122" s="93"/>
      <c r="J122" s="80"/>
      <c r="K122" s="80"/>
      <c r="L122" s="80"/>
      <c r="M122" s="80"/>
      <c r="N122" s="80"/>
      <c r="O122" s="80"/>
      <c r="P122" s="80"/>
      <c r="Q122" s="80"/>
      <c r="R122" s="80"/>
      <c r="S122" s="80"/>
      <c r="T122" s="80"/>
      <c r="U122" s="94"/>
      <c r="V122" s="468"/>
      <c r="W122" s="18">
        <f t="shared" si="28"/>
        <v>1764828</v>
      </c>
      <c r="X122" s="14">
        <f t="shared" si="29"/>
        <v>6285</v>
      </c>
      <c r="Y122" s="14">
        <f t="shared" si="30"/>
        <v>0</v>
      </c>
      <c r="Z122" s="14">
        <f>IF($C122="other",(1-$C$138)*X122,(1-(VLOOKUP($C122,'S3 - Screening Tool Metrics'!$C$3:$G$19,5,FALSE)/100))*X122)</f>
        <v>4273.7999999999993</v>
      </c>
      <c r="AA122" s="14">
        <f>IF($C122="other",$C$138*X122,(VLOOKUP($C122,'S3 - Screening Tool Metrics'!$C$3:$G$19,5,FALSE)/100)*X122)</f>
        <v>2011.2</v>
      </c>
      <c r="AB122" s="19">
        <f t="shared" si="31"/>
        <v>32</v>
      </c>
      <c r="AC122" s="93"/>
      <c r="AD122" s="80"/>
      <c r="AE122" s="80"/>
      <c r="AF122" s="80"/>
      <c r="AG122" s="80"/>
      <c r="AH122" s="80"/>
      <c r="AI122" s="80"/>
      <c r="AJ122" s="80"/>
      <c r="AK122" s="80"/>
      <c r="AL122" s="80"/>
      <c r="AM122" s="80"/>
      <c r="AN122" s="80"/>
      <c r="AO122" s="80"/>
      <c r="AP122" s="468"/>
      <c r="AQ122" s="80"/>
      <c r="AR122" s="94"/>
    </row>
    <row r="123" spans="2:44" hidden="1" x14ac:dyDescent="0.2">
      <c r="B123" s="29" t="s">
        <v>10</v>
      </c>
      <c r="C123" s="46" t="str">
        <f>C122</f>
        <v>PSA_3ng/mL cut-off</v>
      </c>
      <c r="D123" s="143" t="s">
        <v>197</v>
      </c>
      <c r="E123" s="428">
        <f>VLOOKUP($B123&amp;"_"&amp;$D123,'App5 - CRUK Inci Rates'!C:H,6,FALSE)</f>
        <v>622.70000000000005</v>
      </c>
      <c r="F123" s="17">
        <f>VLOOKUP($B123&amp;"_"&amp;$D123,'App5 - CRUK Inci Rates'!C:H,3,FALSE)</f>
        <v>0</v>
      </c>
      <c r="G123" s="359">
        <f>VLOOKUP($B123&amp;"_"&amp;$D123,'App5 - CRUK Inci Rates'!C:J,8,FALSE)</f>
        <v>1696993.3333333333</v>
      </c>
      <c r="H123" s="19">
        <f>VLOOKUP($B123&amp;"_"&amp;$D123,'App5 - CRUK Inci Rates'!C:K,9,FALSE)</f>
        <v>10568</v>
      </c>
      <c r="I123" s="93"/>
      <c r="J123" s="80"/>
      <c r="K123" s="80"/>
      <c r="L123" s="80"/>
      <c r="M123" s="80"/>
      <c r="N123" s="80"/>
      <c r="O123" s="80"/>
      <c r="P123" s="80"/>
      <c r="Q123" s="80"/>
      <c r="R123" s="80"/>
      <c r="S123" s="80"/>
      <c r="T123" s="80"/>
      <c r="U123" s="94"/>
      <c r="V123" s="468"/>
      <c r="W123" s="18">
        <f t="shared" si="28"/>
        <v>1696993.3333333333</v>
      </c>
      <c r="X123" s="14">
        <f t="shared" si="29"/>
        <v>10568</v>
      </c>
      <c r="Y123" s="14">
        <f t="shared" si="30"/>
        <v>0</v>
      </c>
      <c r="Z123" s="14">
        <f>IF($C123="other",(1-$C$138)*X123,(1-(VLOOKUP($C123,'S3 - Screening Tool Metrics'!$C$3:$G$19,5,FALSE)/100))*X123)</f>
        <v>7186.24</v>
      </c>
      <c r="AA123" s="14">
        <f>IF($C123="other",$C$138*X123,(VLOOKUP($C123,'S3 - Screening Tool Metrics'!$C$3:$G$19,5,FALSE)/100)*X123)</f>
        <v>3381.76</v>
      </c>
      <c r="AB123" s="19">
        <f t="shared" si="31"/>
        <v>32</v>
      </c>
      <c r="AC123" s="93"/>
      <c r="AD123" s="80"/>
      <c r="AE123" s="80"/>
      <c r="AF123" s="80"/>
      <c r="AG123" s="80"/>
      <c r="AH123" s="80"/>
      <c r="AI123" s="80"/>
      <c r="AJ123" s="80"/>
      <c r="AK123" s="80"/>
      <c r="AL123" s="80"/>
      <c r="AM123" s="80"/>
      <c r="AN123" s="80"/>
      <c r="AO123" s="80"/>
      <c r="AP123" s="468"/>
      <c r="AQ123" s="80"/>
      <c r="AR123" s="94"/>
    </row>
    <row r="124" spans="2:44" ht="17" hidden="1" thickBot="1" x14ac:dyDescent="0.25">
      <c r="B124" s="107" t="s">
        <v>10</v>
      </c>
      <c r="C124" s="434" t="str">
        <f>C123</f>
        <v>PSA_3ng/mL cut-off</v>
      </c>
      <c r="D124" s="96" t="s">
        <v>239</v>
      </c>
      <c r="E124" s="20">
        <f>VLOOKUP($B124&amp;"_"&amp;$D124,'App5 - CRUK Inci Rates'!C:H,6,FALSE)</f>
        <v>486.82466185429951</v>
      </c>
      <c r="F124" s="365">
        <f>VLOOKUP($B124&amp;"_"&amp;$D124,'App5 - CRUK Inci Rates'!C:H,3,FALSE)</f>
        <v>0</v>
      </c>
      <c r="G124" s="366">
        <f>VLOOKUP($B124&amp;"_"&amp;$D124,'App5 - CRUK Inci Rates'!C:J,8,FALSE)</f>
        <v>3461821.333333333</v>
      </c>
      <c r="H124" s="102">
        <f>VLOOKUP($B124&amp;"_"&amp;$D124,'App5 - CRUK Inci Rates'!C:K,9,FALSE)</f>
        <v>16853</v>
      </c>
      <c r="I124" s="368">
        <f>VLOOKUP($B124&amp;I$137&amp;$D124,'App6 - Stage-Route-Surv Data'!$E$5:$G$76,3,FALSE)</f>
        <v>0.6049957385432374</v>
      </c>
      <c r="J124" s="99">
        <f>VLOOKUP($B124&amp;J$137&amp;$D124,'App6 - Stage-Route-Surv Data'!$E$5:$G$76,3,FALSE)</f>
        <v>0</v>
      </c>
      <c r="K124" s="99">
        <f>VLOOKUP($B124&amp;K$137&amp;$D124,'App6 - Stage-Route-Surv Data'!$E$5:$G$76,3,FALSE)</f>
        <v>3.1141414803645184E-2</v>
      </c>
      <c r="L124" s="99">
        <f>VLOOKUP($B124&amp;L$137&amp;$D124,'App6 - Stage-Route-Surv Data'!$E$5:$G$76,3,FALSE)</f>
        <v>0.36386284665311741</v>
      </c>
      <c r="M124" s="100">
        <f>(($H124*$I124)*VLOOKUP($B124&amp;$I$137&amp;M$137,'App6 - Stage-Route-Surv Data'!$L$5:$N$52,3,FALSE))+(($H124*$J124)*VLOOKUP($B124&amp;$J$137&amp;M$137,'App6 - Stage-Route-Surv Data'!$L$5:$N$52,3,FALSE))+(($H124*$K124)*VLOOKUP($B124&amp;$K$137&amp;M$137,'App6 - Stage-Route-Surv Data'!$L$5:$N$52,3,FALSE))+(($H124*$L124)*VLOOKUP($B124&amp;$L$137&amp;M$137,'App6 - Stage-Route-Surv Data'!$L$5:$N$52,3,FALSE))</f>
        <v>6756.8901734408828</v>
      </c>
      <c r="N124" s="100">
        <f>(($H124*$I124)*VLOOKUP($B124&amp;$I$137&amp;N$137,'App6 - Stage-Route-Surv Data'!$L$5:$N$52,3,FALSE))+(($H124*$J124)*VLOOKUP($B124&amp;$J$137&amp;N$137,'App6 - Stage-Route-Surv Data'!$L$5:$N$52,3,FALSE))+(($H124*$K124)*VLOOKUP($B124&amp;$K$137&amp;N$137,'App6 - Stage-Route-Surv Data'!$L$5:$N$52,3,FALSE))+(($H124*$L124)*VLOOKUP($B124&amp;$L$137&amp;N$137,'App6 - Stage-Route-Surv Data'!$L$5:$N$52,3,FALSE))</f>
        <v>2587.4263745897233</v>
      </c>
      <c r="O124" s="100">
        <f>(($H124*$I124)*VLOOKUP($B124&amp;$I$137&amp;O$137,'App6 - Stage-Route-Surv Data'!$L$5:$N$52,3,FALSE))+(($H124*$J124)*VLOOKUP($B124&amp;$J$137&amp;O$137,'App6 - Stage-Route-Surv Data'!$L$5:$N$52,3,FALSE))+(($H124*$K124)*VLOOKUP($B124&amp;$K$137&amp;O$137,'App6 - Stage-Route-Surv Data'!$L$5:$N$52,3,FALSE))+(($H124*$L124)*VLOOKUP($B124&amp;$L$137&amp;O$137,'App6 - Stage-Route-Surv Data'!$L$5:$N$52,3,FALSE))</f>
        <v>4520.6898367553804</v>
      </c>
      <c r="P124" s="100">
        <f>(($H124*$I124)*VLOOKUP($B124&amp;$I$137&amp;P$137,'App6 - Stage-Route-Surv Data'!$L$5:$N$52,3,FALSE))+(($H124*$J124)*VLOOKUP($B124&amp;$J$137&amp;P$137,'App6 - Stage-Route-Surv Data'!$L$5:$N$52,3,FALSE))+(($H124*$K124)*VLOOKUP($B124&amp;$K$137&amp;P$137,'App6 - Stage-Route-Surv Data'!$L$5:$N$52,3,FALSE))+(($H124*$L124)*VLOOKUP($B124&amp;$L$137&amp;P$137,'App6 - Stage-Route-Surv Data'!$L$5:$N$52,3,FALSE))</f>
        <v>2987.9936152140158</v>
      </c>
      <c r="Q124" s="100">
        <f>M124*VLOOKUP($B124&amp;$D124&amp;Q$137,'App6 - Stage-Route-Surv Data'!$S$5:$T$40,2,FALSE)</f>
        <v>6824.4590751752921</v>
      </c>
      <c r="R124" s="100">
        <f>N124*VLOOKUP($B124&amp;$D124&amp;R$137,'App6 - Stage-Route-Surv Data'!$S$5:$T$40,2,FALSE)</f>
        <v>2587.4263745897233</v>
      </c>
      <c r="S124" s="100">
        <f>O124*VLOOKUP($B124&amp;$D124&amp;S$137,'App6 - Stage-Route-Surv Data'!$S$5:$T$40,2,FALSE)</f>
        <v>4475.4829383878268</v>
      </c>
      <c r="T124" s="100">
        <f>P124*VLOOKUP($B124&amp;$D124&amp;T$137,'App6 - Stage-Route-Surv Data'!$S$5:$T$40,2,FALSE)</f>
        <v>1703.1563606719888</v>
      </c>
      <c r="U124" s="97">
        <f>SUM(Q124:T124)</f>
        <v>15590.52474882483</v>
      </c>
      <c r="V124" s="471">
        <f>U124/H124</f>
        <v>0.92508899002105438</v>
      </c>
      <c r="W124" s="101">
        <f t="shared" si="28"/>
        <v>3461821.333333333</v>
      </c>
      <c r="X124" s="98">
        <f t="shared" si="29"/>
        <v>16853</v>
      </c>
      <c r="Y124" s="98">
        <f t="shared" si="30"/>
        <v>0</v>
      </c>
      <c r="Z124" s="98">
        <f>IF($C124="other",(1-$C$138)*X124,(1-(VLOOKUP($C124,'S3 - Screening Tool Metrics'!$C$3:$G$19,5,FALSE)/100))*X124)</f>
        <v>11460.039999999999</v>
      </c>
      <c r="AA124" s="98">
        <f>IF($C124="other",$C$138*X124,(VLOOKUP($C124,'S3 - Screening Tool Metrics'!$C$3:$G$19,5,FALSE)/100)*X124)</f>
        <v>5392.96</v>
      </c>
      <c r="AB124" s="102">
        <f t="shared" si="31"/>
        <v>32</v>
      </c>
      <c r="AC124" s="370">
        <f>(1-AD124)*($I124/SUM($I124,$K124,$L124))</f>
        <v>0.4113971022094014</v>
      </c>
      <c r="AD124" s="103">
        <f>AA124/$H124</f>
        <v>0.32</v>
      </c>
      <c r="AE124" s="103">
        <f>(1-AD124)*($K124/SUM($I124,$K124,$L124))</f>
        <v>2.1176162066478724E-2</v>
      </c>
      <c r="AF124" s="103">
        <f>(1-AD124)*($L124/SUM($I124,$K124,$L124))</f>
        <v>0.24742673572411983</v>
      </c>
      <c r="AG124" s="100">
        <f>(($H124*$AC124)*VLOOKUP($B124&amp;$AC$137&amp;AG$137,'App6 - Stage-Route-Surv Data'!$L$5:$N$52,3,FALSE))+(($H124*$AD124)*VLOOKUP($B124&amp;$AD$137&amp;AG$137,'App6 - Stage-Route-Surv Data'!$L$5:$N$52,3,FALSE))+(($H124*$AE124)*VLOOKUP($B124&amp;$AE$137&amp;AG$137,'App6 - Stage-Route-Surv Data'!$L$5:$N$52,3,FALSE))+(($H124*$AF124)*VLOOKUP($B124&amp;$AF$137&amp;AG$137,'App6 - Stage-Route-Surv Data'!$L$5:$N$52,3,FALSE))</f>
        <v>7799.9351292605506</v>
      </c>
      <c r="AH124" s="100">
        <f>(($H124*$AC124)*VLOOKUP($B124&amp;$AC$137&amp;AH$137,'App6 - Stage-Route-Surv Data'!$L$5:$N$52,3,FALSE))+(($H124*$AD124)*VLOOKUP($B124&amp;$AD$137&amp;AH$137,'App6 - Stage-Route-Surv Data'!$L$5:$N$52,3,FALSE))+(($H124*$AE124)*VLOOKUP($B124&amp;$AE$137&amp;AH$137,'App6 - Stage-Route-Surv Data'!$L$5:$N$52,3,FALSE))+(($H124*$AF124)*VLOOKUP($B124&amp;$AF$137&amp;AH$137,'App6 - Stage-Route-Surv Data'!$L$5:$N$52,3,FALSE))</f>
        <v>3296.5218069996758</v>
      </c>
      <c r="AI124" s="100">
        <f>(($H124*$AC124)*VLOOKUP($B124&amp;$AC$137&amp;AI$137,'App6 - Stage-Route-Surv Data'!$L$5:$N$52,3,FALSE))+(($H124*$AD124)*VLOOKUP($B124&amp;$AD$137&amp;AI$137,'App6 - Stage-Route-Surv Data'!$L$5:$N$52,3,FALSE))+(($H124*$AE124)*VLOOKUP($B124&amp;$AE$137&amp;AI$137,'App6 - Stage-Route-Surv Data'!$L$5:$N$52,3,FALSE))+(($H124*$AF124)*VLOOKUP($B124&amp;$AF$137&amp;AI$137,'App6 - Stage-Route-Surv Data'!$L$5:$N$52,3,FALSE))</f>
        <v>3520.2210773826273</v>
      </c>
      <c r="AJ124" s="100">
        <f>(($H124*$AC124)*VLOOKUP($B124&amp;$AC$137&amp;AJ$137,'App6 - Stage-Route-Surv Data'!$L$5:$N$52,3,FALSE))+(($H124*$AD124)*VLOOKUP($B124&amp;$AD$137&amp;AJ$137,'App6 - Stage-Route-Surv Data'!$L$5:$N$52,3,FALSE))+(($H124*$AE124)*VLOOKUP($B124&amp;$AE$137&amp;AJ$137,'App6 - Stage-Route-Surv Data'!$L$5:$N$52,3,FALSE))+(($H124*$AF124)*VLOOKUP($B124&amp;$AF$137&amp;AJ$137,'App6 - Stage-Route-Surv Data'!$L$5:$N$52,3,FALSE))</f>
        <v>2236.3219863571417</v>
      </c>
      <c r="AK124" s="100">
        <f>AG124*VLOOKUP($B124&amp;$D124&amp;AK$137,'App6 - Stage-Route-Surv Data'!$S$5:$T$40,2,FALSE)</f>
        <v>7877.9344805531564</v>
      </c>
      <c r="AL124" s="100">
        <f>AH124*VLOOKUP($B124&amp;$D124&amp;AL$137,'App6 - Stage-Route-Surv Data'!$S$5:$T$40,2,FALSE)</f>
        <v>3296.5218069996758</v>
      </c>
      <c r="AM124" s="100">
        <f>AI124*VLOOKUP($B124&amp;$D124&amp;AM$137,'App6 - Stage-Route-Surv Data'!$S$5:$T$40,2,FALSE)</f>
        <v>3485.0188666088011</v>
      </c>
      <c r="AN124" s="100">
        <f>AJ124*VLOOKUP($B124&amp;$D124&amp;AN$137,'App6 - Stage-Route-Surv Data'!$S$5:$T$40,2,FALSE)</f>
        <v>1274.7035322235706</v>
      </c>
      <c r="AO124" s="100">
        <f>SUM(AK124:AN124)</f>
        <v>15934.178686385203</v>
      </c>
      <c r="AP124" s="469">
        <f>AO124/H124</f>
        <v>0.94548025196613084</v>
      </c>
      <c r="AQ124" s="104">
        <f>AO124-U124</f>
        <v>343.65393756037338</v>
      </c>
      <c r="AR124" s="105">
        <f>(AO124/$H124)-($U124/$H124)</f>
        <v>2.0391261945076455E-2</v>
      </c>
    </row>
    <row r="125" spans="2:44" ht="17" hidden="1" thickBot="1" x14ac:dyDescent="0.25">
      <c r="B125" s="42" t="s">
        <v>11</v>
      </c>
      <c r="C125" s="55"/>
      <c r="D125" s="35"/>
      <c r="E125" s="36"/>
      <c r="F125" s="37"/>
      <c r="G125" s="360"/>
      <c r="H125" s="38"/>
      <c r="I125" s="40"/>
      <c r="J125" s="39"/>
      <c r="K125" s="39"/>
      <c r="L125" s="39"/>
      <c r="M125" s="39"/>
      <c r="N125" s="39"/>
      <c r="O125" s="39"/>
      <c r="P125" s="39"/>
      <c r="Q125" s="39"/>
      <c r="R125" s="39"/>
      <c r="S125" s="39"/>
      <c r="T125" s="39"/>
      <c r="U125" s="41"/>
      <c r="V125" s="466"/>
      <c r="W125" s="40"/>
      <c r="X125" s="39"/>
      <c r="Y125" s="39"/>
      <c r="Z125" s="39"/>
      <c r="AA125" s="39"/>
      <c r="AB125" s="41"/>
      <c r="AC125" s="39"/>
      <c r="AD125" s="39"/>
      <c r="AE125" s="39"/>
      <c r="AF125" s="39"/>
      <c r="AG125" s="39"/>
      <c r="AH125" s="39"/>
      <c r="AI125" s="39"/>
      <c r="AJ125" s="39"/>
      <c r="AK125" s="39"/>
      <c r="AL125" s="39"/>
      <c r="AM125" s="39"/>
      <c r="AN125" s="39"/>
      <c r="AO125" s="39"/>
      <c r="AP125" s="466"/>
      <c r="AQ125" s="39"/>
      <c r="AR125" s="41"/>
    </row>
    <row r="126" spans="2:44" hidden="1" x14ac:dyDescent="0.2">
      <c r="B126" s="28" t="s">
        <v>11</v>
      </c>
      <c r="C126" s="882" t="s">
        <v>143</v>
      </c>
      <c r="D126" s="113" t="s">
        <v>194</v>
      </c>
      <c r="E126" s="22">
        <f>VLOOKUP($B126&amp;"_"&amp;$D126,'App5 - CRUK Inci Rates'!C:H,6,FALSE)</f>
        <v>47.1</v>
      </c>
      <c r="F126" s="23">
        <f>VLOOKUP($B126&amp;"_"&amp;$D126,'App5 - CRUK Inci Rates'!C:H,3,FALSE)</f>
        <v>37.1</v>
      </c>
      <c r="G126" s="358">
        <f>VLOOKUP($B126&amp;"_"&amp;$D126,'App5 - CRUK Inci Rates'!C:J,8,FALSE)</f>
        <v>4658110.666666666</v>
      </c>
      <c r="H126" s="27">
        <f>VLOOKUP($B126&amp;"_"&amp;$D126,'App5 - CRUK Inci Rates'!C:K,9,FALSE)</f>
        <v>1958</v>
      </c>
      <c r="I126" s="91"/>
      <c r="J126" s="81"/>
      <c r="K126" s="81"/>
      <c r="L126" s="81"/>
      <c r="M126" s="81"/>
      <c r="N126" s="81"/>
      <c r="O126" s="81"/>
      <c r="P126" s="81"/>
      <c r="Q126" s="81"/>
      <c r="R126" s="81"/>
      <c r="S126" s="81"/>
      <c r="T126" s="81"/>
      <c r="U126" s="92"/>
      <c r="V126" s="467"/>
      <c r="W126" s="26">
        <f>$G126*W$134</f>
        <v>4658110.666666666</v>
      </c>
      <c r="X126" s="25">
        <f>H126</f>
        <v>1958</v>
      </c>
      <c r="Y126" s="25">
        <f>$H126-X126</f>
        <v>0</v>
      </c>
      <c r="Z126" s="25">
        <f>IF($C126="other",(1-$C$138)*X126,(1-(VLOOKUP($C126,'S3 - Screening Tool Metrics'!$C$3:$G$19,5,FALSE)/100))*X126)</f>
        <v>587.40000000000009</v>
      </c>
      <c r="AA126" s="25">
        <f>IF($C126="other",$C$138*X126,(VLOOKUP($C126,'S3 - Screening Tool Metrics'!$C$3:$G$19,5,FALSE)/100)*X126)</f>
        <v>1370.6</v>
      </c>
      <c r="AB126" s="27">
        <f>$AA126/$H126*100</f>
        <v>70</v>
      </c>
      <c r="AC126" s="91"/>
      <c r="AD126" s="81"/>
      <c r="AE126" s="81"/>
      <c r="AF126" s="81"/>
      <c r="AG126" s="81"/>
      <c r="AH126" s="81"/>
      <c r="AI126" s="81"/>
      <c r="AJ126" s="81"/>
      <c r="AK126" s="81"/>
      <c r="AL126" s="81"/>
      <c r="AM126" s="81"/>
      <c r="AN126" s="81"/>
      <c r="AO126" s="81"/>
      <c r="AP126" s="467"/>
      <c r="AQ126" s="81"/>
      <c r="AR126" s="92"/>
    </row>
    <row r="127" spans="2:44" hidden="1" x14ac:dyDescent="0.2">
      <c r="B127" s="29" t="s">
        <v>11</v>
      </c>
      <c r="C127" s="431" t="str">
        <f>C126</f>
        <v>FIT 20-50 µg/g threshold (CRC)</v>
      </c>
      <c r="D127" s="7" t="s">
        <v>195</v>
      </c>
      <c r="E127" s="16">
        <f>VLOOKUP($B127&amp;"_"&amp;$D127,'App5 - CRUK Inci Rates'!C:H,6,FALSE)</f>
        <v>87.7</v>
      </c>
      <c r="F127" s="17">
        <f>VLOOKUP($B127&amp;"_"&amp;$D127,'App5 - CRUK Inci Rates'!C:H,3,FALSE)</f>
        <v>60.6</v>
      </c>
      <c r="G127" s="359">
        <f>VLOOKUP($B127&amp;"_"&amp;$D127,'App5 - CRUK Inci Rates'!C:J,8,FALSE)</f>
        <v>4181606</v>
      </c>
      <c r="H127" s="19">
        <f>VLOOKUP($B127&amp;"_"&amp;$D127,'App5 - CRUK Inci Rates'!C:K,9,FALSE)</f>
        <v>3094</v>
      </c>
      <c r="I127" s="93"/>
      <c r="J127" s="80"/>
      <c r="K127" s="80"/>
      <c r="L127" s="80"/>
      <c r="M127" s="80"/>
      <c r="N127" s="80"/>
      <c r="O127" s="80"/>
      <c r="P127" s="80"/>
      <c r="Q127" s="80"/>
      <c r="R127" s="80"/>
      <c r="S127" s="80"/>
      <c r="T127" s="80"/>
      <c r="U127" s="94"/>
      <c r="V127" s="468"/>
      <c r="W127" s="18">
        <f>$G127*W$134</f>
        <v>4181606</v>
      </c>
      <c r="X127" s="14">
        <f>H127</f>
        <v>3094</v>
      </c>
      <c r="Y127" s="14">
        <f>$H127-X127</f>
        <v>0</v>
      </c>
      <c r="Z127" s="14">
        <f>IF($C127="other",(1-$C$138)*X127,(1-(VLOOKUP($C127,'S3 - Screening Tool Metrics'!$C$3:$G$19,5,FALSE)/100))*X127)</f>
        <v>928.20000000000016</v>
      </c>
      <c r="AA127" s="14">
        <f>IF($C127="other",$C$138*X127,(VLOOKUP($C127,'S3 - Screening Tool Metrics'!$C$3:$G$19,5,FALSE)/100)*X127)</f>
        <v>2165.7999999999997</v>
      </c>
      <c r="AB127" s="19">
        <f>$AA127/$H127*100</f>
        <v>70</v>
      </c>
      <c r="AC127" s="93"/>
      <c r="AD127" s="80"/>
      <c r="AE127" s="80"/>
      <c r="AF127" s="80"/>
      <c r="AG127" s="80"/>
      <c r="AH127" s="80"/>
      <c r="AI127" s="80"/>
      <c r="AJ127" s="80"/>
      <c r="AK127" s="80"/>
      <c r="AL127" s="80"/>
      <c r="AM127" s="80"/>
      <c r="AN127" s="80"/>
      <c r="AO127" s="80"/>
      <c r="AP127" s="468"/>
      <c r="AQ127" s="80"/>
      <c r="AR127" s="94"/>
    </row>
    <row r="128" spans="2:44" ht="17" hidden="1" thickBot="1" x14ac:dyDescent="0.25">
      <c r="B128" s="30" t="s">
        <v>11</v>
      </c>
      <c r="C128" s="432" t="str">
        <f>C127</f>
        <v>FIT 20-50 µg/g threshold (CRC)</v>
      </c>
      <c r="D128" s="430" t="s">
        <v>230</v>
      </c>
      <c r="E128" s="364">
        <f>VLOOKUP($B128&amp;"_"&amp;$D128,'App5 - CRUK Inci Rates'!C:H,6,FALSE)</f>
        <v>66.354542653419429</v>
      </c>
      <c r="F128" s="365">
        <f>VLOOKUP($B128&amp;"_"&amp;$D128,'App5 - CRUK Inci Rates'!C:H,3,FALSE)</f>
        <v>48.212380665809548</v>
      </c>
      <c r="G128" s="366">
        <f>VLOOKUP($B128&amp;"_"&amp;$D128,'App5 - CRUK Inci Rates'!C:J,8,FALSE)</f>
        <v>8839716.6666666679</v>
      </c>
      <c r="H128" s="102">
        <f>VLOOKUP($B128&amp;"_"&amp;$D128,'App5 - CRUK Inci Rates'!C:K,9,FALSE)</f>
        <v>5052</v>
      </c>
      <c r="I128" s="368">
        <f>VLOOKUP($B128&amp;I$137&amp;$D128,'App6 - Stage-Route-Surv Data'!$E$5:$G$76,3,FALSE)+(VLOOKUP($B128&amp;J$137&amp;$D128,'App6 - Stage-Route-Surv Data'!$E$5:$G$76,3,FALSE)*(VLOOKUP($B128&amp;I$137&amp;$D128,'App6 - Stage-Route-Surv Data'!$E$5:$G$76,3,FALSE)/SUM(VLOOKUP($B128&amp;I$137&amp;$D128,'App6 - Stage-Route-Surv Data'!$E$5:$G$76,3,FALSE),VLOOKUP($B128&amp;K$137&amp;$D128,'App6 - Stage-Route-Surv Data'!$E$5:$G$76,3,FALSE),VLOOKUP($B128&amp;L$137&amp;$D128,'App6 - Stage-Route-Surv Data'!$E$5:$G$76,3,FALSE))))</f>
        <v>0.43463801483755432</v>
      </c>
      <c r="J128" s="99">
        <v>0</v>
      </c>
      <c r="K128" s="99">
        <f>VLOOKUP($B128&amp;K$137&amp;$D128,'App6 - Stage-Route-Surv Data'!$E$5:$G$76,3,FALSE)+(VLOOKUP($B128&amp;J$137&amp;$D128,'App6 - Stage-Route-Surv Data'!$E$5:$G$76,3,FALSE)*(VLOOKUP($B128&amp;K$137&amp;$D128,'App6 - Stage-Route-Surv Data'!$E$5:$G$76,3,FALSE)/SUM(VLOOKUP($B128&amp;I$137&amp;$D128,'App6 - Stage-Route-Surv Data'!$E$5:$G$76,3,FALSE),VLOOKUP($B128&amp;K$137&amp;$D128,'App6 - Stage-Route-Surv Data'!$E$5:$G$76,3,FALSE),VLOOKUP($B128&amp;L$137&amp;$D128,'App6 - Stage-Route-Surv Data'!$E$5:$G$76,3,FALSE))))</f>
        <v>0.21514453824507548</v>
      </c>
      <c r="L128" s="99">
        <f>VLOOKUP($B128&amp;L$137&amp;$D128,'App6 - Stage-Route-Surv Data'!$E$5:$G$76,3,FALSE)+(VLOOKUP($B128&amp;J$137&amp;$D128,'App6 - Stage-Route-Surv Data'!$E$5:$G$76,3,FALSE)*(VLOOKUP($B128&amp;L$137&amp;$D128,'App6 - Stage-Route-Surv Data'!$E$5:$G$76,3,FALSE)/SUM(VLOOKUP($B128&amp;I$137&amp;$D128,'App6 - Stage-Route-Surv Data'!$E$5:$G$76,3,FALSE),VLOOKUP($B128&amp;K$137&amp;$D128,'App6 - Stage-Route-Surv Data'!$E$5:$G$76,3,FALSE),VLOOKUP($B128&amp;L$137&amp;$D128,'App6 - Stage-Route-Surv Data'!$E$5:$G$76,3,FALSE))))</f>
        <v>0.35021744691737017</v>
      </c>
      <c r="M128" s="100">
        <f>(($H128*$I128)*VLOOKUP($B128&amp;$I$137&amp;M$137,'App6 - Stage-Route-Surv Data'!$L$5:$N$52,3,FALSE))+(($H128*$J128)*VLOOKUP($B128&amp;$J$137&amp;M$137,'App6 - Stage-Route-Surv Data'!$L$5:$N$52,3,FALSE))+(($H128*$K128)*VLOOKUP($B128&amp;$K$137&amp;M$137,'App6 - Stage-Route-Surv Data'!$L$5:$N$52,3,FALSE))+(($H128*$L128)*VLOOKUP($B128&amp;$L$137&amp;M$137,'App6 - Stage-Route-Surv Data'!$L$5:$N$52,3,FALSE))</f>
        <v>862.80307903941525</v>
      </c>
      <c r="N128" s="100">
        <f>(($H128*$I128)*VLOOKUP($B128&amp;$I$137&amp;N$137,'App6 - Stage-Route-Surv Data'!$L$5:$N$52,3,FALSE))+(($H128*$J128)*VLOOKUP($B128&amp;$J$137&amp;N$137,'App6 - Stage-Route-Surv Data'!$L$5:$N$52,3,FALSE))+(($H128*$K128)*VLOOKUP($B128&amp;$K$137&amp;N$137,'App6 - Stage-Route-Surv Data'!$L$5:$N$52,3,FALSE))+(($H128*$L128)*VLOOKUP($B128&amp;$L$137&amp;N$137,'App6 - Stage-Route-Surv Data'!$L$5:$N$52,3,FALSE))</f>
        <v>1294.6750782216038</v>
      </c>
      <c r="O128" s="100">
        <f>(($H128*$I128)*VLOOKUP($B128&amp;$I$137&amp;O$137,'App6 - Stage-Route-Surv Data'!$L$5:$N$52,3,FALSE))+(($H128*$J128)*VLOOKUP($B128&amp;$J$137&amp;O$137,'App6 - Stage-Route-Surv Data'!$L$5:$N$52,3,FALSE))+(($H128*$K128)*VLOOKUP($B128&amp;$K$137&amp;O$137,'App6 - Stage-Route-Surv Data'!$L$5:$N$52,3,FALSE))+(($H128*$L128)*VLOOKUP($B128&amp;$L$137&amp;O$137,'App6 - Stage-Route-Surv Data'!$L$5:$N$52,3,FALSE))</f>
        <v>1536.6538869017895</v>
      </c>
      <c r="P128" s="100">
        <f>(($H128*$I128)*VLOOKUP($B128&amp;$I$137&amp;P$137,'App6 - Stage-Route-Surv Data'!$L$5:$N$52,3,FALSE))+(($H128*$J128)*VLOOKUP($B128&amp;$J$137&amp;P$137,'App6 - Stage-Route-Surv Data'!$L$5:$N$52,3,FALSE))+(($H128*$K128)*VLOOKUP($B128&amp;$K$137&amp;P$137,'App6 - Stage-Route-Surv Data'!$L$5:$N$52,3,FALSE))+(($H128*$L128)*VLOOKUP($B128&amp;$L$137&amp;P$137,'App6 - Stage-Route-Surv Data'!$L$5:$N$52,3,FALSE))</f>
        <v>1357.8679558371914</v>
      </c>
      <c r="Q128" s="100">
        <f>M128*VLOOKUP($B128&amp;$D128&amp;Q$137,'App6 - Stage-Route-Surv Data'!$S$5:$T$40,2,FALSE)</f>
        <v>830.38247634317838</v>
      </c>
      <c r="R128" s="100">
        <f>N128*VLOOKUP($B128&amp;$D128&amp;R$137,'App6 - Stage-Route-Surv Data'!$S$5:$T$40,2,FALSE)</f>
        <v>1151.220644888514</v>
      </c>
      <c r="S128" s="100">
        <f>O128*VLOOKUP($B128&amp;$D128&amp;S$137,'App6 - Stage-Route-Surv Data'!$S$5:$T$40,2,FALSE)</f>
        <v>1152.6953058295351</v>
      </c>
      <c r="T128" s="100">
        <f>P128*VLOOKUP($B128&amp;$D128&amp;T$137,'App6 - Stage-Route-Surv Data'!$S$5:$T$40,2,FALSE)</f>
        <v>202.6708985941041</v>
      </c>
      <c r="U128" s="97">
        <f>SUM(Q128:T128)</f>
        <v>3336.9693256553319</v>
      </c>
      <c r="V128" s="469">
        <f>U128/H128</f>
        <v>0.6605244112540245</v>
      </c>
      <c r="W128" s="101">
        <f>$G128*W$134</f>
        <v>8839716.6666666679</v>
      </c>
      <c r="X128" s="98">
        <f>H128</f>
        <v>5052</v>
      </c>
      <c r="Y128" s="98">
        <f>$H128-X128</f>
        <v>0</v>
      </c>
      <c r="Z128" s="98">
        <f>IF($C128="other",(1-$C$138)*X128,(1-(VLOOKUP($C128,'S3 - Screening Tool Metrics'!$C$3:$G$19,5,FALSE)/100))*X128)</f>
        <v>1515.6000000000001</v>
      </c>
      <c r="AA128" s="98">
        <f>IF($C128="other",$C$138*X128,(VLOOKUP($C128,'S3 - Screening Tool Metrics'!$C$3:$G$19,5,FALSE)/100)*X128)</f>
        <v>3536.3999999999996</v>
      </c>
      <c r="AB128" s="102">
        <f>$AA128/$H128*100</f>
        <v>70</v>
      </c>
      <c r="AC128" s="370">
        <f>(1-AD128)*($I128/SUM($I128,$K128,$L128))</f>
        <v>0.13039140445126632</v>
      </c>
      <c r="AD128" s="103">
        <f>AA128/$H128</f>
        <v>0.7</v>
      </c>
      <c r="AE128" s="103">
        <f>(1-AD128)*($K128/SUM($I128,$K128,$L128))</f>
        <v>6.4543361473522659E-2</v>
      </c>
      <c r="AF128" s="103">
        <f>(1-AD128)*($L128/SUM($I128,$K128,$L128))</f>
        <v>0.10506523407521107</v>
      </c>
      <c r="AG128" s="100">
        <f>(($H128*$AC128)*VLOOKUP($B128&amp;$AC$137&amp;AG$137,'App6 - Stage-Route-Surv Data'!$L$5:$N$52,3,FALSE))+(($H128*$AD128)*VLOOKUP($B128&amp;$AD$137&amp;AG$137,'App6 - Stage-Route-Surv Data'!$L$5:$N$52,3,FALSE))+(($H128*$AE128)*VLOOKUP($B128&amp;$AE$137&amp;AG$137,'App6 - Stage-Route-Surv Data'!$L$5:$N$52,3,FALSE))+(($H128*$AF128)*VLOOKUP($B128&amp;$AF$137&amp;AG$137,'App6 - Stage-Route-Surv Data'!$L$5:$N$52,3,FALSE))</f>
        <v>1597.1316435730557</v>
      </c>
      <c r="AH128" s="100">
        <f>(($H128*$AC128)*VLOOKUP($B128&amp;$AC$137&amp;AH$137,'App6 - Stage-Route-Surv Data'!$L$5:$N$52,3,FALSE))+(($H128*$AD128)*VLOOKUP($B128&amp;$AD$137&amp;AH$137,'App6 - Stage-Route-Surv Data'!$L$5:$N$52,3,FALSE))+(($H128*$AE128)*VLOOKUP($B128&amp;$AE$137&amp;AH$137,'App6 - Stage-Route-Surv Data'!$L$5:$N$52,3,FALSE))+(($H128*$AF128)*VLOOKUP($B128&amp;$AF$137&amp;AH$137,'App6 - Stage-Route-Surv Data'!$L$5:$N$52,3,FALSE))</f>
        <v>1262.5343534751541</v>
      </c>
      <c r="AI128" s="100">
        <f>(($H128*$AC128)*VLOOKUP($B128&amp;$AC$137&amp;AI$137,'App6 - Stage-Route-Surv Data'!$L$5:$N$52,3,FALSE))+(($H128*$AD128)*VLOOKUP($B128&amp;$AD$137&amp;AI$137,'App6 - Stage-Route-Surv Data'!$L$5:$N$52,3,FALSE))+(($H128*$AE128)*VLOOKUP($B128&amp;$AE$137&amp;AI$137,'App6 - Stage-Route-Surv Data'!$L$5:$N$52,3,FALSE))+(($H128*$AF128)*VLOOKUP($B128&amp;$AF$137&amp;AI$137,'App6 - Stage-Route-Surv Data'!$L$5:$N$52,3,FALSE))</f>
        <v>1510.9767384903114</v>
      </c>
      <c r="AJ128" s="100">
        <f>(($H128*$AC128)*VLOOKUP($B128&amp;$AC$137&amp;AJ$137,'App6 - Stage-Route-Surv Data'!$L$5:$N$52,3,FALSE))+(($H128*$AD128)*VLOOKUP($B128&amp;$AD$137&amp;AJ$137,'App6 - Stage-Route-Surv Data'!$L$5:$N$52,3,FALSE))+(($H128*$AE128)*VLOOKUP($B128&amp;$AE$137&amp;AJ$137,'App6 - Stage-Route-Surv Data'!$L$5:$N$52,3,FALSE))+(($H128*$AF128)*VLOOKUP($B128&amp;$AF$137&amp;AJ$137,'App6 - Stage-Route-Surv Data'!$L$5:$N$52,3,FALSE))</f>
        <v>681.35726446147839</v>
      </c>
      <c r="AK128" s="100">
        <f>AG128*VLOOKUP($B128&amp;$D128&amp;AK$137,'App6 - Stage-Route-Surv Data'!$S$5:$T$40,2,FALSE)</f>
        <v>1537.1179837614586</v>
      </c>
      <c r="AL128" s="100">
        <f>AH128*VLOOKUP($B128&amp;$D128&amp;AL$137,'App6 - Stage-Route-Surv Data'!$S$5:$T$40,2,FALSE)</f>
        <v>1122.6412225359825</v>
      </c>
      <c r="AM128" s="100">
        <f>AI128*VLOOKUP($B128&amp;$D128&amp;AM$137,'App6 - Stage-Route-Surv Data'!$S$5:$T$40,2,FALSE)</f>
        <v>1133.4340208431843</v>
      </c>
      <c r="AN128" s="100">
        <f>AJ128*VLOOKUP($B128&amp;$D128&amp;AN$137,'App6 - Stage-Route-Surv Data'!$S$5:$T$40,2,FALSE)</f>
        <v>101.69714106471309</v>
      </c>
      <c r="AO128" s="100">
        <f>SUM(AK128:AN128)</f>
        <v>3894.8903682053378</v>
      </c>
      <c r="AP128" s="469">
        <f>AO128/H128</f>
        <v>0.77096008871839627</v>
      </c>
      <c r="AQ128" s="104">
        <f>AO128-U128</f>
        <v>557.92104255000595</v>
      </c>
      <c r="AR128" s="105">
        <f>(AO128/$H128)-($U128/$H128)</f>
        <v>0.11043567746437177</v>
      </c>
    </row>
    <row r="129" spans="2:44" hidden="1" x14ac:dyDescent="0.2"/>
    <row r="130" spans="2:44" hidden="1" x14ac:dyDescent="0.2">
      <c r="B130" s="1"/>
      <c r="V130" s="472"/>
      <c r="AP130" s="472"/>
    </row>
    <row r="131" spans="2:44" hidden="1" x14ac:dyDescent="0.2">
      <c r="B131" s="1" t="s">
        <v>398</v>
      </c>
      <c r="V131" s="462"/>
      <c r="AP131" s="462"/>
    </row>
    <row r="132" spans="2:44" ht="17" hidden="1" thickBot="1" x14ac:dyDescent="0.25">
      <c r="B132" s="262"/>
      <c r="C132" s="43"/>
    </row>
    <row r="133" spans="2:44" ht="119" hidden="1" x14ac:dyDescent="0.2">
      <c r="B133" s="1306" t="s">
        <v>181</v>
      </c>
      <c r="C133" s="1306" t="s">
        <v>207</v>
      </c>
      <c r="D133" s="1309" t="s">
        <v>182</v>
      </c>
      <c r="E133" s="1312" t="s">
        <v>183</v>
      </c>
      <c r="F133" s="1313"/>
      <c r="G133" s="1326" t="s">
        <v>184</v>
      </c>
      <c r="H133" s="1327"/>
      <c r="I133" s="1332" t="s">
        <v>215</v>
      </c>
      <c r="J133" s="1333"/>
      <c r="K133" s="1333"/>
      <c r="L133" s="1333"/>
      <c r="M133" s="1333"/>
      <c r="N133" s="1333"/>
      <c r="O133" s="1333"/>
      <c r="P133" s="1333"/>
      <c r="Q133" s="1333"/>
      <c r="R133" s="1333"/>
      <c r="S133" s="1333"/>
      <c r="T133" s="1333"/>
      <c r="U133" s="1334"/>
      <c r="V133" s="460"/>
      <c r="W133" s="1341" t="s">
        <v>265</v>
      </c>
      <c r="X133" s="1342"/>
      <c r="Y133" s="1342"/>
      <c r="Z133" s="1342"/>
      <c r="AA133" s="1342"/>
      <c r="AB133" s="1343"/>
      <c r="AC133" s="831" t="s">
        <v>273</v>
      </c>
      <c r="AD133" s="831"/>
      <c r="AE133" s="831"/>
      <c r="AF133" s="831"/>
      <c r="AG133" s="831"/>
      <c r="AH133" s="831"/>
      <c r="AI133" s="831"/>
      <c r="AJ133" s="831"/>
      <c r="AK133" s="831"/>
      <c r="AL133" s="831"/>
      <c r="AM133" s="831"/>
      <c r="AN133" s="831"/>
      <c r="AO133" s="831"/>
      <c r="AP133" s="883"/>
      <c r="AQ133" s="831"/>
      <c r="AR133" s="832"/>
    </row>
    <row r="134" spans="2:44" hidden="1" x14ac:dyDescent="0.2">
      <c r="B134" s="1307"/>
      <c r="C134" s="1307"/>
      <c r="D134" s="1310"/>
      <c r="E134" s="1314"/>
      <c r="F134" s="1315"/>
      <c r="G134" s="1328"/>
      <c r="H134" s="1329"/>
      <c r="I134" s="1335"/>
      <c r="J134" s="1336"/>
      <c r="K134" s="1336"/>
      <c r="L134" s="1336"/>
      <c r="M134" s="1336"/>
      <c r="N134" s="1336"/>
      <c r="O134" s="1336"/>
      <c r="P134" s="1336"/>
      <c r="Q134" s="1336"/>
      <c r="R134" s="1336"/>
      <c r="S134" s="1336"/>
      <c r="T134" s="1336"/>
      <c r="U134" s="1337"/>
      <c r="V134" s="463"/>
      <c r="W134" s="1258">
        <v>1</v>
      </c>
      <c r="X134" s="1259"/>
      <c r="Y134" s="1259"/>
      <c r="Z134" s="1259"/>
      <c r="AA134" s="1259"/>
      <c r="AB134" s="1260"/>
      <c r="AC134" s="833"/>
      <c r="AD134" s="833"/>
      <c r="AE134" s="833"/>
      <c r="AF134" s="833"/>
      <c r="AG134" s="833"/>
      <c r="AH134" s="833"/>
      <c r="AI134" s="833"/>
      <c r="AJ134" s="833"/>
      <c r="AK134" s="833"/>
      <c r="AL134" s="833"/>
      <c r="AM134" s="833"/>
      <c r="AN134" s="833"/>
      <c r="AO134" s="833"/>
      <c r="AP134" s="884"/>
      <c r="AQ134" s="833"/>
      <c r="AR134" s="834"/>
    </row>
    <row r="135" spans="2:44" hidden="1" x14ac:dyDescent="0.2">
      <c r="B135" s="1307"/>
      <c r="C135" s="1307"/>
      <c r="D135" s="1310"/>
      <c r="E135" s="1316"/>
      <c r="F135" s="1317"/>
      <c r="G135" s="1330"/>
      <c r="H135" s="1331"/>
      <c r="I135" s="1338"/>
      <c r="J135" s="1339"/>
      <c r="K135" s="1339"/>
      <c r="L135" s="1339"/>
      <c r="M135" s="1339"/>
      <c r="N135" s="1339"/>
      <c r="O135" s="1339"/>
      <c r="P135" s="1339"/>
      <c r="Q135" s="1339"/>
      <c r="R135" s="1339"/>
      <c r="S135" s="1339"/>
      <c r="T135" s="1339"/>
      <c r="U135" s="1340"/>
      <c r="V135" s="461"/>
      <c r="W135" s="1263" t="s">
        <v>270</v>
      </c>
      <c r="X135" s="1264"/>
      <c r="Y135" s="1264"/>
      <c r="Z135" s="1264"/>
      <c r="AA135" s="1264"/>
      <c r="AB135" s="1265"/>
      <c r="AC135" s="835"/>
      <c r="AD135" s="835"/>
      <c r="AE135" s="835"/>
      <c r="AF135" s="835"/>
      <c r="AG135" s="835"/>
      <c r="AH135" s="835"/>
      <c r="AI135" s="835"/>
      <c r="AJ135" s="835"/>
      <c r="AK135" s="835"/>
      <c r="AL135" s="835"/>
      <c r="AM135" s="835"/>
      <c r="AN135" s="835"/>
      <c r="AO135" s="835"/>
      <c r="AP135" s="884"/>
      <c r="AQ135" s="835"/>
      <c r="AR135" s="836"/>
    </row>
    <row r="136" spans="2:44" ht="85" hidden="1" x14ac:dyDescent="0.2">
      <c r="B136" s="1307"/>
      <c r="C136" s="1307"/>
      <c r="D136" s="1310"/>
      <c r="E136" s="1399" t="s">
        <v>40</v>
      </c>
      <c r="F136" s="1399" t="s">
        <v>41</v>
      </c>
      <c r="G136" s="1383" t="s">
        <v>186</v>
      </c>
      <c r="H136" s="1385" t="s">
        <v>189</v>
      </c>
      <c r="I136" s="1380" t="s">
        <v>216</v>
      </c>
      <c r="J136" s="1376"/>
      <c r="K136" s="1376"/>
      <c r="L136" s="1376"/>
      <c r="M136" s="1376" t="s">
        <v>217</v>
      </c>
      <c r="N136" s="1376"/>
      <c r="O136" s="1376"/>
      <c r="P136" s="1376"/>
      <c r="Q136" s="1376" t="s">
        <v>218</v>
      </c>
      <c r="R136" s="1376"/>
      <c r="S136" s="1376"/>
      <c r="T136" s="1376"/>
      <c r="U136" s="1377"/>
      <c r="V136" s="464"/>
      <c r="W136" s="1381" t="s">
        <v>268</v>
      </c>
      <c r="X136" s="1378" t="s">
        <v>189</v>
      </c>
      <c r="Y136" s="1320" t="s">
        <v>191</v>
      </c>
      <c r="Z136" s="1320" t="s">
        <v>271</v>
      </c>
      <c r="AA136" s="1361" t="s">
        <v>211</v>
      </c>
      <c r="AB136" s="1281" t="s">
        <v>212</v>
      </c>
      <c r="AC136" s="841" t="s">
        <v>219</v>
      </c>
      <c r="AD136" s="842"/>
      <c r="AE136" s="842"/>
      <c r="AF136" s="843"/>
      <c r="AG136" s="844" t="s">
        <v>220</v>
      </c>
      <c r="AH136" s="845"/>
      <c r="AI136" s="845"/>
      <c r="AJ136" s="846"/>
      <c r="AK136" s="847" t="s">
        <v>221</v>
      </c>
      <c r="AL136" s="842"/>
      <c r="AM136" s="842"/>
      <c r="AN136" s="842"/>
      <c r="AO136" s="842"/>
      <c r="AP136" s="850"/>
      <c r="AQ136" s="848" t="s">
        <v>222</v>
      </c>
      <c r="AR136" s="848" t="s">
        <v>223</v>
      </c>
    </row>
    <row r="137" spans="2:44" ht="52" hidden="1" thickBot="1" x14ac:dyDescent="0.25">
      <c r="B137" s="1308"/>
      <c r="C137" s="1308"/>
      <c r="D137" s="1311"/>
      <c r="E137" s="1400"/>
      <c r="F137" s="1400"/>
      <c r="G137" s="1384"/>
      <c r="H137" s="1386"/>
      <c r="I137" s="72" t="s">
        <v>224</v>
      </c>
      <c r="J137" s="73" t="s">
        <v>225</v>
      </c>
      <c r="K137" s="73" t="s">
        <v>226</v>
      </c>
      <c r="L137" s="76" t="s">
        <v>227</v>
      </c>
      <c r="M137" s="74">
        <v>1</v>
      </c>
      <c r="N137" s="74">
        <v>2</v>
      </c>
      <c r="O137" s="74">
        <v>3</v>
      </c>
      <c r="P137" s="77">
        <v>4</v>
      </c>
      <c r="Q137" s="74">
        <v>1</v>
      </c>
      <c r="R137" s="74">
        <v>2</v>
      </c>
      <c r="S137" s="74">
        <v>3</v>
      </c>
      <c r="T137" s="74">
        <v>4</v>
      </c>
      <c r="U137" s="75" t="s">
        <v>228</v>
      </c>
      <c r="V137" s="465" t="s">
        <v>290</v>
      </c>
      <c r="W137" s="1382"/>
      <c r="X137" s="1379"/>
      <c r="Y137" s="1321"/>
      <c r="Z137" s="1321"/>
      <c r="AA137" s="1362"/>
      <c r="AB137" s="1363"/>
      <c r="AC137" s="72" t="s">
        <v>224</v>
      </c>
      <c r="AD137" s="73" t="s">
        <v>225</v>
      </c>
      <c r="AE137" s="73" t="s">
        <v>226</v>
      </c>
      <c r="AF137" s="76" t="s">
        <v>227</v>
      </c>
      <c r="AG137" s="74">
        <v>1</v>
      </c>
      <c r="AH137" s="74">
        <v>2</v>
      </c>
      <c r="AI137" s="74">
        <v>3</v>
      </c>
      <c r="AJ137" s="77">
        <v>4</v>
      </c>
      <c r="AK137" s="78">
        <v>1</v>
      </c>
      <c r="AL137" s="74">
        <v>2</v>
      </c>
      <c r="AM137" s="74">
        <v>3</v>
      </c>
      <c r="AN137" s="74">
        <v>4</v>
      </c>
      <c r="AO137" s="79" t="s">
        <v>228</v>
      </c>
      <c r="AP137" s="885" t="s">
        <v>290</v>
      </c>
      <c r="AQ137" s="849"/>
      <c r="AR137" s="850"/>
    </row>
    <row r="138" spans="2:44" ht="17" hidden="1" thickBot="1" x14ac:dyDescent="0.25">
      <c r="B138" s="42" t="s">
        <v>8</v>
      </c>
      <c r="C138" s="55"/>
      <c r="D138" s="35"/>
      <c r="E138" s="36"/>
      <c r="F138" s="37"/>
      <c r="G138" s="360"/>
      <c r="H138" s="38"/>
      <c r="I138" s="39"/>
      <c r="J138" s="39"/>
      <c r="K138" s="39"/>
      <c r="L138" s="39"/>
      <c r="M138" s="39"/>
      <c r="N138" s="39"/>
      <c r="O138" s="39"/>
      <c r="P138" s="39"/>
      <c r="Q138" s="39"/>
      <c r="R138" s="39"/>
      <c r="S138" s="39"/>
      <c r="T138" s="39"/>
      <c r="U138" s="39"/>
      <c r="V138" s="466"/>
      <c r="W138" s="40"/>
      <c r="X138" s="39"/>
      <c r="Y138" s="39"/>
      <c r="Z138" s="39"/>
      <c r="AA138" s="39"/>
      <c r="AB138" s="41"/>
      <c r="AC138" s="39"/>
      <c r="AD138" s="39"/>
      <c r="AE138" s="39"/>
      <c r="AF138" s="39"/>
      <c r="AG138" s="39"/>
      <c r="AH138" s="39"/>
      <c r="AI138" s="39"/>
      <c r="AJ138" s="39"/>
      <c r="AK138" s="39"/>
      <c r="AL138" s="39"/>
      <c r="AM138" s="39"/>
      <c r="AN138" s="39"/>
      <c r="AO138" s="39"/>
      <c r="AP138" s="466"/>
      <c r="AQ138" s="39"/>
      <c r="AR138" s="41"/>
    </row>
    <row r="139" spans="2:44" hidden="1" x14ac:dyDescent="0.2">
      <c r="B139" s="29" t="s">
        <v>8</v>
      </c>
      <c r="C139" s="45" t="s">
        <v>162</v>
      </c>
      <c r="D139" s="21" t="s">
        <v>192</v>
      </c>
      <c r="E139" s="22">
        <f>VLOOKUP($B139&amp;"_"&amp;$D139,'App5 - CRUK Inci Rates'!C:H,6,FALSE)</f>
        <v>0</v>
      </c>
      <c r="F139" s="23">
        <f>VLOOKUP($B139&amp;"_"&amp;$D139,'App5 - CRUK Inci Rates'!C:H,3,FALSE)</f>
        <v>124.6</v>
      </c>
      <c r="G139" s="358">
        <f>VLOOKUP($B139&amp;"_"&amp;$D139,'App5 - CRUK Inci Rates'!C:J,8,FALSE)</f>
        <v>2054223.3333333333</v>
      </c>
      <c r="H139" s="27" t="e">
        <f>((F139*#REF!)/100000)+((E139*#REF!)/100000)</f>
        <v>#REF!</v>
      </c>
      <c r="I139" s="91"/>
      <c r="J139" s="81"/>
      <c r="K139" s="81"/>
      <c r="L139" s="81"/>
      <c r="M139" s="81"/>
      <c r="N139" s="81"/>
      <c r="O139" s="81"/>
      <c r="P139" s="81"/>
      <c r="Q139" s="81"/>
      <c r="R139" s="81"/>
      <c r="S139" s="81"/>
      <c r="T139" s="81"/>
      <c r="U139" s="81"/>
      <c r="V139" s="467"/>
      <c r="W139" s="26">
        <f>$G139*W$134</f>
        <v>2054223.3333333333</v>
      </c>
      <c r="X139" s="25" t="e">
        <f>H139</f>
        <v>#REF!</v>
      </c>
      <c r="Y139" s="25" t="e">
        <f>$H139-X139</f>
        <v>#REF!</v>
      </c>
      <c r="Z139" s="25" t="e">
        <f>IF($C139="other",(1-$C$138)*X139,(1-(VLOOKUP($C139,'S3 - Screening Tool Metrics'!$C$5:$G$19,5,FALSE)/100))*X139)</f>
        <v>#REF!</v>
      </c>
      <c r="AA139" s="25" t="e">
        <f>IF($C139="other",$C$138*X139,(VLOOKUP($C139,'S3 - Screening Tool Metrics'!$C$5:$G$19,5,FALSE)/100)*X139)</f>
        <v>#REF!</v>
      </c>
      <c r="AB139" s="27" t="e">
        <f>$AA139/$H139*100</f>
        <v>#REF!</v>
      </c>
      <c r="AC139" s="91"/>
      <c r="AD139" s="81"/>
      <c r="AE139" s="81"/>
      <c r="AF139" s="81"/>
      <c r="AG139" s="81"/>
      <c r="AH139" s="81"/>
      <c r="AI139" s="81"/>
      <c r="AJ139" s="81"/>
      <c r="AK139" s="81"/>
      <c r="AL139" s="81"/>
      <c r="AM139" s="81"/>
      <c r="AN139" s="81"/>
      <c r="AO139" s="81"/>
      <c r="AP139" s="467"/>
      <c r="AQ139" s="81"/>
      <c r="AR139" s="92"/>
    </row>
    <row r="140" spans="2:44" hidden="1" x14ac:dyDescent="0.2">
      <c r="B140" s="29" t="s">
        <v>8</v>
      </c>
      <c r="C140" s="46" t="str">
        <f>$C139</f>
        <v>Digital mammography</v>
      </c>
      <c r="D140" s="2" t="s">
        <v>193</v>
      </c>
      <c r="E140" s="16">
        <f>VLOOKUP($B140&amp;"_"&amp;$D140,'App5 - CRUK Inci Rates'!C:H,6,FALSE)</f>
        <v>0</v>
      </c>
      <c r="F140" s="17">
        <f>VLOOKUP($B140&amp;"_"&amp;$D140,'App5 - CRUK Inci Rates'!C:H,3,FALSE)</f>
        <v>214.8</v>
      </c>
      <c r="G140" s="359">
        <f>VLOOKUP($B140&amp;"_"&amp;$D140,'App5 - CRUK Inci Rates'!C:J,8,FALSE)</f>
        <v>2315479.3333333335</v>
      </c>
      <c r="H140" s="19" t="e">
        <f>((F140*#REF!)/100000)+((E140*#REF!)/100000)</f>
        <v>#REF!</v>
      </c>
      <c r="I140" s="93"/>
      <c r="J140" s="80"/>
      <c r="K140" s="80"/>
      <c r="L140" s="80"/>
      <c r="M140" s="80"/>
      <c r="N140" s="80"/>
      <c r="O140" s="80"/>
      <c r="P140" s="80"/>
      <c r="Q140" s="80"/>
      <c r="R140" s="80"/>
      <c r="S140" s="80"/>
      <c r="T140" s="80"/>
      <c r="U140" s="80"/>
      <c r="V140" s="468"/>
      <c r="W140" s="18">
        <f>$G140*W$134</f>
        <v>2315479.3333333335</v>
      </c>
      <c r="X140" s="14" t="e">
        <f>H140</f>
        <v>#REF!</v>
      </c>
      <c r="Y140" s="14" t="e">
        <f>$H140-X140</f>
        <v>#REF!</v>
      </c>
      <c r="Z140" s="14" t="e">
        <f>IF($C140="other",(1-$C$138)*X140,(1-(VLOOKUP($C140,'S3 - Screening Tool Metrics'!$C$5:$G$19,5,FALSE)/100))*X140)</f>
        <v>#REF!</v>
      </c>
      <c r="AA140" s="14" t="e">
        <f>IF($C140="other",$C$138*X140,(VLOOKUP($C140,'S3 - Screening Tool Metrics'!$C$5:$G$19,5,FALSE)/100)*X140)</f>
        <v>#REF!</v>
      </c>
      <c r="AB140" s="19" t="e">
        <f>$AA140/$H140*100</f>
        <v>#REF!</v>
      </c>
      <c r="AC140" s="93"/>
      <c r="AD140" s="80"/>
      <c r="AE140" s="80"/>
      <c r="AF140" s="80"/>
      <c r="AG140" s="80"/>
      <c r="AH140" s="80"/>
      <c r="AI140" s="80"/>
      <c r="AJ140" s="80"/>
      <c r="AK140" s="80"/>
      <c r="AL140" s="80"/>
      <c r="AM140" s="80"/>
      <c r="AN140" s="80"/>
      <c r="AO140" s="80"/>
      <c r="AP140" s="468"/>
      <c r="AQ140" s="80"/>
      <c r="AR140" s="94"/>
    </row>
    <row r="141" spans="2:44" ht="17" hidden="1" thickBot="1" x14ac:dyDescent="0.25">
      <c r="B141" s="331" t="s">
        <v>8</v>
      </c>
      <c r="C141" s="429" t="str">
        <f>$C140</f>
        <v>Digital mammography</v>
      </c>
      <c r="D141" s="448" t="s">
        <v>229</v>
      </c>
      <c r="E141" s="427">
        <f>VLOOKUP($B141&amp;"_"&amp;$D141,'App5 - CRUK Inci Rates'!C:H,6,FALSE)</f>
        <v>0</v>
      </c>
      <c r="F141" s="440">
        <f>VLOOKUP($B141&amp;"_"&amp;$D141,'App5 - CRUK Inci Rates'!C:H,3,FALSE)</f>
        <v>172.40296040749985</v>
      </c>
      <c r="G141" s="441">
        <f>VLOOKUP($B141&amp;"_"&amp;$D141,'App5 - CRUK Inci Rates'!C:J,8,FALSE)</f>
        <v>4369702.666666667</v>
      </c>
      <c r="H141" s="449" t="e">
        <f>((F141*#REF!)/100000)+((E141*#REF!)/100000)</f>
        <v>#REF!</v>
      </c>
      <c r="I141" s="450">
        <f>VLOOKUP($B141&amp;I$137&amp;$D141,'App6 - Stage-Route-Surv Data'!$E$5:$G$76,3,FALSE)</f>
        <v>0.73023942276156117</v>
      </c>
      <c r="J141" s="451">
        <f>VLOOKUP($B141&amp;J$137&amp;$D141,'App6 - Stage-Route-Surv Data'!$E$5:$G$76,3,FALSE)</f>
        <v>0.10626434896687438</v>
      </c>
      <c r="K141" s="451">
        <f>VLOOKUP($B141&amp;K$137&amp;$D141,'App6 - Stage-Route-Surv Data'!$E$5:$G$76,3,FALSE)</f>
        <v>1.6070842899311249E-2</v>
      </c>
      <c r="L141" s="451">
        <f>VLOOKUP($B141&amp;L$137&amp;$D141,'App6 - Stage-Route-Surv Data'!$E$5:$G$76,3,FALSE)</f>
        <v>0.14742538537225319</v>
      </c>
      <c r="M141" s="452" t="e">
        <f>(($H141*$I141)*VLOOKUP($B141&amp;$I$137&amp;M$137,'App6 - Stage-Route-Surv Data'!$L$5:$N$36,3,FALSE))+(($H141*$J141)*VLOOKUP($B141&amp;$J$137&amp;M$137,'App6 - Stage-Route-Surv Data'!$L$5:$N$36,3,FALSE))+(($H141*$K141)*VLOOKUP($B141&amp;$K$137&amp;M$137,'App6 - Stage-Route-Surv Data'!$L$5:$N$36,3,FALSE))+(($H141*$L141)*VLOOKUP($B141&amp;$L$137&amp;M$137,'App6 - Stage-Route-Surv Data'!$L$5:$N$36,3,FALSE))</f>
        <v>#REF!</v>
      </c>
      <c r="N141" s="452" t="e">
        <f>(($H141*$I141)*VLOOKUP($B141&amp;$I$137&amp;N$137,'App6 - Stage-Route-Surv Data'!$L$5:$N$36,3,FALSE))+(($H141*$J141)*VLOOKUP($B141&amp;$J$137&amp;N$137,'App6 - Stage-Route-Surv Data'!$L$5:$N$36,3,FALSE))+(($H141*$K141)*VLOOKUP($B141&amp;$K$137&amp;N$137,'App6 - Stage-Route-Surv Data'!$L$5:$N$36,3,FALSE))+(($H141*$L141)*VLOOKUP($B141&amp;$L$137&amp;N$137,'App6 - Stage-Route-Surv Data'!$L$5:$N$36,3,FALSE))</f>
        <v>#REF!</v>
      </c>
      <c r="O141" s="452" t="e">
        <f>(($H141*$I141)*VLOOKUP($B141&amp;$I$137&amp;O$137,'App6 - Stage-Route-Surv Data'!$L$5:$N$36,3,FALSE))+(($H141*$J141)*VLOOKUP($B141&amp;$J$137&amp;O$137,'App6 - Stage-Route-Surv Data'!$L$5:$N$36,3,FALSE))+(($H141*$K141)*VLOOKUP($B141&amp;$K$137&amp;O$137,'App6 - Stage-Route-Surv Data'!$L$5:$N$36,3,FALSE))+(($H141*$L141)*VLOOKUP($B141&amp;$L$137&amp;O$137,'App6 - Stage-Route-Surv Data'!$L$5:$N$36,3,FALSE))</f>
        <v>#REF!</v>
      </c>
      <c r="P141" s="452" t="e">
        <f>(($H141*$I141)*VLOOKUP($B141&amp;$I$137&amp;P$137,'App6 - Stage-Route-Surv Data'!$L$5:$N$36,3,FALSE))+(($H141*$J141)*VLOOKUP($B141&amp;$J$137&amp;P$137,'App6 - Stage-Route-Surv Data'!$L$5:$N$36,3,FALSE))+(($H141*$K141)*VLOOKUP($B141&amp;$K$137&amp;P$137,'App6 - Stage-Route-Surv Data'!$L$5:$N$36,3,FALSE))+(($H141*$L141)*VLOOKUP($B141&amp;$L$137&amp;P$137,'App6 - Stage-Route-Surv Data'!$L$5:$N$36,3,FALSE))</f>
        <v>#REF!</v>
      </c>
      <c r="Q141" s="452" t="e">
        <f>M141*VLOOKUP($B141&amp;$D141&amp;Q$137,'App6 - Stage-Route-Surv Data'!$S$5:$T$20,2,FALSE)</f>
        <v>#REF!</v>
      </c>
      <c r="R141" s="452" t="e">
        <f>N141*VLOOKUP($B141&amp;$D141&amp;R$137,'App6 - Stage-Route-Surv Data'!$S$5:$T$20,2,FALSE)</f>
        <v>#REF!</v>
      </c>
      <c r="S141" s="452" t="e">
        <f>O141*VLOOKUP($B141&amp;$D141&amp;S$137,'App6 - Stage-Route-Surv Data'!$S$5:$T$20,2,FALSE)</f>
        <v>#REF!</v>
      </c>
      <c r="T141" s="452" t="e">
        <f>P141*VLOOKUP($B141&amp;$D141&amp;T$137,'App6 - Stage-Route-Surv Data'!$S$5:$T$20,2,FALSE)</f>
        <v>#REF!</v>
      </c>
      <c r="U141" s="452" t="e">
        <f>SUM(Q141:T141)</f>
        <v>#REF!</v>
      </c>
      <c r="V141" s="469" t="e">
        <f>U141/H141</f>
        <v>#REF!</v>
      </c>
      <c r="W141" s="453">
        <f>$G141*W$134</f>
        <v>4369702.666666667</v>
      </c>
      <c r="X141" s="454" t="e">
        <f>H141</f>
        <v>#REF!</v>
      </c>
      <c r="Y141" s="454" t="e">
        <f>$H141-X141</f>
        <v>#REF!</v>
      </c>
      <c r="Z141" s="454" t="e">
        <f>IF($C141="other",(1-$C$138)*X141,(1-(VLOOKUP($C141,'S3 - Screening Tool Metrics'!$C$5:$G$19,5,FALSE)/100))*X141)</f>
        <v>#REF!</v>
      </c>
      <c r="AA141" s="454" t="e">
        <f>IF($C141="other",$C$138*X141,(VLOOKUP($C141,'S3 - Screening Tool Metrics'!$C$5:$G$19,5,FALSE)/100)*X141)</f>
        <v>#REF!</v>
      </c>
      <c r="AB141" s="449" t="e">
        <f>$AA141/$H141*100</f>
        <v>#REF!</v>
      </c>
      <c r="AC141" s="458" t="e">
        <f>(1-AD141)*($I141/SUM($I141,$K141,$L141))</f>
        <v>#REF!</v>
      </c>
      <c r="AD141" s="455" t="e">
        <f>AA141/$H141</f>
        <v>#REF!</v>
      </c>
      <c r="AE141" s="455" t="e">
        <f>(1-AD141)*($K141/SUM($I141,$K141,$L141))</f>
        <v>#REF!</v>
      </c>
      <c r="AF141" s="455" t="e">
        <f>(1-AD141)*($L141/SUM($I141,$K141,$L141))</f>
        <v>#REF!</v>
      </c>
      <c r="AG141" s="452" t="e">
        <f>(($H141*$AC141)*VLOOKUP($B141&amp;$AC$137&amp;AG$137,'App6 - Stage-Route-Surv Data'!$L$5:$N$52,3,FALSE))+(($H141*$AD141)*VLOOKUP($B141&amp;$AD$137&amp;AG$137,'App6 - Stage-Route-Surv Data'!$L$5:$N$52,3,FALSE))+(($H141*$AE141)*VLOOKUP($B141&amp;$AE$137&amp;AG$137,'App6 - Stage-Route-Surv Data'!$L$5:$N$52,3,FALSE))+(($H141*$AF141)*VLOOKUP($B141&amp;$AF$137&amp;AG$137,'App6 - Stage-Route-Surv Data'!$L$5:$N$52,3,FALSE))</f>
        <v>#REF!</v>
      </c>
      <c r="AH141" s="452" t="e">
        <f>(($H141*$AC141)*VLOOKUP($B141&amp;$AC$137&amp;AH$137,'App6 - Stage-Route-Surv Data'!$L$5:$N$52,3,FALSE))+(($H141*$AD141)*VLOOKUP($B141&amp;$AD$137&amp;AH$137,'App6 - Stage-Route-Surv Data'!$L$5:$N$52,3,FALSE))+(($H141*$AE141)*VLOOKUP($B141&amp;$AE$137&amp;AH$137,'App6 - Stage-Route-Surv Data'!$L$5:$N$52,3,FALSE))+(($H141*$AF141)*VLOOKUP($B141&amp;$AF$137&amp;AH$137,'App6 - Stage-Route-Surv Data'!$L$5:$N$52,3,FALSE))</f>
        <v>#REF!</v>
      </c>
      <c r="AI141" s="452" t="e">
        <f>(($H141*$AC141)*VLOOKUP($B141&amp;$AC$137&amp;AI$137,'App6 - Stage-Route-Surv Data'!$L$5:$N$52,3,FALSE))+(($H141*$AD141)*VLOOKUP($B141&amp;$AD$137&amp;AI$137,'App6 - Stage-Route-Surv Data'!$L$5:$N$52,3,FALSE))+(($H141*$AE141)*VLOOKUP($B141&amp;$AE$137&amp;AI$137,'App6 - Stage-Route-Surv Data'!$L$5:$N$52,3,FALSE))+(($H141*$AF141)*VLOOKUP($B141&amp;$AF$137&amp;AI$137,'App6 - Stage-Route-Surv Data'!$L$5:$N$52,3,FALSE))</f>
        <v>#REF!</v>
      </c>
      <c r="AJ141" s="452" t="e">
        <f>(($H141*$AC141)*VLOOKUP($B141&amp;$AC$137&amp;AJ$137,'App6 - Stage-Route-Surv Data'!$L$5:$N$52,3,FALSE))+(($H141*$AD141)*VLOOKUP($B141&amp;$AD$137&amp;AJ$137,'App6 - Stage-Route-Surv Data'!$L$5:$N$52,3,FALSE))+(($H141*$AE141)*VLOOKUP($B141&amp;$AE$137&amp;AJ$137,'App6 - Stage-Route-Surv Data'!$L$5:$N$52,3,FALSE))+(($H141*$AF141)*VLOOKUP($B141&amp;$AF$137&amp;AJ$137,'App6 - Stage-Route-Surv Data'!$L$5:$N$52,3,FALSE))</f>
        <v>#REF!</v>
      </c>
      <c r="AK141" s="452" t="e">
        <f>AG141*VLOOKUP($B141&amp;$D141&amp;AK$137,'App6 - Stage-Route-Surv Data'!$S$5:$T$40,2,FALSE)</f>
        <v>#REF!</v>
      </c>
      <c r="AL141" s="452" t="e">
        <f>AH141*VLOOKUP($B141&amp;$D141&amp;AL$137,'App6 - Stage-Route-Surv Data'!$S$5:$T$40,2,FALSE)</f>
        <v>#REF!</v>
      </c>
      <c r="AM141" s="452" t="e">
        <f>AI141*VLOOKUP($B141&amp;$D141&amp;AM$137,'App6 - Stage-Route-Surv Data'!$S$5:$T$40,2,FALSE)</f>
        <v>#REF!</v>
      </c>
      <c r="AN141" s="452" t="e">
        <f>AJ141*VLOOKUP($B141&amp;$D141&amp;AN$137,'App6 - Stage-Route-Surv Data'!$S$5:$T$40,2,FALSE)</f>
        <v>#REF!</v>
      </c>
      <c r="AO141" s="452" t="e">
        <f>SUM(AK141:AN141)</f>
        <v>#REF!</v>
      </c>
      <c r="AP141" s="469" t="e">
        <f>AO141/H141</f>
        <v>#REF!</v>
      </c>
      <c r="AQ141" s="456" t="e">
        <f>AO141-U141</f>
        <v>#REF!</v>
      </c>
      <c r="AR141" s="457" t="e">
        <f>(AO141/$H141)-($U141/$H141)</f>
        <v>#REF!</v>
      </c>
    </row>
    <row r="142" spans="2:44" ht="17" hidden="1" thickBot="1" x14ac:dyDescent="0.25">
      <c r="B142" s="42" t="s">
        <v>10</v>
      </c>
      <c r="C142" s="55"/>
      <c r="D142" s="35"/>
      <c r="E142" s="36"/>
      <c r="F142" s="37"/>
      <c r="G142" s="360"/>
      <c r="H142" s="38"/>
      <c r="I142" s="39"/>
      <c r="J142" s="39"/>
      <c r="K142" s="39"/>
      <c r="L142" s="39"/>
      <c r="M142" s="39"/>
      <c r="N142" s="39"/>
      <c r="O142" s="39"/>
      <c r="P142" s="39"/>
      <c r="Q142" s="39"/>
      <c r="R142" s="39"/>
      <c r="S142" s="39"/>
      <c r="T142" s="39"/>
      <c r="U142" s="39"/>
      <c r="V142" s="470"/>
      <c r="W142" s="40"/>
      <c r="X142" s="39"/>
      <c r="Y142" s="39"/>
      <c r="Z142" s="39"/>
      <c r="AA142" s="39"/>
      <c r="AB142" s="41"/>
      <c r="AC142" s="39"/>
      <c r="AD142" s="39"/>
      <c r="AE142" s="39"/>
      <c r="AF142" s="39"/>
      <c r="AG142" s="39"/>
      <c r="AH142" s="39"/>
      <c r="AI142" s="39"/>
      <c r="AJ142" s="39"/>
      <c r="AK142" s="39"/>
      <c r="AL142" s="39"/>
      <c r="AM142" s="39"/>
      <c r="AN142" s="39"/>
      <c r="AO142" s="39"/>
      <c r="AP142" s="470"/>
      <c r="AQ142" s="39"/>
      <c r="AR142" s="41"/>
    </row>
    <row r="143" spans="2:44" hidden="1" x14ac:dyDescent="0.2">
      <c r="B143" s="29" t="s">
        <v>10</v>
      </c>
      <c r="C143" s="45" t="s">
        <v>172</v>
      </c>
      <c r="D143" s="2" t="s">
        <v>194</v>
      </c>
      <c r="E143" s="16">
        <f>VLOOKUP($B143&amp;"_"&amp;$D143,'App5 - CRUK Inci Rates'!C:H,6,FALSE)</f>
        <v>75.7</v>
      </c>
      <c r="F143" s="17">
        <f>VLOOKUP($B143&amp;"_"&amp;$D143,'App5 - CRUK Inci Rates'!C:H,3,FALSE)</f>
        <v>0</v>
      </c>
      <c r="G143" s="359">
        <f>VLOOKUP($B143&amp;"_"&amp;$D143,'App5 - CRUK Inci Rates'!C:J,8,FALSE)</f>
        <v>2293472.6666666665</v>
      </c>
      <c r="H143" s="19" t="e">
        <f>((F143*#REF!)/100000)+((E143*#REF!)/100000)</f>
        <v>#REF!</v>
      </c>
      <c r="I143" s="93"/>
      <c r="J143" s="80"/>
      <c r="K143" s="80"/>
      <c r="L143" s="80"/>
      <c r="M143" s="80"/>
      <c r="N143" s="80"/>
      <c r="O143" s="80"/>
      <c r="P143" s="80"/>
      <c r="Q143" s="80"/>
      <c r="R143" s="80"/>
      <c r="S143" s="80"/>
      <c r="T143" s="80"/>
      <c r="U143" s="94"/>
      <c r="V143" s="468"/>
      <c r="W143" s="18">
        <f t="shared" ref="W143:W148" si="32">$G143*W$134</f>
        <v>2293472.6666666665</v>
      </c>
      <c r="X143" s="14" t="e">
        <f t="shared" ref="X143:X148" si="33">H143</f>
        <v>#REF!</v>
      </c>
      <c r="Y143" s="14" t="e">
        <f t="shared" ref="Y143:Y148" si="34">$H143-X143</f>
        <v>#REF!</v>
      </c>
      <c r="Z143" s="14" t="e">
        <f>IF($C143="other",(1-$C$142)*X143,(1-(VLOOKUP($C143,'S3 - Screening Tool Metrics'!$C$5:$G$19,5,FALSE)/100))*X143)</f>
        <v>#REF!</v>
      </c>
      <c r="AA143" s="14" t="e">
        <f>IF($C143="other",$C$142*X143,(VLOOKUP($C143,'S3 - Screening Tool Metrics'!$C$5:$G$19,5,FALSE)/100)*X143)</f>
        <v>#REF!</v>
      </c>
      <c r="AB143" s="19" t="e">
        <f t="shared" ref="AB143:AB148" si="35">$AA143/$H143*100</f>
        <v>#REF!</v>
      </c>
      <c r="AC143" s="93"/>
      <c r="AD143" s="80"/>
      <c r="AE143" s="80"/>
      <c r="AF143" s="80"/>
      <c r="AG143" s="80"/>
      <c r="AH143" s="80"/>
      <c r="AI143" s="80"/>
      <c r="AJ143" s="80"/>
      <c r="AK143" s="80"/>
      <c r="AL143" s="80"/>
      <c r="AM143" s="80"/>
      <c r="AN143" s="80"/>
      <c r="AO143" s="80"/>
      <c r="AP143" s="468"/>
      <c r="AQ143" s="80"/>
      <c r="AR143" s="94"/>
    </row>
    <row r="144" spans="2:44" hidden="1" x14ac:dyDescent="0.2">
      <c r="B144" s="29" t="s">
        <v>10</v>
      </c>
      <c r="C144" s="46" t="str">
        <f>C143</f>
        <v>PSA_3ng/mL cut-off</v>
      </c>
      <c r="D144" s="2" t="s">
        <v>195</v>
      </c>
      <c r="E144" s="16">
        <f>VLOOKUP($B144&amp;"_"&amp;$D144,'App5 - CRUK Inci Rates'!C:H,6,FALSE)</f>
        <v>201.8</v>
      </c>
      <c r="F144" s="17">
        <f>VLOOKUP($B144&amp;"_"&amp;$D144,'App5 - CRUK Inci Rates'!C:H,3,FALSE)</f>
        <v>0</v>
      </c>
      <c r="G144" s="359">
        <f>VLOOKUP($B144&amp;"_"&amp;$D144,'App5 - CRUK Inci Rates'!C:J,8,FALSE)</f>
        <v>2061918.6666666667</v>
      </c>
      <c r="H144" s="19" t="e">
        <f>((F144*#REF!)/100000)+((E144*#REF!)/100000)</f>
        <v>#REF!</v>
      </c>
      <c r="I144" s="93"/>
      <c r="J144" s="80"/>
      <c r="K144" s="80"/>
      <c r="L144" s="80"/>
      <c r="M144" s="80"/>
      <c r="N144" s="80"/>
      <c r="O144" s="80"/>
      <c r="P144" s="80"/>
      <c r="Q144" s="80"/>
      <c r="R144" s="80"/>
      <c r="S144" s="80"/>
      <c r="T144" s="80"/>
      <c r="U144" s="94"/>
      <c r="V144" s="468"/>
      <c r="W144" s="18">
        <f t="shared" si="32"/>
        <v>2061918.6666666667</v>
      </c>
      <c r="X144" s="14" t="e">
        <f t="shared" si="33"/>
        <v>#REF!</v>
      </c>
      <c r="Y144" s="14" t="e">
        <f t="shared" si="34"/>
        <v>#REF!</v>
      </c>
      <c r="Z144" s="14" t="e">
        <f>IF($C144="other",(1-$C$142)*X144,(1-(VLOOKUP($C144,'S3 - Screening Tool Metrics'!$C$5:$G$19,5,FALSE)/100))*X144)</f>
        <v>#REF!</v>
      </c>
      <c r="AA144" s="14" t="e">
        <f>IF($C144="other",$C$142*X144,(VLOOKUP($C144,'S3 - Screening Tool Metrics'!$C$5:$G$19,5,FALSE)/100)*X144)</f>
        <v>#REF!</v>
      </c>
      <c r="AB144" s="19" t="e">
        <f t="shared" si="35"/>
        <v>#REF!</v>
      </c>
      <c r="AC144" s="93"/>
      <c r="AD144" s="80"/>
      <c r="AE144" s="80"/>
      <c r="AF144" s="80"/>
      <c r="AG144" s="80"/>
      <c r="AH144" s="80"/>
      <c r="AI144" s="80"/>
      <c r="AJ144" s="80"/>
      <c r="AK144" s="80"/>
      <c r="AL144" s="80"/>
      <c r="AM144" s="80"/>
      <c r="AN144" s="80"/>
      <c r="AO144" s="80"/>
      <c r="AP144" s="468"/>
      <c r="AQ144" s="80"/>
      <c r="AR144" s="94"/>
    </row>
    <row r="145" spans="2:44" ht="17" hidden="1" thickBot="1" x14ac:dyDescent="0.25">
      <c r="B145" s="106" t="s">
        <v>10</v>
      </c>
      <c r="C145" s="433" t="str">
        <f>C144</f>
        <v>PSA_3ng/mL cut-off</v>
      </c>
      <c r="D145" s="82" t="s">
        <v>230</v>
      </c>
      <c r="E145" s="361">
        <f>VLOOKUP($B145&amp;"_"&amp;$D145,'App5 - CRUK Inci Rates'!C:H,6,FALSE)</f>
        <v>135.39541108208113</v>
      </c>
      <c r="F145" s="362">
        <f>VLOOKUP($B145&amp;"_"&amp;$D145,'App5 - CRUK Inci Rates'!C:H,3,FALSE)</f>
        <v>0</v>
      </c>
      <c r="G145" s="363">
        <f>VLOOKUP($B145&amp;"_"&amp;$D145,'App5 - CRUK Inci Rates'!C:J,8,FALSE)</f>
        <v>4355391.333333333</v>
      </c>
      <c r="H145" s="88" t="e">
        <f>((F145*#REF!)/100000)+((E145*#REF!)/100000)</f>
        <v>#REF!</v>
      </c>
      <c r="I145" s="367">
        <f>VLOOKUP($B145&amp;I$137&amp;$D145,'App6 - Stage-Route-Surv Data'!$E$5:$G$76,3,FALSE)</f>
        <v>0.59247594050743657</v>
      </c>
      <c r="J145" s="85">
        <f>VLOOKUP($B145&amp;J$137&amp;$D145,'App6 - Stage-Route-Surv Data'!$E$5:$G$76,3,FALSE)</f>
        <v>0</v>
      </c>
      <c r="K145" s="85">
        <f>VLOOKUP($B145&amp;K$137&amp;$D145,'App6 - Stage-Route-Surv Data'!$E$5:$G$76,3,FALSE)</f>
        <v>2.5721784776902887E-2</v>
      </c>
      <c r="L145" s="85">
        <f>VLOOKUP($B145&amp;L$137&amp;$D145,'App6 - Stage-Route-Surv Data'!$E$5:$G$76,3,FALSE)</f>
        <v>0.38180227471566053</v>
      </c>
      <c r="M145" s="86" t="e">
        <f>(($H145*$I145)*VLOOKUP($B145&amp;$I$137&amp;M$137,'App6 - Stage-Route-Surv Data'!$L$5:$N$52,3,FALSE))+(($H145*$J145)*VLOOKUP($B145&amp;$J$137&amp;M$137,'App6 - Stage-Route-Surv Data'!$L$5:$N$52,3,FALSE))+(($H145*$K145)*VLOOKUP($B145&amp;$K$137&amp;M$137,'App6 - Stage-Route-Surv Data'!$L$5:$N$52,3,FALSE))+(($H145*$L145)*VLOOKUP($B145&amp;$L$137&amp;M$137,'App6 - Stage-Route-Surv Data'!$L$5:$N$52,3,FALSE))</f>
        <v>#REF!</v>
      </c>
      <c r="N145" s="86" t="e">
        <f>(($H145*$I145)*VLOOKUP($B145&amp;$I$137&amp;N$137,'App6 - Stage-Route-Surv Data'!$L$5:$N$52,3,FALSE))+(($H145*$J145)*VLOOKUP($B145&amp;$J$137&amp;N$137,'App6 - Stage-Route-Surv Data'!$L$5:$N$52,3,FALSE))+(($H145*$K145)*VLOOKUP($B145&amp;$K$137&amp;N$137,'App6 - Stage-Route-Surv Data'!$L$5:$N$52,3,FALSE))+(($H145*$L145)*VLOOKUP($B145&amp;$L$137&amp;N$137,'App6 - Stage-Route-Surv Data'!$L$5:$N$52,3,FALSE))</f>
        <v>#REF!</v>
      </c>
      <c r="O145" s="86" t="e">
        <f>(($H145*$I145)*VLOOKUP($B145&amp;$I$137&amp;O$137,'App6 - Stage-Route-Surv Data'!$L$5:$N$52,3,FALSE))+(($H145*$J145)*VLOOKUP($B145&amp;$J$137&amp;O$137,'App6 - Stage-Route-Surv Data'!$L$5:$N$52,3,FALSE))+(($H145*$K145)*VLOOKUP($B145&amp;$K$137&amp;O$137,'App6 - Stage-Route-Surv Data'!$L$5:$N$52,3,FALSE))+(($H145*$L145)*VLOOKUP($B145&amp;$L$137&amp;O$137,'App6 - Stage-Route-Surv Data'!$L$5:$N$52,3,FALSE))</f>
        <v>#REF!</v>
      </c>
      <c r="P145" s="86" t="e">
        <f>(($H145*$I145)*VLOOKUP($B145&amp;$I$137&amp;P$137,'App6 - Stage-Route-Surv Data'!$L$5:$N$52,3,FALSE))+(($H145*$J145)*VLOOKUP($B145&amp;$J$137&amp;P$137,'App6 - Stage-Route-Surv Data'!$L$5:$N$52,3,FALSE))+(($H145*$K145)*VLOOKUP($B145&amp;$K$137&amp;P$137,'App6 - Stage-Route-Surv Data'!$L$5:$N$52,3,FALSE))+(($H145*$L145)*VLOOKUP($B145&amp;$L$137&amp;P$137,'App6 - Stage-Route-Surv Data'!$L$5:$N$52,3,FALSE))</f>
        <v>#REF!</v>
      </c>
      <c r="Q145" s="86" t="e">
        <f>M145*VLOOKUP($B145&amp;$D145&amp;Q$137,'App6 - Stage-Route-Surv Data'!$S$5:$T$40,2,FALSE)</f>
        <v>#REF!</v>
      </c>
      <c r="R145" s="86" t="e">
        <f>N145*VLOOKUP($B145&amp;$D145&amp;R$137,'App6 - Stage-Route-Surv Data'!$S$5:$T$40,2,FALSE)</f>
        <v>#REF!</v>
      </c>
      <c r="S145" s="86" t="e">
        <f>O145*VLOOKUP($B145&amp;$D145&amp;S$137,'App6 - Stage-Route-Surv Data'!$S$5:$T$40,2,FALSE)</f>
        <v>#REF!</v>
      </c>
      <c r="T145" s="86" t="e">
        <f>P145*VLOOKUP($B145&amp;$D145&amp;T$137,'App6 - Stage-Route-Surv Data'!$S$5:$T$40,2,FALSE)</f>
        <v>#REF!</v>
      </c>
      <c r="U145" s="83" t="e">
        <f>SUM(Q145:T145)</f>
        <v>#REF!</v>
      </c>
      <c r="V145" s="471" t="e">
        <f>U145/H145</f>
        <v>#REF!</v>
      </c>
      <c r="W145" s="87">
        <f t="shared" si="32"/>
        <v>4355391.333333333</v>
      </c>
      <c r="X145" s="84" t="e">
        <f t="shared" si="33"/>
        <v>#REF!</v>
      </c>
      <c r="Y145" s="84" t="e">
        <f t="shared" si="34"/>
        <v>#REF!</v>
      </c>
      <c r="Z145" s="84" t="e">
        <f>IF($C145="other",(1-$C$142)*X145,(1-(VLOOKUP($C145,'S3 - Screening Tool Metrics'!$C$5:$G$19,5,FALSE)/100))*X145)</f>
        <v>#REF!</v>
      </c>
      <c r="AA145" s="84" t="e">
        <f>IF($C145="other",$C$142*X145,(VLOOKUP($C145,'S3 - Screening Tool Metrics'!$C$5:$G$19,5,FALSE)/100)*X145)</f>
        <v>#REF!</v>
      </c>
      <c r="AB145" s="88" t="e">
        <f t="shared" si="35"/>
        <v>#REF!</v>
      </c>
      <c r="AC145" s="369" t="e">
        <f>(1-AD145)*($I145/SUM($I145,$K145,$L145))</f>
        <v>#REF!</v>
      </c>
      <c r="AD145" s="89" t="e">
        <f>AA145/$H145</f>
        <v>#REF!</v>
      </c>
      <c r="AE145" s="89" t="e">
        <f>(1-AD145)*($K145/SUM($I145,$K145,$L145))</f>
        <v>#REF!</v>
      </c>
      <c r="AF145" s="89" t="e">
        <f>(1-AD145)*($L145/SUM($I145,$K145,$L145))</f>
        <v>#REF!</v>
      </c>
      <c r="AG145" s="86" t="e">
        <f>(($H145*$AC145)*VLOOKUP($B145&amp;$AC$137&amp;AG$137,'App6 - Stage-Route-Surv Data'!$L$5:$N$52,3,FALSE))+(($H145*$AD145)*VLOOKUP($B145&amp;$AD$137&amp;AG$137,'App6 - Stage-Route-Surv Data'!$L$5:$N$52,3,FALSE))+(($H145*$AE145)*VLOOKUP($B145&amp;$AE$137&amp;AG$137,'App6 - Stage-Route-Surv Data'!$L$5:$N$52,3,FALSE))+(($H145*$AF145)*VLOOKUP($B145&amp;$AF$137&amp;AG$137,'App6 - Stage-Route-Surv Data'!$L$5:$N$52,3,FALSE))</f>
        <v>#REF!</v>
      </c>
      <c r="AH145" s="86" t="e">
        <f>(($H145*$AC145)*VLOOKUP($B145&amp;$AC$137&amp;AH$137,'App6 - Stage-Route-Surv Data'!$L$5:$N$52,3,FALSE))+(($H145*$AD145)*VLOOKUP($B145&amp;$AD$137&amp;AH$137,'App6 - Stage-Route-Surv Data'!$L$5:$N$52,3,FALSE))+(($H145*$AE145)*VLOOKUP($B145&amp;$AE$137&amp;AH$137,'App6 - Stage-Route-Surv Data'!$L$5:$N$52,3,FALSE))+(($H145*$AF145)*VLOOKUP($B145&amp;$AF$137&amp;AH$137,'App6 - Stage-Route-Surv Data'!$L$5:$N$52,3,FALSE))</f>
        <v>#REF!</v>
      </c>
      <c r="AI145" s="86" t="e">
        <f>(($H145*$AC145)*VLOOKUP($B145&amp;$AC$137&amp;AI$137,'App6 - Stage-Route-Surv Data'!$L$5:$N$52,3,FALSE))+(($H145*$AD145)*VLOOKUP($B145&amp;$AD$137&amp;AI$137,'App6 - Stage-Route-Surv Data'!$L$5:$N$52,3,FALSE))+(($H145*$AE145)*VLOOKUP($B145&amp;$AE$137&amp;AI$137,'App6 - Stage-Route-Surv Data'!$L$5:$N$52,3,FALSE))+(($H145*$AF145)*VLOOKUP($B145&amp;$AF$137&amp;AI$137,'App6 - Stage-Route-Surv Data'!$L$5:$N$52,3,FALSE))</f>
        <v>#REF!</v>
      </c>
      <c r="AJ145" s="86" t="e">
        <f>(($H145*$AC145)*VLOOKUP($B145&amp;$AC$137&amp;AJ$137,'App6 - Stage-Route-Surv Data'!$L$5:$N$52,3,FALSE))+(($H145*$AD145)*VLOOKUP($B145&amp;$AD$137&amp;AJ$137,'App6 - Stage-Route-Surv Data'!$L$5:$N$52,3,FALSE))+(($H145*$AE145)*VLOOKUP($B145&amp;$AE$137&amp;AJ$137,'App6 - Stage-Route-Surv Data'!$L$5:$N$52,3,FALSE))+(($H145*$AF145)*VLOOKUP($B145&amp;$AF$137&amp;AJ$137,'App6 - Stage-Route-Surv Data'!$L$5:$N$52,3,FALSE))</f>
        <v>#REF!</v>
      </c>
      <c r="AK145" s="86" t="e">
        <f>AG145*VLOOKUP($B145&amp;$D145&amp;AK$137,'App6 - Stage-Route-Surv Data'!$S$5:$T$40,2,FALSE)</f>
        <v>#REF!</v>
      </c>
      <c r="AL145" s="86" t="e">
        <f>AH145*VLOOKUP($B145&amp;$D145&amp;AL$137,'App6 - Stage-Route-Surv Data'!$S$5:$T$40,2,FALSE)</f>
        <v>#REF!</v>
      </c>
      <c r="AM145" s="86" t="e">
        <f>AI145*VLOOKUP($B145&amp;$D145&amp;AM$137,'App6 - Stage-Route-Surv Data'!$S$5:$T$40,2,FALSE)</f>
        <v>#REF!</v>
      </c>
      <c r="AN145" s="86" t="e">
        <f>AJ145*VLOOKUP($B145&amp;$D145&amp;AN$137,'App6 - Stage-Route-Surv Data'!$S$5:$T$40,2,FALSE)</f>
        <v>#REF!</v>
      </c>
      <c r="AO145" s="86" t="e">
        <f>SUM(AK145:AN145)</f>
        <v>#REF!</v>
      </c>
      <c r="AP145" s="469" t="e">
        <f>AO145/H145</f>
        <v>#REF!</v>
      </c>
      <c r="AQ145" s="90" t="e">
        <f>AO145-U145</f>
        <v>#REF!</v>
      </c>
      <c r="AR145" s="95" t="e">
        <f>(AO145/$H145)-($U145/$H145)</f>
        <v>#REF!</v>
      </c>
    </row>
    <row r="146" spans="2:44" hidden="1" x14ac:dyDescent="0.2">
      <c r="B146" s="29" t="s">
        <v>10</v>
      </c>
      <c r="C146" s="46" t="str">
        <f>C145</f>
        <v>PSA_3ng/mL cut-off</v>
      </c>
      <c r="D146" s="2" t="s">
        <v>196</v>
      </c>
      <c r="E146" s="427">
        <f>VLOOKUP($B146&amp;"_"&amp;$D146,'App5 - CRUK Inci Rates'!C:H,6,FALSE)</f>
        <v>356.1</v>
      </c>
      <c r="F146" s="17">
        <f>VLOOKUP($B146&amp;"_"&amp;$D146,'App5 - CRUK Inci Rates'!C:H,3,FALSE)</f>
        <v>0</v>
      </c>
      <c r="G146" s="359">
        <f>VLOOKUP($B146&amp;"_"&amp;$D146,'App5 - CRUK Inci Rates'!C:J,8,FALSE)</f>
        <v>1764828</v>
      </c>
      <c r="H146" s="19" t="e">
        <f>((F146*#REF!)/100000)+((E146*#REF!)/100000)</f>
        <v>#REF!</v>
      </c>
      <c r="I146" s="93"/>
      <c r="J146" s="80"/>
      <c r="K146" s="80"/>
      <c r="L146" s="80"/>
      <c r="M146" s="80"/>
      <c r="N146" s="80"/>
      <c r="O146" s="80"/>
      <c r="P146" s="80"/>
      <c r="Q146" s="80"/>
      <c r="R146" s="80"/>
      <c r="S146" s="80"/>
      <c r="T146" s="80"/>
      <c r="U146" s="94"/>
      <c r="V146" s="468"/>
      <c r="W146" s="18">
        <f t="shared" si="32"/>
        <v>1764828</v>
      </c>
      <c r="X146" s="14" t="e">
        <f t="shared" si="33"/>
        <v>#REF!</v>
      </c>
      <c r="Y146" s="14" t="e">
        <f t="shared" si="34"/>
        <v>#REF!</v>
      </c>
      <c r="Z146" s="14" t="e">
        <f>IF($C146="other",(1-$C$142)*X146,(1-(VLOOKUP($C146,'S3 - Screening Tool Metrics'!$C$5:$G$19,5,FALSE)/100))*X146)</f>
        <v>#REF!</v>
      </c>
      <c r="AA146" s="14" t="e">
        <f>IF($C146="other",$C$142*X146,(VLOOKUP($C146,'S3 - Screening Tool Metrics'!$C$5:$G$19,5,FALSE)/100)*X146)</f>
        <v>#REF!</v>
      </c>
      <c r="AB146" s="19" t="e">
        <f t="shared" si="35"/>
        <v>#REF!</v>
      </c>
      <c r="AC146" s="93"/>
      <c r="AD146" s="80"/>
      <c r="AE146" s="80"/>
      <c r="AF146" s="80"/>
      <c r="AG146" s="80"/>
      <c r="AH146" s="80"/>
      <c r="AI146" s="80"/>
      <c r="AJ146" s="80"/>
      <c r="AK146" s="80"/>
      <c r="AL146" s="80"/>
      <c r="AM146" s="80"/>
      <c r="AN146" s="80"/>
      <c r="AO146" s="80"/>
      <c r="AP146" s="468"/>
      <c r="AQ146" s="80"/>
      <c r="AR146" s="94"/>
    </row>
    <row r="147" spans="2:44" hidden="1" x14ac:dyDescent="0.2">
      <c r="B147" s="29" t="s">
        <v>10</v>
      </c>
      <c r="C147" s="46" t="str">
        <f>C146</f>
        <v>PSA_3ng/mL cut-off</v>
      </c>
      <c r="D147" s="143" t="s">
        <v>197</v>
      </c>
      <c r="E147" s="428">
        <f>VLOOKUP($B147&amp;"_"&amp;$D147,'App5 - CRUK Inci Rates'!C:H,6,FALSE)</f>
        <v>622.70000000000005</v>
      </c>
      <c r="F147" s="17">
        <f>VLOOKUP($B147&amp;"_"&amp;$D147,'App5 - CRUK Inci Rates'!C:H,3,FALSE)</f>
        <v>0</v>
      </c>
      <c r="G147" s="359">
        <f>VLOOKUP($B147&amp;"_"&amp;$D147,'App5 - CRUK Inci Rates'!C:J,8,FALSE)</f>
        <v>1696993.3333333333</v>
      </c>
      <c r="H147" s="19" t="e">
        <f>((F147*#REF!)/100000)+((E147*#REF!)/100000)</f>
        <v>#REF!</v>
      </c>
      <c r="I147" s="93"/>
      <c r="J147" s="80"/>
      <c r="K147" s="80"/>
      <c r="L147" s="80"/>
      <c r="M147" s="80"/>
      <c r="N147" s="80"/>
      <c r="O147" s="80"/>
      <c r="P147" s="80"/>
      <c r="Q147" s="80"/>
      <c r="R147" s="80"/>
      <c r="S147" s="80"/>
      <c r="T147" s="80"/>
      <c r="U147" s="94"/>
      <c r="V147" s="468"/>
      <c r="W147" s="18">
        <f t="shared" si="32"/>
        <v>1696993.3333333333</v>
      </c>
      <c r="X147" s="14" t="e">
        <f t="shared" si="33"/>
        <v>#REF!</v>
      </c>
      <c r="Y147" s="14" t="e">
        <f t="shared" si="34"/>
        <v>#REF!</v>
      </c>
      <c r="Z147" s="14" t="e">
        <f>IF($C147="other",(1-$C$142)*X147,(1-(VLOOKUP($C147,'S3 - Screening Tool Metrics'!$C$5:$G$19,5,FALSE)/100))*X147)</f>
        <v>#REF!</v>
      </c>
      <c r="AA147" s="14" t="e">
        <f>IF($C147="other",$C$142*X147,(VLOOKUP($C147,'S3 - Screening Tool Metrics'!$C$5:$G$19,5,FALSE)/100)*X147)</f>
        <v>#REF!</v>
      </c>
      <c r="AB147" s="19" t="e">
        <f t="shared" si="35"/>
        <v>#REF!</v>
      </c>
      <c r="AC147" s="93"/>
      <c r="AD147" s="80"/>
      <c r="AE147" s="80"/>
      <c r="AF147" s="80"/>
      <c r="AG147" s="80"/>
      <c r="AH147" s="80"/>
      <c r="AI147" s="80"/>
      <c r="AJ147" s="80"/>
      <c r="AK147" s="80"/>
      <c r="AL147" s="80"/>
      <c r="AM147" s="80"/>
      <c r="AN147" s="80"/>
      <c r="AO147" s="80"/>
      <c r="AP147" s="468"/>
      <c r="AQ147" s="80"/>
      <c r="AR147" s="94"/>
    </row>
    <row r="148" spans="2:44" ht="17" hidden="1" thickBot="1" x14ac:dyDescent="0.25">
      <c r="B148" s="107" t="s">
        <v>10</v>
      </c>
      <c r="C148" s="434" t="str">
        <f>C147</f>
        <v>PSA_3ng/mL cut-off</v>
      </c>
      <c r="D148" s="96" t="s">
        <v>239</v>
      </c>
      <c r="E148" s="20">
        <f>VLOOKUP($B148&amp;"_"&amp;$D148,'App5 - CRUK Inci Rates'!C:H,6,FALSE)</f>
        <v>486.82466185429951</v>
      </c>
      <c r="F148" s="365">
        <f>VLOOKUP($B148&amp;"_"&amp;$D148,'App5 - CRUK Inci Rates'!C:H,3,FALSE)</f>
        <v>0</v>
      </c>
      <c r="G148" s="366">
        <f>VLOOKUP($B148&amp;"_"&amp;$D148,'App5 - CRUK Inci Rates'!C:J,8,FALSE)</f>
        <v>3461821.333333333</v>
      </c>
      <c r="H148" s="102" t="e">
        <f>((F148*#REF!)/100000)+((E148*#REF!)/100000)</f>
        <v>#REF!</v>
      </c>
      <c r="I148" s="368">
        <f>VLOOKUP($B148&amp;I$137&amp;$D148,'App6 - Stage-Route-Surv Data'!$E$5:$G$76,3,FALSE)</f>
        <v>0.6049957385432374</v>
      </c>
      <c r="J148" s="99">
        <f>VLOOKUP($B148&amp;J$137&amp;$D148,'App6 - Stage-Route-Surv Data'!$E$5:$G$76,3,FALSE)</f>
        <v>0</v>
      </c>
      <c r="K148" s="99">
        <f>VLOOKUP($B148&amp;K$137&amp;$D148,'App6 - Stage-Route-Surv Data'!$E$5:$G$76,3,FALSE)</f>
        <v>3.1141414803645184E-2</v>
      </c>
      <c r="L148" s="99">
        <f>VLOOKUP($B148&amp;L$137&amp;$D148,'App6 - Stage-Route-Surv Data'!$E$5:$G$76,3,FALSE)</f>
        <v>0.36386284665311741</v>
      </c>
      <c r="M148" s="100" t="e">
        <f>(($H148*$I148)*VLOOKUP($B148&amp;$I$137&amp;M$137,'App6 - Stage-Route-Surv Data'!$L$5:$N$52,3,FALSE))+(($H148*$J148)*VLOOKUP($B148&amp;$J$137&amp;M$137,'App6 - Stage-Route-Surv Data'!$L$5:$N$52,3,FALSE))+(($H148*$K148)*VLOOKUP($B148&amp;$K$137&amp;M$137,'App6 - Stage-Route-Surv Data'!$L$5:$N$52,3,FALSE))+(($H148*$L148)*VLOOKUP($B148&amp;$L$137&amp;M$137,'App6 - Stage-Route-Surv Data'!$L$5:$N$52,3,FALSE))</f>
        <v>#REF!</v>
      </c>
      <c r="N148" s="100" t="e">
        <f>(($H148*$I148)*VLOOKUP($B148&amp;$I$137&amp;N$137,'App6 - Stage-Route-Surv Data'!$L$5:$N$52,3,FALSE))+(($H148*$J148)*VLOOKUP($B148&amp;$J$137&amp;N$137,'App6 - Stage-Route-Surv Data'!$L$5:$N$52,3,FALSE))+(($H148*$K148)*VLOOKUP($B148&amp;$K$137&amp;N$137,'App6 - Stage-Route-Surv Data'!$L$5:$N$52,3,FALSE))+(($H148*$L148)*VLOOKUP($B148&amp;$L$137&amp;N$137,'App6 - Stage-Route-Surv Data'!$L$5:$N$52,3,FALSE))</f>
        <v>#REF!</v>
      </c>
      <c r="O148" s="100" t="e">
        <f>(($H148*$I148)*VLOOKUP($B148&amp;$I$137&amp;O$137,'App6 - Stage-Route-Surv Data'!$L$5:$N$52,3,FALSE))+(($H148*$J148)*VLOOKUP($B148&amp;$J$137&amp;O$137,'App6 - Stage-Route-Surv Data'!$L$5:$N$52,3,FALSE))+(($H148*$K148)*VLOOKUP($B148&amp;$K$137&amp;O$137,'App6 - Stage-Route-Surv Data'!$L$5:$N$52,3,FALSE))+(($H148*$L148)*VLOOKUP($B148&amp;$L$137&amp;O$137,'App6 - Stage-Route-Surv Data'!$L$5:$N$52,3,FALSE))</f>
        <v>#REF!</v>
      </c>
      <c r="P148" s="100" t="e">
        <f>(($H148*$I148)*VLOOKUP($B148&amp;$I$137&amp;P$137,'App6 - Stage-Route-Surv Data'!$L$5:$N$52,3,FALSE))+(($H148*$J148)*VLOOKUP($B148&amp;$J$137&amp;P$137,'App6 - Stage-Route-Surv Data'!$L$5:$N$52,3,FALSE))+(($H148*$K148)*VLOOKUP($B148&amp;$K$137&amp;P$137,'App6 - Stage-Route-Surv Data'!$L$5:$N$52,3,FALSE))+(($H148*$L148)*VLOOKUP($B148&amp;$L$137&amp;P$137,'App6 - Stage-Route-Surv Data'!$L$5:$N$52,3,FALSE))</f>
        <v>#REF!</v>
      </c>
      <c r="Q148" s="100" t="e">
        <f>M148*VLOOKUP($B148&amp;$D148&amp;Q$137,'App6 - Stage-Route-Surv Data'!$S$5:$T$40,2,FALSE)</f>
        <v>#REF!</v>
      </c>
      <c r="R148" s="100" t="e">
        <f>N148*VLOOKUP($B148&amp;$D148&amp;R$137,'App6 - Stage-Route-Surv Data'!$S$5:$T$40,2,FALSE)</f>
        <v>#REF!</v>
      </c>
      <c r="S148" s="100" t="e">
        <f>O148*VLOOKUP($B148&amp;$D148&amp;S$137,'App6 - Stage-Route-Surv Data'!$S$5:$T$40,2,FALSE)</f>
        <v>#REF!</v>
      </c>
      <c r="T148" s="100" t="e">
        <f>P148*VLOOKUP($B148&amp;$D148&amp;T$137,'App6 - Stage-Route-Surv Data'!$S$5:$T$40,2,FALSE)</f>
        <v>#REF!</v>
      </c>
      <c r="U148" s="97" t="e">
        <f>SUM(Q148:T148)</f>
        <v>#REF!</v>
      </c>
      <c r="V148" s="471" t="e">
        <f>U148/H148</f>
        <v>#REF!</v>
      </c>
      <c r="W148" s="101">
        <f t="shared" si="32"/>
        <v>3461821.333333333</v>
      </c>
      <c r="X148" s="98" t="e">
        <f t="shared" si="33"/>
        <v>#REF!</v>
      </c>
      <c r="Y148" s="98" t="e">
        <f t="shared" si="34"/>
        <v>#REF!</v>
      </c>
      <c r="Z148" s="98" t="e">
        <f>IF($C148="other",(1-$C$142)*X148,(1-(VLOOKUP($C148,'S3 - Screening Tool Metrics'!$C$5:$G$19,5,FALSE)/100))*X148)</f>
        <v>#REF!</v>
      </c>
      <c r="AA148" s="98" t="e">
        <f>IF($C148="other",$C$142*X148,(VLOOKUP($C148,'S3 - Screening Tool Metrics'!$C$5:$G$19,5,FALSE)/100)*X148)</f>
        <v>#REF!</v>
      </c>
      <c r="AB148" s="102" t="e">
        <f t="shared" si="35"/>
        <v>#REF!</v>
      </c>
      <c r="AC148" s="370" t="e">
        <f>(1-AD148)*($I148/SUM($I148,$K148,$L148))</f>
        <v>#REF!</v>
      </c>
      <c r="AD148" s="103" t="e">
        <f>AA148/$H148</f>
        <v>#REF!</v>
      </c>
      <c r="AE148" s="103" t="e">
        <f>(1-AD148)*($K148/SUM($I148,$K148,$L148))</f>
        <v>#REF!</v>
      </c>
      <c r="AF148" s="103" t="e">
        <f>(1-AD148)*($L148/SUM($I148,$K148,$L148))</f>
        <v>#REF!</v>
      </c>
      <c r="AG148" s="100" t="e">
        <f>(($H148*$AC148)*VLOOKUP($B148&amp;$AC$137&amp;AG$137,'App6 - Stage-Route-Surv Data'!$L$5:$N$52,3,FALSE))+(($H148*$AD148)*VLOOKUP($B148&amp;$AD$137&amp;AG$137,'App6 - Stage-Route-Surv Data'!$L$5:$N$52,3,FALSE))+(($H148*$AE148)*VLOOKUP($B148&amp;$AE$137&amp;AG$137,'App6 - Stage-Route-Surv Data'!$L$5:$N$52,3,FALSE))+(($H148*$AF148)*VLOOKUP($B148&amp;$AF$137&amp;AG$137,'App6 - Stage-Route-Surv Data'!$L$5:$N$52,3,FALSE))</f>
        <v>#REF!</v>
      </c>
      <c r="AH148" s="100" t="e">
        <f>(($H148*$AC148)*VLOOKUP($B148&amp;$AC$137&amp;AH$137,'App6 - Stage-Route-Surv Data'!$L$5:$N$52,3,FALSE))+(($H148*$AD148)*VLOOKUP($B148&amp;$AD$137&amp;AH$137,'App6 - Stage-Route-Surv Data'!$L$5:$N$52,3,FALSE))+(($H148*$AE148)*VLOOKUP($B148&amp;$AE$137&amp;AH$137,'App6 - Stage-Route-Surv Data'!$L$5:$N$52,3,FALSE))+(($H148*$AF148)*VLOOKUP($B148&amp;$AF$137&amp;AH$137,'App6 - Stage-Route-Surv Data'!$L$5:$N$52,3,FALSE))</f>
        <v>#REF!</v>
      </c>
      <c r="AI148" s="100" t="e">
        <f>(($H148*$AC148)*VLOOKUP($B148&amp;$AC$137&amp;AI$137,'App6 - Stage-Route-Surv Data'!$L$5:$N$52,3,FALSE))+(($H148*$AD148)*VLOOKUP($B148&amp;$AD$137&amp;AI$137,'App6 - Stage-Route-Surv Data'!$L$5:$N$52,3,FALSE))+(($H148*$AE148)*VLOOKUP($B148&amp;$AE$137&amp;AI$137,'App6 - Stage-Route-Surv Data'!$L$5:$N$52,3,FALSE))+(($H148*$AF148)*VLOOKUP($B148&amp;$AF$137&amp;AI$137,'App6 - Stage-Route-Surv Data'!$L$5:$N$52,3,FALSE))</f>
        <v>#REF!</v>
      </c>
      <c r="AJ148" s="100" t="e">
        <f>(($H148*$AC148)*VLOOKUP($B148&amp;$AC$137&amp;AJ$137,'App6 - Stage-Route-Surv Data'!$L$5:$N$52,3,FALSE))+(($H148*$AD148)*VLOOKUP($B148&amp;$AD$137&amp;AJ$137,'App6 - Stage-Route-Surv Data'!$L$5:$N$52,3,FALSE))+(($H148*$AE148)*VLOOKUP($B148&amp;$AE$137&amp;AJ$137,'App6 - Stage-Route-Surv Data'!$L$5:$N$52,3,FALSE))+(($H148*$AF148)*VLOOKUP($B148&amp;$AF$137&amp;AJ$137,'App6 - Stage-Route-Surv Data'!$L$5:$N$52,3,FALSE))</f>
        <v>#REF!</v>
      </c>
      <c r="AK148" s="100" t="e">
        <f>AG148*VLOOKUP($B148&amp;$D148&amp;AK$137,'App6 - Stage-Route-Surv Data'!$S$5:$T$40,2,FALSE)</f>
        <v>#REF!</v>
      </c>
      <c r="AL148" s="100" t="e">
        <f>AH148*VLOOKUP($B148&amp;$D148&amp;AL$137,'App6 - Stage-Route-Surv Data'!$S$5:$T$40,2,FALSE)</f>
        <v>#REF!</v>
      </c>
      <c r="AM148" s="100" t="e">
        <f>AI148*VLOOKUP($B148&amp;$D148&amp;AM$137,'App6 - Stage-Route-Surv Data'!$S$5:$T$40,2,FALSE)</f>
        <v>#REF!</v>
      </c>
      <c r="AN148" s="100" t="e">
        <f>AJ148*VLOOKUP($B148&amp;$D148&amp;AN$137,'App6 - Stage-Route-Surv Data'!$S$5:$T$40,2,FALSE)</f>
        <v>#REF!</v>
      </c>
      <c r="AO148" s="100" t="e">
        <f>SUM(AK148:AN148)</f>
        <v>#REF!</v>
      </c>
      <c r="AP148" s="469" t="e">
        <f>AO148/H148</f>
        <v>#REF!</v>
      </c>
      <c r="AQ148" s="104" t="e">
        <f>AO148-U148</f>
        <v>#REF!</v>
      </c>
      <c r="AR148" s="105" t="e">
        <f>(AO148/$H148)-($U148/$H148)</f>
        <v>#REF!</v>
      </c>
    </row>
    <row r="149" spans="2:44" ht="17" hidden="1" thickBot="1" x14ac:dyDescent="0.25">
      <c r="B149" s="42" t="s">
        <v>11</v>
      </c>
      <c r="C149" s="55"/>
      <c r="D149" s="35"/>
      <c r="E149" s="36"/>
      <c r="F149" s="37"/>
      <c r="G149" s="360"/>
      <c r="H149" s="38"/>
      <c r="I149" s="39"/>
      <c r="J149" s="39"/>
      <c r="K149" s="39"/>
      <c r="L149" s="39"/>
      <c r="M149" s="39"/>
      <c r="N149" s="39"/>
      <c r="O149" s="39"/>
      <c r="P149" s="39"/>
      <c r="Q149" s="39"/>
      <c r="R149" s="39"/>
      <c r="S149" s="39"/>
      <c r="T149" s="39"/>
      <c r="U149" s="39"/>
      <c r="V149" s="466"/>
      <c r="W149" s="40"/>
      <c r="X149" s="39"/>
      <c r="Y149" s="39"/>
      <c r="Z149" s="39"/>
      <c r="AA149" s="39"/>
      <c r="AB149" s="41"/>
      <c r="AC149" s="39"/>
      <c r="AD149" s="39"/>
      <c r="AE149" s="39"/>
      <c r="AF149" s="39"/>
      <c r="AG149" s="39"/>
      <c r="AH149" s="39"/>
      <c r="AI149" s="39"/>
      <c r="AJ149" s="39"/>
      <c r="AK149" s="39"/>
      <c r="AL149" s="39"/>
      <c r="AM149" s="39"/>
      <c r="AN149" s="39"/>
      <c r="AO149" s="39"/>
      <c r="AP149" s="466"/>
      <c r="AQ149" s="39"/>
      <c r="AR149" s="41"/>
    </row>
    <row r="150" spans="2:44" hidden="1" x14ac:dyDescent="0.2">
      <c r="B150" s="28" t="s">
        <v>11</v>
      </c>
      <c r="C150" s="47" t="s">
        <v>143</v>
      </c>
      <c r="D150" s="113" t="s">
        <v>194</v>
      </c>
      <c r="E150" s="22">
        <f>VLOOKUP($B150&amp;"_"&amp;$D150,'App5 - CRUK Inci Rates'!C:H,6,FALSE)</f>
        <v>47.1</v>
      </c>
      <c r="F150" s="23">
        <f>VLOOKUP($B150&amp;"_"&amp;$D150,'App5 - CRUK Inci Rates'!C:H,3,FALSE)</f>
        <v>37.1</v>
      </c>
      <c r="G150" s="358">
        <f>VLOOKUP($B150&amp;"_"&amp;$D150,'App5 - CRUK Inci Rates'!C:J,8,FALSE)</f>
        <v>4658110.666666666</v>
      </c>
      <c r="H150" s="27" t="e">
        <f>((F150*#REF!)/100000)+((E150*#REF!)/100000)</f>
        <v>#REF!</v>
      </c>
      <c r="I150" s="91"/>
      <c r="J150" s="81"/>
      <c r="K150" s="81"/>
      <c r="L150" s="81"/>
      <c r="M150" s="81"/>
      <c r="N150" s="81"/>
      <c r="O150" s="81"/>
      <c r="P150" s="81"/>
      <c r="Q150" s="81"/>
      <c r="R150" s="81"/>
      <c r="S150" s="81"/>
      <c r="T150" s="81"/>
      <c r="U150" s="92"/>
      <c r="V150" s="467"/>
      <c r="W150" s="26">
        <f>$G150*W$134</f>
        <v>4658110.666666666</v>
      </c>
      <c r="X150" s="25" t="e">
        <f>H150</f>
        <v>#REF!</v>
      </c>
      <c r="Y150" s="25" t="e">
        <f>$H150-X150</f>
        <v>#REF!</v>
      </c>
      <c r="Z150" s="25" t="e">
        <f>IF($C150="other",(1-$C$149)*X150,(1-(VLOOKUP($C150,'S3 - Screening Tool Metrics'!$C$5:$G$19,5,FALSE)/100))*X150)</f>
        <v>#N/A</v>
      </c>
      <c r="AA150" s="25" t="e">
        <f>IF($C150="other",$C$149*X150,(VLOOKUP($C150,'S3 - Screening Tool Metrics'!$C$5:$G$19,5,FALSE)/100)*X150)</f>
        <v>#N/A</v>
      </c>
      <c r="AB150" s="27" t="e">
        <f>$AA150/$H150*100</f>
        <v>#N/A</v>
      </c>
      <c r="AC150" s="91"/>
      <c r="AD150" s="81"/>
      <c r="AE150" s="81"/>
      <c r="AF150" s="81"/>
      <c r="AG150" s="81"/>
      <c r="AH150" s="81"/>
      <c r="AI150" s="81"/>
      <c r="AJ150" s="81"/>
      <c r="AK150" s="81"/>
      <c r="AL150" s="81"/>
      <c r="AM150" s="81"/>
      <c r="AN150" s="81"/>
      <c r="AO150" s="81"/>
      <c r="AP150" s="467"/>
      <c r="AQ150" s="81"/>
      <c r="AR150" s="92"/>
    </row>
    <row r="151" spans="2:44" hidden="1" x14ac:dyDescent="0.2">
      <c r="B151" s="29" t="s">
        <v>11</v>
      </c>
      <c r="C151" s="431" t="str">
        <f>C150</f>
        <v>FIT 20-50 µg/g threshold (CRC)</v>
      </c>
      <c r="D151" s="7" t="s">
        <v>195</v>
      </c>
      <c r="E151" s="16">
        <f>VLOOKUP($B151&amp;"_"&amp;$D151,'App5 - CRUK Inci Rates'!C:H,6,FALSE)</f>
        <v>87.7</v>
      </c>
      <c r="F151" s="17">
        <f>VLOOKUP($B151&amp;"_"&amp;$D151,'App5 - CRUK Inci Rates'!C:H,3,FALSE)</f>
        <v>60.6</v>
      </c>
      <c r="G151" s="359">
        <f>VLOOKUP($B151&amp;"_"&amp;$D151,'App5 - CRUK Inci Rates'!C:J,8,FALSE)</f>
        <v>4181606</v>
      </c>
      <c r="H151" s="19" t="e">
        <f>((F151*#REF!)/100000)+((E151*#REF!)/100000)</f>
        <v>#REF!</v>
      </c>
      <c r="I151" s="93"/>
      <c r="J151" s="80"/>
      <c r="K151" s="80"/>
      <c r="L151" s="80"/>
      <c r="M151" s="80"/>
      <c r="N151" s="80"/>
      <c r="O151" s="80"/>
      <c r="P151" s="80"/>
      <c r="Q151" s="80"/>
      <c r="R151" s="80"/>
      <c r="S151" s="80"/>
      <c r="T151" s="80"/>
      <c r="U151" s="94"/>
      <c r="V151" s="468"/>
      <c r="W151" s="18">
        <f>$G151*W$134</f>
        <v>4181606</v>
      </c>
      <c r="X151" s="14" t="e">
        <f>H151</f>
        <v>#REF!</v>
      </c>
      <c r="Y151" s="14" t="e">
        <f>$H151-X151</f>
        <v>#REF!</v>
      </c>
      <c r="Z151" s="14" t="e">
        <f>IF($C151="other",(1-$C$149)*X151,(1-(VLOOKUP($C151,'S3 - Screening Tool Metrics'!$C$5:$G$19,5,FALSE)/100))*X151)</f>
        <v>#N/A</v>
      </c>
      <c r="AA151" s="14" t="e">
        <f>IF($C151="other",$C$149*X151,(VLOOKUP($C151,'S3 - Screening Tool Metrics'!$C$5:$G$19,5,FALSE)/100)*X151)</f>
        <v>#N/A</v>
      </c>
      <c r="AB151" s="19" t="e">
        <f>$AA151/$H151*100</f>
        <v>#N/A</v>
      </c>
      <c r="AC151" s="93"/>
      <c r="AD151" s="80"/>
      <c r="AE151" s="80"/>
      <c r="AF151" s="80"/>
      <c r="AG151" s="80"/>
      <c r="AH151" s="80"/>
      <c r="AI151" s="80"/>
      <c r="AJ151" s="80"/>
      <c r="AK151" s="80"/>
      <c r="AL151" s="80"/>
      <c r="AM151" s="80"/>
      <c r="AN151" s="80"/>
      <c r="AO151" s="80"/>
      <c r="AP151" s="468"/>
      <c r="AQ151" s="80"/>
      <c r="AR151" s="94"/>
    </row>
    <row r="152" spans="2:44" ht="17" hidden="1" thickBot="1" x14ac:dyDescent="0.25">
      <c r="B152" s="30" t="s">
        <v>11</v>
      </c>
      <c r="C152" s="432" t="str">
        <f>C151</f>
        <v>FIT 20-50 µg/g threshold (CRC)</v>
      </c>
      <c r="D152" s="430" t="s">
        <v>230</v>
      </c>
      <c r="E152" s="364">
        <f>VLOOKUP($B152&amp;"_"&amp;$D152,'App5 - CRUK Inci Rates'!C:H,6,FALSE)</f>
        <v>66.354542653419429</v>
      </c>
      <c r="F152" s="365">
        <f>VLOOKUP($B152&amp;"_"&amp;$D152,'App5 - CRUK Inci Rates'!C:H,3,FALSE)</f>
        <v>48.212380665809548</v>
      </c>
      <c r="G152" s="366">
        <f>VLOOKUP($B152&amp;"_"&amp;$D152,'App5 - CRUK Inci Rates'!C:J,8,FALSE)</f>
        <v>8839716.6666666679</v>
      </c>
      <c r="H152" s="102" t="e">
        <f>((F152*#REF!)/100000)+((E152*#REF!)/100000)</f>
        <v>#REF!</v>
      </c>
      <c r="I152" s="368">
        <f>VLOOKUP($B152&amp;I$137&amp;$D152,'App6 - Stage-Route-Surv Data'!$E$5:$G$76,3,FALSE)</f>
        <v>0.403562945368171</v>
      </c>
      <c r="J152" s="99">
        <f>VLOOKUP($B152&amp;J$137&amp;$D152,'App6 - Stage-Route-Surv Data'!$E$5:$G$76,3,FALSE)</f>
        <v>7.1496437054631823E-2</v>
      </c>
      <c r="K152" s="99">
        <f>VLOOKUP($B152&amp;K$137&amp;$D152,'App6 - Stage-Route-Surv Data'!$E$5:$G$76,3,FALSE)</f>
        <v>0.1997624703087886</v>
      </c>
      <c r="L152" s="99">
        <f>VLOOKUP($B152&amp;L$137&amp;$D152,'App6 - Stage-Route-Surv Data'!$E$5:$G$76,3,FALSE)</f>
        <v>0.32517814726840855</v>
      </c>
      <c r="M152" s="100" t="e">
        <f>(($H152*$I152)*VLOOKUP($B152&amp;$I$137&amp;M$137,'App6 - Stage-Route-Surv Data'!$L$5:$N$52,3,FALSE))+(($H152*$J152)*VLOOKUP($B152&amp;$J$137&amp;M$137,'App6 - Stage-Route-Surv Data'!$L$5:$N$52,3,FALSE))+(($H152*$K152)*VLOOKUP($B152&amp;$K$137&amp;M$137,'App6 - Stage-Route-Surv Data'!$L$5:$N$52,3,FALSE))+(($H152*$L152)*VLOOKUP($B152&amp;$L$137&amp;M$137,'App6 - Stage-Route-Surv Data'!$L$5:$N$52,3,FALSE))</f>
        <v>#REF!</v>
      </c>
      <c r="N152" s="100" t="e">
        <f>(($H152*$I152)*VLOOKUP($B152&amp;$I$137&amp;N$137,'App6 - Stage-Route-Surv Data'!$L$5:$N$52,3,FALSE))+(($H152*$J152)*VLOOKUP($B152&amp;$J$137&amp;N$137,'App6 - Stage-Route-Surv Data'!$L$5:$N$52,3,FALSE))+(($H152*$K152)*VLOOKUP($B152&amp;$K$137&amp;N$137,'App6 - Stage-Route-Surv Data'!$L$5:$N$52,3,FALSE))+(($H152*$L152)*VLOOKUP($B152&amp;$L$137&amp;N$137,'App6 - Stage-Route-Surv Data'!$L$5:$N$52,3,FALSE))</f>
        <v>#REF!</v>
      </c>
      <c r="O152" s="100" t="e">
        <f>(($H152*$I152)*VLOOKUP($B152&amp;$I$137&amp;O$137,'App6 - Stage-Route-Surv Data'!$L$5:$N$52,3,FALSE))+(($H152*$J152)*VLOOKUP($B152&amp;$J$137&amp;O$137,'App6 - Stage-Route-Surv Data'!$L$5:$N$52,3,FALSE))+(($H152*$K152)*VLOOKUP($B152&amp;$K$137&amp;O$137,'App6 - Stage-Route-Surv Data'!$L$5:$N$52,3,FALSE))+(($H152*$L152)*VLOOKUP($B152&amp;$L$137&amp;O$137,'App6 - Stage-Route-Surv Data'!$L$5:$N$52,3,FALSE))</f>
        <v>#REF!</v>
      </c>
      <c r="P152" s="100" t="e">
        <f>(($H152*$I152)*VLOOKUP($B152&amp;$I$137&amp;P$137,'App6 - Stage-Route-Surv Data'!$L$5:$N$52,3,FALSE))+(($H152*$J152)*VLOOKUP($B152&amp;$J$137&amp;P$137,'App6 - Stage-Route-Surv Data'!$L$5:$N$52,3,FALSE))+(($H152*$K152)*VLOOKUP($B152&amp;$K$137&amp;P$137,'App6 - Stage-Route-Surv Data'!$L$5:$N$52,3,FALSE))+(($H152*$L152)*VLOOKUP($B152&amp;$L$137&amp;P$137,'App6 - Stage-Route-Surv Data'!$L$5:$N$52,3,FALSE))</f>
        <v>#REF!</v>
      </c>
      <c r="Q152" s="100" t="e">
        <f>M152*VLOOKUP($B152&amp;$D152&amp;Q$137,'App6 - Stage-Route-Surv Data'!$S$5:$T$40,2,FALSE)</f>
        <v>#REF!</v>
      </c>
      <c r="R152" s="100" t="e">
        <f>N152*VLOOKUP($B152&amp;$D152&amp;R$137,'App6 - Stage-Route-Surv Data'!$S$5:$T$40,2,FALSE)</f>
        <v>#REF!</v>
      </c>
      <c r="S152" s="100" t="e">
        <f>O152*VLOOKUP($B152&amp;$D152&amp;S$137,'App6 - Stage-Route-Surv Data'!$S$5:$T$40,2,FALSE)</f>
        <v>#REF!</v>
      </c>
      <c r="T152" s="100" t="e">
        <f>P152*VLOOKUP($B152&amp;$D152&amp;T$137,'App6 - Stage-Route-Surv Data'!$S$5:$T$40,2,FALSE)</f>
        <v>#REF!</v>
      </c>
      <c r="U152" s="97" t="e">
        <f>SUM(Q152:T152)</f>
        <v>#REF!</v>
      </c>
      <c r="V152" s="469" t="e">
        <f>U152/H152</f>
        <v>#REF!</v>
      </c>
      <c r="W152" s="101">
        <f>$G152*W$134</f>
        <v>8839716.6666666679</v>
      </c>
      <c r="X152" s="98" t="e">
        <f>H152</f>
        <v>#REF!</v>
      </c>
      <c r="Y152" s="98" t="e">
        <f>$H152-X152</f>
        <v>#REF!</v>
      </c>
      <c r="Z152" s="98" t="e">
        <f>IF($C152="other",(1-$C$149)*X152,(1-(VLOOKUP($C152,'S3 - Screening Tool Metrics'!$C$5:$G$19,5,FALSE)/100))*X152)</f>
        <v>#N/A</v>
      </c>
      <c r="AA152" s="98" t="e">
        <f>IF($C152="other",$C$149*X152,(VLOOKUP($C152,'S3 - Screening Tool Metrics'!$C$5:$G$19,5,FALSE)/100)*X152)</f>
        <v>#N/A</v>
      </c>
      <c r="AB152" s="102" t="e">
        <f>$AA152/$H152*100</f>
        <v>#N/A</v>
      </c>
      <c r="AC152" s="370" t="e">
        <f>(1-AD152)*($I152/SUM($I152,$K152,$L152))</f>
        <v>#N/A</v>
      </c>
      <c r="AD152" s="103" t="e">
        <f>AA152/$H152</f>
        <v>#N/A</v>
      </c>
      <c r="AE152" s="103" t="e">
        <f>(1-AD152)*($K152/SUM($I152,$K152,$L152))</f>
        <v>#N/A</v>
      </c>
      <c r="AF152" s="103" t="e">
        <f>(1-AD152)*($L152/SUM($I152,$K152,$L152))</f>
        <v>#N/A</v>
      </c>
      <c r="AG152" s="100" t="e">
        <f>(($H152*$AC152)*VLOOKUP($B152&amp;$AC$137&amp;AG$137,'App6 - Stage-Route-Surv Data'!$L$5:$N$52,3,FALSE))+(($H152*$AD152)*VLOOKUP($B152&amp;$AD$137&amp;AG$137,'App6 - Stage-Route-Surv Data'!$L$5:$N$52,3,FALSE))+(($H152*$AE152)*VLOOKUP($B152&amp;$AE$137&amp;AG$137,'App6 - Stage-Route-Surv Data'!$L$5:$N$52,3,FALSE))+(($H152*$AF152)*VLOOKUP($B152&amp;$AF$137&amp;AG$137,'App6 - Stage-Route-Surv Data'!$L$5:$N$52,3,FALSE))</f>
        <v>#REF!</v>
      </c>
      <c r="AH152" s="100" t="e">
        <f>(($H152*$AC152)*VLOOKUP($B152&amp;$AC$137&amp;AH$137,'App6 - Stage-Route-Surv Data'!$L$5:$N$52,3,FALSE))+(($H152*$AD152)*VLOOKUP($B152&amp;$AD$137&amp;AH$137,'App6 - Stage-Route-Surv Data'!$L$5:$N$52,3,FALSE))+(($H152*$AE152)*VLOOKUP($B152&amp;$AE$137&amp;AH$137,'App6 - Stage-Route-Surv Data'!$L$5:$N$52,3,FALSE))+(($H152*$AF152)*VLOOKUP($B152&amp;$AF$137&amp;AH$137,'App6 - Stage-Route-Surv Data'!$L$5:$N$52,3,FALSE))</f>
        <v>#REF!</v>
      </c>
      <c r="AI152" s="100" t="e">
        <f>(($H152*$AC152)*VLOOKUP($B152&amp;$AC$137&amp;AI$137,'App6 - Stage-Route-Surv Data'!$L$5:$N$52,3,FALSE))+(($H152*$AD152)*VLOOKUP($B152&amp;$AD$137&amp;AI$137,'App6 - Stage-Route-Surv Data'!$L$5:$N$52,3,FALSE))+(($H152*$AE152)*VLOOKUP($B152&amp;$AE$137&amp;AI$137,'App6 - Stage-Route-Surv Data'!$L$5:$N$52,3,FALSE))+(($H152*$AF152)*VLOOKUP($B152&amp;$AF$137&amp;AI$137,'App6 - Stage-Route-Surv Data'!$L$5:$N$52,3,FALSE))</f>
        <v>#REF!</v>
      </c>
      <c r="AJ152" s="100" t="e">
        <f>(($H152*$AC152)*VLOOKUP($B152&amp;$AC$137&amp;AJ$137,'App6 - Stage-Route-Surv Data'!$L$5:$N$52,3,FALSE))+(($H152*$AD152)*VLOOKUP($B152&amp;$AD$137&amp;AJ$137,'App6 - Stage-Route-Surv Data'!$L$5:$N$52,3,FALSE))+(($H152*$AE152)*VLOOKUP($B152&amp;$AE$137&amp;AJ$137,'App6 - Stage-Route-Surv Data'!$L$5:$N$52,3,FALSE))+(($H152*$AF152)*VLOOKUP($B152&amp;$AF$137&amp;AJ$137,'App6 - Stage-Route-Surv Data'!$L$5:$N$52,3,FALSE))</f>
        <v>#REF!</v>
      </c>
      <c r="AK152" s="100" t="e">
        <f>AG152*VLOOKUP($B152&amp;$D152&amp;AK$137,'App6 - Stage-Route-Surv Data'!$S$5:$T$40,2,FALSE)</f>
        <v>#REF!</v>
      </c>
      <c r="AL152" s="100" t="e">
        <f>AH152*VLOOKUP($B152&amp;$D152&amp;AL$137,'App6 - Stage-Route-Surv Data'!$S$5:$T$40,2,FALSE)</f>
        <v>#REF!</v>
      </c>
      <c r="AM152" s="100" t="e">
        <f>AI152*VLOOKUP($B152&amp;$D152&amp;AM$137,'App6 - Stage-Route-Surv Data'!$S$5:$T$40,2,FALSE)</f>
        <v>#REF!</v>
      </c>
      <c r="AN152" s="100" t="e">
        <f>AJ152*VLOOKUP($B152&amp;$D152&amp;AN$137,'App6 - Stage-Route-Surv Data'!$S$5:$T$40,2,FALSE)</f>
        <v>#REF!</v>
      </c>
      <c r="AO152" s="100" t="e">
        <f>SUM(AK152:AN152)</f>
        <v>#REF!</v>
      </c>
      <c r="AP152" s="469" t="e">
        <f>AO152/H152</f>
        <v>#REF!</v>
      </c>
      <c r="AQ152" s="104" t="e">
        <f>AO152-U152</f>
        <v>#REF!</v>
      </c>
      <c r="AR152" s="105" t="e">
        <f>(AO152/$H152)-($U152/$H152)</f>
        <v>#REF!</v>
      </c>
    </row>
    <row r="153" spans="2:44" hidden="1" x14ac:dyDescent="0.2">
      <c r="D153" s="1"/>
      <c r="E153" s="436"/>
      <c r="F153" s="436"/>
      <c r="H153" s="14"/>
      <c r="I153" s="437"/>
      <c r="J153" s="437"/>
      <c r="K153" s="437"/>
      <c r="L153" s="437"/>
      <c r="M153" s="426"/>
      <c r="N153" s="426"/>
      <c r="O153" s="426"/>
      <c r="P153" s="426"/>
      <c r="Q153" s="426"/>
      <c r="R153" s="426"/>
      <c r="S153" s="426"/>
      <c r="T153" s="426"/>
      <c r="U153" s="426"/>
      <c r="W153" s="14"/>
      <c r="X153" s="14"/>
      <c r="Y153" s="14"/>
      <c r="Z153" s="14"/>
      <c r="AA153" s="14"/>
      <c r="AB153" s="14"/>
      <c r="AC153" s="437"/>
      <c r="AD153" s="438"/>
      <c r="AE153" s="438"/>
      <c r="AF153" s="438"/>
      <c r="AG153" s="426"/>
      <c r="AH153" s="426"/>
      <c r="AI153" s="426"/>
      <c r="AJ153" s="426"/>
      <c r="AK153" s="426"/>
      <c r="AL153" s="426"/>
      <c r="AM153" s="426"/>
      <c r="AN153" s="426"/>
      <c r="AO153" s="426"/>
      <c r="AQ153" s="435"/>
      <c r="AR153" s="439"/>
    </row>
    <row r="154" spans="2:44" hidden="1" x14ac:dyDescent="0.2">
      <c r="E154" s="436"/>
      <c r="F154" s="436"/>
      <c r="H154" s="14"/>
      <c r="O154" s="14"/>
      <c r="P154" s="14"/>
      <c r="Q154" s="14"/>
      <c r="R154" s="14"/>
      <c r="S154" s="14"/>
      <c r="T154" s="14"/>
      <c r="U154" s="14"/>
      <c r="W154" s="14"/>
      <c r="X154" s="14"/>
      <c r="Y154" s="14"/>
      <c r="Z154" s="14"/>
      <c r="AA154" s="14"/>
      <c r="AB154" s="14"/>
      <c r="AC154" s="14"/>
      <c r="AD154" s="14"/>
      <c r="AE154" s="14"/>
      <c r="AF154" s="14"/>
      <c r="AG154" s="14"/>
      <c r="AH154" s="14"/>
      <c r="AI154" s="14"/>
      <c r="AJ154" s="14"/>
      <c r="AK154" s="14"/>
      <c r="AL154" s="14"/>
      <c r="AM154" s="14"/>
      <c r="AN154" s="14"/>
      <c r="AO154" s="14"/>
      <c r="AQ154" s="14"/>
      <c r="AR154" s="14"/>
    </row>
    <row r="155" spans="2:44" hidden="1" x14ac:dyDescent="0.2">
      <c r="E155" s="436"/>
      <c r="F155" s="436"/>
      <c r="H155" s="14"/>
      <c r="O155" s="14"/>
      <c r="P155" s="14"/>
      <c r="Q155" s="14"/>
      <c r="R155" s="14"/>
      <c r="S155" s="14"/>
      <c r="T155" s="14"/>
      <c r="U155" s="14"/>
      <c r="W155" s="14"/>
      <c r="X155" s="14"/>
      <c r="Y155" s="14"/>
      <c r="Z155" s="14"/>
      <c r="AA155" s="14"/>
      <c r="AB155" s="14"/>
      <c r="AC155" s="14"/>
      <c r="AD155" s="14"/>
      <c r="AE155" s="14"/>
      <c r="AF155" s="14"/>
      <c r="AG155" s="14"/>
      <c r="AH155" s="14"/>
      <c r="AI155" s="14"/>
      <c r="AJ155" s="14"/>
      <c r="AK155" s="14"/>
      <c r="AL155" s="14"/>
      <c r="AM155" s="14"/>
      <c r="AN155" s="14"/>
      <c r="AO155" s="14"/>
      <c r="AQ155" s="14"/>
      <c r="AR155" s="14"/>
    </row>
    <row r="156" spans="2:44" hidden="1" x14ac:dyDescent="0.2">
      <c r="B156" s="1" t="s">
        <v>399</v>
      </c>
      <c r="D156" s="1"/>
      <c r="E156" s="436"/>
      <c r="F156" s="436"/>
      <c r="H156" s="14"/>
      <c r="I156" s="437"/>
      <c r="J156" s="437"/>
      <c r="K156" s="437"/>
      <c r="L156" s="437"/>
      <c r="M156" s="426"/>
      <c r="N156" s="426"/>
      <c r="O156" s="426"/>
      <c r="P156" s="426"/>
      <c r="Q156" s="426"/>
      <c r="R156" s="426"/>
      <c r="S156" s="426"/>
      <c r="T156" s="426"/>
      <c r="U156" s="426"/>
      <c r="W156" s="14"/>
      <c r="X156" s="14"/>
      <c r="Y156" s="14"/>
      <c r="Z156" s="14"/>
      <c r="AA156" s="14"/>
      <c r="AB156" s="14"/>
      <c r="AC156" s="437"/>
      <c r="AD156" s="438"/>
      <c r="AE156" s="438"/>
      <c r="AF156" s="438"/>
      <c r="AG156" s="426"/>
      <c r="AH156" s="426"/>
      <c r="AI156" s="426"/>
      <c r="AJ156" s="426"/>
      <c r="AK156" s="426"/>
      <c r="AL156" s="426"/>
      <c r="AM156" s="426"/>
      <c r="AN156" s="426"/>
      <c r="AO156" s="426"/>
      <c r="AQ156" s="435"/>
      <c r="AR156" s="439"/>
    </row>
    <row r="157" spans="2:44" ht="17" hidden="1" thickBot="1" x14ac:dyDescent="0.25">
      <c r="E157" s="436"/>
      <c r="F157" s="436"/>
      <c r="H157" s="14"/>
      <c r="O157" s="14"/>
      <c r="P157" s="14"/>
      <c r="Q157" s="14"/>
      <c r="R157" s="14"/>
      <c r="S157" s="14"/>
      <c r="T157" s="14"/>
      <c r="U157" s="14"/>
      <c r="W157" s="14"/>
      <c r="X157" s="14"/>
      <c r="Y157" s="14"/>
      <c r="Z157" s="14"/>
      <c r="AA157" s="14"/>
      <c r="AB157" s="14"/>
      <c r="AC157" s="14"/>
      <c r="AD157" s="14"/>
      <c r="AE157" s="14"/>
      <c r="AF157" s="14"/>
      <c r="AG157" s="14"/>
      <c r="AH157" s="14"/>
      <c r="AI157" s="14"/>
      <c r="AJ157" s="14"/>
      <c r="AK157" s="14"/>
      <c r="AL157" s="14"/>
      <c r="AM157" s="14"/>
      <c r="AN157" s="14"/>
      <c r="AO157" s="14"/>
      <c r="AQ157" s="14"/>
      <c r="AR157" s="14"/>
    </row>
    <row r="158" spans="2:44" hidden="1" x14ac:dyDescent="0.2">
      <c r="B158" s="1388" t="s">
        <v>181</v>
      </c>
      <c r="C158" s="1306" t="s">
        <v>207</v>
      </c>
      <c r="D158" s="1309" t="s">
        <v>182</v>
      </c>
      <c r="E158" s="1391" t="s">
        <v>183</v>
      </c>
      <c r="F158" s="1391"/>
      <c r="G158" s="1393" t="s">
        <v>184</v>
      </c>
      <c r="H158" s="1394"/>
      <c r="I158" s="1332" t="s">
        <v>349</v>
      </c>
      <c r="J158" s="1366"/>
      <c r="K158" s="1366"/>
      <c r="L158" s="1366"/>
      <c r="M158" s="1366"/>
      <c r="N158" s="1366"/>
      <c r="O158" s="1366"/>
      <c r="P158" s="1366"/>
      <c r="Q158" s="1366"/>
      <c r="R158" s="1366"/>
      <c r="S158" s="1366"/>
      <c r="T158" s="1366"/>
      <c r="U158" s="1367"/>
      <c r="V158" s="460"/>
      <c r="W158" s="1341" t="s">
        <v>265</v>
      </c>
      <c r="X158" s="1342"/>
      <c r="Y158" s="1342"/>
      <c r="Z158" s="1342"/>
      <c r="AA158" s="1342"/>
      <c r="AB158" s="1343"/>
      <c r="AC158" s="1332" t="s">
        <v>397</v>
      </c>
      <c r="AD158" s="1333"/>
      <c r="AE158" s="1333"/>
      <c r="AF158" s="1333"/>
      <c r="AG158" s="1333"/>
      <c r="AH158" s="1333"/>
      <c r="AI158" s="1333"/>
      <c r="AJ158" s="1333"/>
      <c r="AK158" s="1333"/>
      <c r="AL158" s="1333"/>
      <c r="AM158" s="1333"/>
      <c r="AN158" s="1333"/>
      <c r="AO158" s="1333"/>
      <c r="AP158" s="1333"/>
      <c r="AQ158" s="1333"/>
      <c r="AR158" s="1334"/>
    </row>
    <row r="159" spans="2:44" hidden="1" x14ac:dyDescent="0.2">
      <c r="B159" s="1389"/>
      <c r="C159" s="1307"/>
      <c r="D159" s="1310"/>
      <c r="E159" s="1392"/>
      <c r="F159" s="1392"/>
      <c r="G159" s="1395"/>
      <c r="H159" s="1396"/>
      <c r="I159" s="1368"/>
      <c r="J159" s="1369"/>
      <c r="K159" s="1369"/>
      <c r="L159" s="1369"/>
      <c r="M159" s="1369"/>
      <c r="N159" s="1369"/>
      <c r="O159" s="1369"/>
      <c r="P159" s="1369"/>
      <c r="Q159" s="1369"/>
      <c r="R159" s="1369"/>
      <c r="S159" s="1369"/>
      <c r="T159" s="1369"/>
      <c r="U159" s="1370"/>
      <c r="V159" s="463"/>
      <c r="W159" s="1258">
        <v>1</v>
      </c>
      <c r="X159" s="1259"/>
      <c r="Y159" s="1259"/>
      <c r="Z159" s="1259"/>
      <c r="AA159" s="1259"/>
      <c r="AB159" s="1260"/>
      <c r="AC159" s="1335"/>
      <c r="AD159" s="1336"/>
      <c r="AE159" s="1336"/>
      <c r="AF159" s="1336"/>
      <c r="AG159" s="1336"/>
      <c r="AH159" s="1336"/>
      <c r="AI159" s="1336"/>
      <c r="AJ159" s="1336"/>
      <c r="AK159" s="1336"/>
      <c r="AL159" s="1336"/>
      <c r="AM159" s="1336"/>
      <c r="AN159" s="1336"/>
      <c r="AO159" s="1336"/>
      <c r="AP159" s="1336"/>
      <c r="AQ159" s="1336"/>
      <c r="AR159" s="1337"/>
    </row>
    <row r="160" spans="2:44" ht="17" hidden="1" thickBot="1" x14ac:dyDescent="0.25">
      <c r="B160" s="1389"/>
      <c r="C160" s="1307"/>
      <c r="D160" s="1310"/>
      <c r="E160" s="1392"/>
      <c r="F160" s="1392"/>
      <c r="G160" s="1395"/>
      <c r="H160" s="1396"/>
      <c r="I160" s="1371"/>
      <c r="J160" s="1372"/>
      <c r="K160" s="1372"/>
      <c r="L160" s="1372"/>
      <c r="M160" s="1372"/>
      <c r="N160" s="1372"/>
      <c r="O160" s="1372"/>
      <c r="P160" s="1372"/>
      <c r="Q160" s="1372"/>
      <c r="R160" s="1372"/>
      <c r="S160" s="1372"/>
      <c r="T160" s="1372"/>
      <c r="U160" s="1373"/>
      <c r="V160" s="461"/>
      <c r="W160" s="1263" t="s">
        <v>270</v>
      </c>
      <c r="X160" s="1264"/>
      <c r="Y160" s="1264"/>
      <c r="Z160" s="1264"/>
      <c r="AA160" s="1264"/>
      <c r="AB160" s="1265"/>
      <c r="AC160" s="1401"/>
      <c r="AD160" s="1402"/>
      <c r="AE160" s="1402"/>
      <c r="AF160" s="1402"/>
      <c r="AG160" s="1402"/>
      <c r="AH160" s="1402"/>
      <c r="AI160" s="1402"/>
      <c r="AJ160" s="1402"/>
      <c r="AK160" s="1402"/>
      <c r="AL160" s="1402"/>
      <c r="AM160" s="1402"/>
      <c r="AN160" s="1402"/>
      <c r="AO160" s="1402"/>
      <c r="AP160" s="1402"/>
      <c r="AQ160" s="1402"/>
      <c r="AR160" s="1403"/>
    </row>
    <row r="161" spans="1:44" ht="85" hidden="1" x14ac:dyDescent="0.2">
      <c r="B161" s="1389"/>
      <c r="C161" s="1307"/>
      <c r="D161" s="1310"/>
      <c r="E161" s="1397" t="s">
        <v>40</v>
      </c>
      <c r="F161" s="1397" t="s">
        <v>41</v>
      </c>
      <c r="G161" s="1398" t="s">
        <v>186</v>
      </c>
      <c r="H161" s="1387" t="s">
        <v>189</v>
      </c>
      <c r="I161" s="1374" t="s">
        <v>216</v>
      </c>
      <c r="J161" s="1375"/>
      <c r="K161" s="1375"/>
      <c r="L161" s="1375"/>
      <c r="M161" s="1375" t="s">
        <v>217</v>
      </c>
      <c r="N161" s="1375"/>
      <c r="O161" s="1375"/>
      <c r="P161" s="1375"/>
      <c r="Q161" s="1376" t="s">
        <v>218</v>
      </c>
      <c r="R161" s="1376"/>
      <c r="S161" s="1376"/>
      <c r="T161" s="1376"/>
      <c r="U161" s="1377"/>
      <c r="V161" s="464"/>
      <c r="W161" s="1295" t="s">
        <v>268</v>
      </c>
      <c r="X161" s="1278" t="s">
        <v>189</v>
      </c>
      <c r="Y161" s="1279" t="s">
        <v>191</v>
      </c>
      <c r="Z161" s="1279" t="s">
        <v>271</v>
      </c>
      <c r="AA161" s="1280" t="s">
        <v>211</v>
      </c>
      <c r="AB161" s="1281" t="s">
        <v>212</v>
      </c>
      <c r="AC161" s="874" t="s">
        <v>219</v>
      </c>
      <c r="AD161" s="875"/>
      <c r="AE161" s="875"/>
      <c r="AF161" s="876"/>
      <c r="AG161" s="877" t="s">
        <v>220</v>
      </c>
      <c r="AH161" s="878"/>
      <c r="AI161" s="878"/>
      <c r="AJ161" s="879"/>
      <c r="AK161" s="880" t="s">
        <v>221</v>
      </c>
      <c r="AL161" s="875"/>
      <c r="AM161" s="875"/>
      <c r="AN161" s="875"/>
      <c r="AO161" s="875"/>
      <c r="AP161" s="464"/>
      <c r="AQ161" s="850" t="s">
        <v>222</v>
      </c>
      <c r="AR161" s="850" t="s">
        <v>223</v>
      </c>
    </row>
    <row r="162" spans="1:44" ht="52" hidden="1" thickBot="1" x14ac:dyDescent="0.25">
      <c r="B162" s="1390"/>
      <c r="C162" s="1308"/>
      <c r="D162" s="1311"/>
      <c r="E162" s="1318"/>
      <c r="F162" s="1318"/>
      <c r="G162" s="1383"/>
      <c r="H162" s="1385"/>
      <c r="I162" s="72" t="s">
        <v>224</v>
      </c>
      <c r="J162" s="73" t="s">
        <v>225</v>
      </c>
      <c r="K162" s="73" t="s">
        <v>226</v>
      </c>
      <c r="L162" s="76" t="s">
        <v>227</v>
      </c>
      <c r="M162" s="74">
        <v>1</v>
      </c>
      <c r="N162" s="74">
        <v>2</v>
      </c>
      <c r="O162" s="74">
        <v>3</v>
      </c>
      <c r="P162" s="77">
        <v>4</v>
      </c>
      <c r="Q162" s="74">
        <v>1</v>
      </c>
      <c r="R162" s="74">
        <v>2</v>
      </c>
      <c r="S162" s="74">
        <v>3</v>
      </c>
      <c r="T162" s="74">
        <v>4</v>
      </c>
      <c r="U162" s="75" t="s">
        <v>228</v>
      </c>
      <c r="V162" s="465" t="s">
        <v>290</v>
      </c>
      <c r="W162" s="1295"/>
      <c r="X162" s="1278"/>
      <c r="Y162" s="1279"/>
      <c r="Z162" s="1279"/>
      <c r="AA162" s="1280"/>
      <c r="AB162" s="1282"/>
      <c r="AC162" s="72" t="s">
        <v>224</v>
      </c>
      <c r="AD162" s="73" t="s">
        <v>225</v>
      </c>
      <c r="AE162" s="73" t="s">
        <v>226</v>
      </c>
      <c r="AF162" s="76" t="s">
        <v>227</v>
      </c>
      <c r="AG162" s="74">
        <v>1</v>
      </c>
      <c r="AH162" s="74">
        <v>2</v>
      </c>
      <c r="AI162" s="74">
        <v>3</v>
      </c>
      <c r="AJ162" s="77">
        <v>4</v>
      </c>
      <c r="AK162" s="78">
        <v>1</v>
      </c>
      <c r="AL162" s="74">
        <v>2</v>
      </c>
      <c r="AM162" s="74">
        <v>3</v>
      </c>
      <c r="AN162" s="74">
        <v>4</v>
      </c>
      <c r="AO162" s="79" t="s">
        <v>228</v>
      </c>
      <c r="AP162" s="465" t="s">
        <v>290</v>
      </c>
      <c r="AQ162" s="849"/>
      <c r="AR162" s="850"/>
    </row>
    <row r="163" spans="1:44" ht="17" hidden="1" thickBot="1" x14ac:dyDescent="0.25">
      <c r="B163" s="42" t="s">
        <v>8</v>
      </c>
      <c r="C163" s="55"/>
      <c r="D163" s="35"/>
      <c r="E163" s="36"/>
      <c r="F163" s="37"/>
      <c r="G163" s="360"/>
      <c r="H163" s="38"/>
      <c r="I163" s="40"/>
      <c r="J163" s="39"/>
      <c r="K163" s="39"/>
      <c r="L163" s="39"/>
      <c r="M163" s="39"/>
      <c r="N163" s="39"/>
      <c r="O163" s="39"/>
      <c r="P163" s="39"/>
      <c r="Q163" s="39"/>
      <c r="R163" s="39"/>
      <c r="S163" s="39"/>
      <c r="T163" s="39"/>
      <c r="U163" s="39"/>
      <c r="V163" s="466"/>
      <c r="W163" s="40"/>
      <c r="X163" s="39"/>
      <c r="Y163" s="39"/>
      <c r="Z163" s="39"/>
      <c r="AA163" s="39"/>
      <c r="AB163" s="41"/>
      <c r="AQ163" s="39"/>
      <c r="AR163" s="41"/>
    </row>
    <row r="164" spans="1:44" ht="17" hidden="1" thickBot="1" x14ac:dyDescent="0.25">
      <c r="B164" s="331" t="s">
        <v>8</v>
      </c>
      <c r="C164" s="484" t="s">
        <v>162</v>
      </c>
      <c r="D164" s="448" t="s">
        <v>298</v>
      </c>
      <c r="E164" s="427">
        <f>VLOOKUP($B164&amp;"_"&amp;$D164,'App5 - CRUK Inci Rates'!C:H,6,FALSE)</f>
        <v>0</v>
      </c>
      <c r="F164" s="440">
        <f>VLOOKUP($B164&amp;"_"&amp;$D164,'App5 - CRUK Inci Rates'!C:H,3,FALSE)</f>
        <v>234.33759004190796</v>
      </c>
      <c r="G164" s="441">
        <f>VLOOKUP($B164&amp;"_"&amp;$D164,'App5 - CRUK Inci Rates'!C:J,8,FALSE)</f>
        <v>937850.33333333326</v>
      </c>
      <c r="H164" s="27">
        <f>VLOOKUP($B164&amp;"_"&amp;$D164,'App5 - CRUK Inci Rates'!C:K,9,FALSE)</f>
        <v>2197.7358693333335</v>
      </c>
      <c r="I164" s="886">
        <f>VLOOKUP($B164&amp;I$162&amp;$D110,'App6 - Stage-Route-Surv Data'!$E$5:$G$76,3,FALSE)+(VLOOKUP($B164&amp;J$162&amp;$D110,'App6 - Stage-Route-Surv Data'!$E$5:$G$76,3,FALSE)*(VLOOKUP($B164&amp;I$162&amp;$D110,'App6 - Stage-Route-Surv Data'!$E$5:$G$76,3,FALSE)/SUM(VLOOKUP($B164&amp;I$162&amp;$D110,'App6 - Stage-Route-Surv Data'!$E$5:$G$76,3,FALSE),VLOOKUP($B164&amp;K$162&amp;$D110,'App6 - Stage-Route-Surv Data'!$E$5:$G$76,3,FALSE),VLOOKUP($B164&amp;L$162&amp;$D110,'App6 - Stage-Route-Surv Data'!$E$5:$G$76,3,FALSE))))</f>
        <v>0.81706422018348623</v>
      </c>
      <c r="J164" s="887">
        <v>0</v>
      </c>
      <c r="K164" s="887">
        <f>VLOOKUP($B164&amp;K$162&amp;$D110,'App6 - Stage-Route-Surv Data'!$E$5:$G$76,3,FALSE)+(VLOOKUP($B164&amp;J$162&amp;$D110,'App6 - Stage-Route-Surv Data'!$E$5:$G$76,3,FALSE)*(VLOOKUP($B164&amp;K$162&amp;$D110,'App6 - Stage-Route-Surv Data'!$E$5:$G$76,3,FALSE)/SUM(VLOOKUP($B164&amp;I$162&amp;$D110,'App6 - Stage-Route-Surv Data'!$E$5:$G$76,3,FALSE),VLOOKUP($B164&amp;K$162&amp;$D110,'App6 - Stage-Route-Surv Data'!$E$5:$G$76,3,FALSE),VLOOKUP($B164&amp;L$162&amp;$D110,'App6 - Stage-Route-Surv Data'!$E$5:$G$76,3,FALSE))))</f>
        <v>1.7981651376146789E-2</v>
      </c>
      <c r="L164" s="887">
        <f>VLOOKUP($B164&amp;L$162&amp;$D110,'App6 - Stage-Route-Surv Data'!$E$5:$G$76,3,FALSE)+(VLOOKUP($B164&amp;J$162&amp;$D110,'App6 - Stage-Route-Surv Data'!$E$5:$G$76,3,FALSE)*(VLOOKUP($B164&amp;L$162&amp;$D110,'App6 - Stage-Route-Surv Data'!$E$5:$G$76,3,FALSE)/SUM(VLOOKUP($B164&amp;I$162&amp;$D110,'App6 - Stage-Route-Surv Data'!$E$5:$G$76,3,FALSE),VLOOKUP($B164&amp;K$162&amp;$D110,'App6 - Stage-Route-Surv Data'!$E$5:$G$76,3,FALSE),VLOOKUP($B164&amp;L$162&amp;$D110,'App6 - Stage-Route-Surv Data'!$E$5:$G$76,3,FALSE))))</f>
        <v>0.16495412844036697</v>
      </c>
      <c r="M164" s="888">
        <f>(($H164*$I164)*VLOOKUP($B164&amp;$I$162&amp;M$162,'App6 - Stage-Route-Surv Data'!$L$5:$N$36,3,FALSE))+(($H164*$J164)*VLOOKUP($B164&amp;$J$162&amp;M$162,'App6 - Stage-Route-Surv Data'!$L$5:$N$36,3,FALSE))+(($H164*$K164)*VLOOKUP($B164&amp;$K$162&amp;M$162,'App6 - Stage-Route-Surv Data'!$L$5:$N$36,3,FALSE))+(($H164*$L164)*VLOOKUP($B164&amp;$L$162&amp;M$162,'App6 - Stage-Route-Surv Data'!$L$5:$N$36,3,FALSE))</f>
        <v>728.13267886666688</v>
      </c>
      <c r="N164" s="888">
        <f>(($H164*$I164)*VLOOKUP($B164&amp;$I$162&amp;N$162,'App6 - Stage-Route-Surv Data'!$L$5:$N$36,3,FALSE))+(($H164*$J164)*VLOOKUP($B164&amp;$J$162&amp;N$162,'App6 - Stage-Route-Surv Data'!$L$5:$N$36,3,FALSE))+(($H164*$K164)*VLOOKUP($B164&amp;$K$162&amp;N$162,'App6 - Stage-Route-Surv Data'!$L$5:$N$36,3,FALSE))+(($H164*$L164)*VLOOKUP($B164&amp;$L$162&amp;N$162,'App6 - Stage-Route-Surv Data'!$L$5:$N$36,3,FALSE))</f>
        <v>1069.8818798345176</v>
      </c>
      <c r="O164" s="888">
        <f>(($H164*$I164)*VLOOKUP($B164&amp;$I$162&amp;O$162,'App6 - Stage-Route-Surv Data'!$L$5:$N$36,3,FALSE))+(($H164*$J164)*VLOOKUP($B164&amp;$J$162&amp;O$162,'App6 - Stage-Route-Surv Data'!$L$5:$N$36,3,FALSE))+(($H164*$K164)*VLOOKUP($B164&amp;$K$162&amp;O$162,'App6 - Stage-Route-Surv Data'!$L$5:$N$36,3,FALSE))+(($H164*$L164)*VLOOKUP($B164&amp;$L$162&amp;O$162,'App6 - Stage-Route-Surv Data'!$L$5:$N$36,3,FALSE))</f>
        <v>255.8465936611646</v>
      </c>
      <c r="P164" s="888">
        <f>(($H164*$I164)*VLOOKUP($B164&amp;$I$162&amp;P$162,'App6 - Stage-Route-Surv Data'!$L$5:$N$36,3,FALSE))+(($H164*$J164)*VLOOKUP($B164&amp;$J$162&amp;P$162,'App6 - Stage-Route-Surv Data'!$L$5:$N$36,3,FALSE))+(($H164*$K164)*VLOOKUP($B164&amp;$K$162&amp;P$162,'App6 - Stage-Route-Surv Data'!$L$5:$N$36,3,FALSE))+(($H164*$L164)*VLOOKUP($B164&amp;$L$162&amp;P$162,'App6 - Stage-Route-Surv Data'!$L$5:$N$36,3,FALSE))</f>
        <v>143.87471697098465</v>
      </c>
      <c r="Q164" s="888">
        <f>M164*VLOOKUP($B164&amp;$D110&amp;Q$162,'App6 - Stage-Route-Surv Data'!$S$5:$T$20,2,FALSE)</f>
        <v>715.26854508681265</v>
      </c>
      <c r="R164" s="888">
        <f>N164*VLOOKUP($B164&amp;$D110&amp;R$162,'App6 - Stage-Route-Surv Data'!$S$5:$T$20,2,FALSE)</f>
        <v>1000.8203216938114</v>
      </c>
      <c r="S164" s="888">
        <f>O164*VLOOKUP($B164&amp;$D110&amp;S$162,'App6 - Stage-Route-Surv Data'!$S$5:$T$20,2,FALSE)</f>
        <v>212.78167149135047</v>
      </c>
      <c r="T164" s="888">
        <f>P164*VLOOKUP($B164&amp;$D110&amp;T$162,'App6 - Stage-Route-Surv Data'!$S$5:$T$20,2,FALSE)</f>
        <v>66.265232755737728</v>
      </c>
      <c r="U164" s="889">
        <f>SUM(Q164:T164)</f>
        <v>1995.1357710277121</v>
      </c>
      <c r="V164" s="890">
        <f>U164/H164</f>
        <v>0.90781417315308288</v>
      </c>
      <c r="W164" s="891">
        <f>$G164*W$134</f>
        <v>937850.33333333326</v>
      </c>
      <c r="X164" s="892">
        <f>H164</f>
        <v>2197.7358693333335</v>
      </c>
      <c r="Y164" s="892">
        <f>$H164-X164</f>
        <v>0</v>
      </c>
      <c r="Z164" s="892">
        <f>IF(C164="other",(1-$C$138)*X164,(1-(VLOOKUP(C164,'S3 - Screening Tool Metrics'!$C$3:$G$19,5,FALSE)/100))*X164)</f>
        <v>659.32076080000013</v>
      </c>
      <c r="AA164" s="892">
        <f>IF(C164="other",$C$138*X164,(VLOOKUP(C164,'S3 - Screening Tool Metrics'!$C$3:$G$19,5,FALSE)/100)*X164)</f>
        <v>1538.4151085333333</v>
      </c>
      <c r="AB164" s="893">
        <f>$AA164/$H164*100</f>
        <v>70</v>
      </c>
      <c r="AQ164" s="456">
        <f>U174-U164</f>
        <v>79.99943053543484</v>
      </c>
      <c r="AR164" s="457">
        <f>(U174/$H164)-($U164/$H164)</f>
        <v>3.6400839451058431E-2</v>
      </c>
    </row>
    <row r="165" spans="1:44" ht="17" hidden="1" thickBot="1" x14ac:dyDescent="0.25">
      <c r="B165" s="42" t="s">
        <v>10</v>
      </c>
      <c r="C165" s="55"/>
      <c r="D165" s="35"/>
      <c r="E165" s="36"/>
      <c r="F165" s="37"/>
      <c r="G165" s="360"/>
      <c r="H165" s="38"/>
      <c r="I165" s="40"/>
      <c r="J165" s="39"/>
      <c r="K165" s="39"/>
      <c r="L165" s="39"/>
      <c r="M165" s="39"/>
      <c r="N165" s="39"/>
      <c r="O165" s="39"/>
      <c r="P165" s="39"/>
      <c r="Q165" s="39"/>
      <c r="R165" s="39"/>
      <c r="S165" s="39"/>
      <c r="T165" s="39"/>
      <c r="U165" s="41"/>
      <c r="V165" s="470"/>
      <c r="W165" s="40"/>
      <c r="X165" s="39"/>
      <c r="Y165" s="39"/>
      <c r="Z165" s="39"/>
      <c r="AA165" s="39"/>
      <c r="AB165" s="41"/>
      <c r="AQ165" s="39"/>
      <c r="AR165" s="41"/>
    </row>
    <row r="166" spans="1:44" ht="17" hidden="1" thickBot="1" x14ac:dyDescent="0.25">
      <c r="B166" s="106" t="s">
        <v>10</v>
      </c>
      <c r="C166" s="484" t="s">
        <v>266</v>
      </c>
      <c r="D166" s="82" t="s">
        <v>296</v>
      </c>
      <c r="E166" s="361">
        <f>VLOOKUP($B166&amp;"_"&amp;$D166,'App5 - CRUK Inci Rates'!C:H,6,FALSE)</f>
        <v>247.86729478668161</v>
      </c>
      <c r="F166" s="362">
        <f>VLOOKUP($B166&amp;"_"&amp;$D166,'App5 - CRUK Inci Rates'!C:H,3,FALSE)</f>
        <v>0</v>
      </c>
      <c r="G166" s="363">
        <f>VLOOKUP($B166&amp;"_"&amp;$D166,'App5 - CRUK Inci Rates'!C:J,8,FALSE)</f>
        <v>786031.66666666663</v>
      </c>
      <c r="H166" s="27">
        <f>VLOOKUP($B166&amp;"_"&amp;$D166,'App5 - CRUK Inci Rates'!C:K,9,FALSE)</f>
        <v>1948.3154283333333</v>
      </c>
      <c r="I166" s="367">
        <f>VLOOKUP($B166&amp;I$162&amp;$D114,'App6 - Stage-Route-Surv Data'!$E$5:$G$76,3,FALSE)</f>
        <v>0.59247594050743657</v>
      </c>
      <c r="J166" s="85">
        <f>VLOOKUP($B166&amp;J$162&amp;$D114,'App6 - Stage-Route-Surv Data'!$E$5:$G$76,3,FALSE)</f>
        <v>0</v>
      </c>
      <c r="K166" s="85">
        <f>VLOOKUP($B166&amp;K$162&amp;$D114,'App6 - Stage-Route-Surv Data'!$E$5:$G$76,3,FALSE)</f>
        <v>2.5721784776902887E-2</v>
      </c>
      <c r="L166" s="85">
        <f>VLOOKUP($B166&amp;L$162&amp;$D114,'App6 - Stage-Route-Surv Data'!$E$5:$G$76,3,FALSE)</f>
        <v>0.38180227471566053</v>
      </c>
      <c r="M166" s="86">
        <f>(($H166*$I166)*VLOOKUP($B166&amp;$I$162&amp;M$162,'App6 - Stage-Route-Surv Data'!$L$5:$N$52,3,FALSE))+(($H166*$J166)*VLOOKUP($B166&amp;$J$162&amp;M$162,'App6 - Stage-Route-Surv Data'!$L$5:$N$52,3,FALSE))+(($H166*$K166)*VLOOKUP($B166&amp;$K$162&amp;M$162,'App6 - Stage-Route-Surv Data'!$L$5:$N$52,3,FALSE))+(($H166*$L166)*VLOOKUP($B166&amp;$L$162&amp;M$162,'App6 - Stage-Route-Surv Data'!$L$5:$N$52,3,FALSE))</f>
        <v>787.83872166353535</v>
      </c>
      <c r="N166" s="86">
        <f>(($H166*$I166)*VLOOKUP($B166&amp;$I$162&amp;N$162,'App6 - Stage-Route-Surv Data'!$L$5:$N$52,3,FALSE))+(($H166*$J166)*VLOOKUP($B166&amp;$J$162&amp;N$162,'App6 - Stage-Route-Surv Data'!$L$5:$N$52,3,FALSE))+(($H166*$K166)*VLOOKUP($B166&amp;$K$162&amp;N$162,'App6 - Stage-Route-Surv Data'!$L$5:$N$52,3,FALSE))+(($H166*$L166)*VLOOKUP($B166&amp;$L$162&amp;N$162,'App6 - Stage-Route-Surv Data'!$L$5:$N$52,3,FALSE))</f>
        <v>300.83766378114944</v>
      </c>
      <c r="O166" s="86">
        <f>(($H166*$I166)*VLOOKUP($B166&amp;$I$162&amp;O$162,'App6 - Stage-Route-Surv Data'!$L$5:$N$52,3,FALSE))+(($H166*$J166)*VLOOKUP($B166&amp;$J$162&amp;O$162,'App6 - Stage-Route-Surv Data'!$L$5:$N$52,3,FALSE))+(($H166*$K166)*VLOOKUP($B166&amp;$K$162&amp;O$162,'App6 - Stage-Route-Surv Data'!$L$5:$N$52,3,FALSE))+(($H166*$L166)*VLOOKUP($B166&amp;$L$162&amp;O$162,'App6 - Stage-Route-Surv Data'!$L$5:$N$52,3,FALSE))</f>
        <v>521.93909937912395</v>
      </c>
      <c r="P166" s="86">
        <f>(($H166*$I166)*VLOOKUP($B166&amp;$I$162&amp;P$162,'App6 - Stage-Route-Surv Data'!$L$5:$N$52,3,FALSE))+(($H166*$J166)*VLOOKUP($B166&amp;$J$162&amp;P$162,'App6 - Stage-Route-Surv Data'!$L$5:$N$52,3,FALSE))+(($H166*$K166)*VLOOKUP($B166&amp;$K$162&amp;P$162,'App6 - Stage-Route-Surv Data'!$L$5:$N$52,3,FALSE))+(($H166*$L166)*VLOOKUP($B166&amp;$L$162&amp;P$162,'App6 - Stage-Route-Surv Data'!$L$5:$N$52,3,FALSE))</f>
        <v>337.69994350952459</v>
      </c>
      <c r="Q166" s="86">
        <f>M166*VLOOKUP($B166&amp;$D114&amp;Q$162,'App6 - Stage-Route-Surv Data'!$S$5:$T$65,2,FALSE)</f>
        <v>787.83872166353535</v>
      </c>
      <c r="R166" s="86">
        <f>N166*VLOOKUP($B166&amp;$D114&amp;R$162,'App6 - Stage-Route-Surv Data'!$S$5:$T$65,2,FALSE)</f>
        <v>300.83766378114944</v>
      </c>
      <c r="S166" s="86">
        <f>O166*VLOOKUP($B166&amp;$D114&amp;S$162,'App6 - Stage-Route-Surv Data'!$S$5:$T$65,2,FALSE)</f>
        <v>511.50031739154144</v>
      </c>
      <c r="T166" s="86">
        <f>P166*VLOOKUP($B166&amp;$D114&amp;T$162,'App6 - Stage-Route-Surv Data'!$S$5:$T$65,2,FALSE)</f>
        <v>178.98097006004804</v>
      </c>
      <c r="U166" s="83">
        <f>SUM(Q166:T166)</f>
        <v>1779.1576728962746</v>
      </c>
      <c r="V166" s="471">
        <f>U166/H166</f>
        <v>0.91317742857389217</v>
      </c>
      <c r="W166" s="87">
        <f>$G166*W$134</f>
        <v>786031.66666666663</v>
      </c>
      <c r="X166" s="84">
        <f>H166</f>
        <v>1948.3154283333333</v>
      </c>
      <c r="Y166" s="84">
        <f>$H166-X166</f>
        <v>0</v>
      </c>
      <c r="Z166" s="84">
        <f>IF(C166="other",(1-$C$138)*X166,(1-(VLOOKUP(C166,'S3 - Screening Tool Metrics'!$C$3:$G$19,5,FALSE)/100))*X166)</f>
        <v>214.31469711666665</v>
      </c>
      <c r="AA166" s="84">
        <f>IF(C166="other",$C$138*X166,(VLOOKUP(C166,'S3 - Screening Tool Metrics'!$C$3:$G$19,5,FALSE)/100)*X166)</f>
        <v>1734.0007312166667</v>
      </c>
      <c r="AB166" s="88">
        <f>$AA166/$H166*100</f>
        <v>89</v>
      </c>
      <c r="AQ166" s="90">
        <f>U176-U166</f>
        <v>116.77954266987626</v>
      </c>
      <c r="AR166" s="95">
        <f>(U176/$H166)-($U166/$H166)</f>
        <v>5.9938724998843784E-2</v>
      </c>
    </row>
    <row r="167" spans="1:44" ht="17" hidden="1" thickBot="1" x14ac:dyDescent="0.25">
      <c r="B167" s="107" t="s">
        <v>10</v>
      </c>
      <c r="C167" s="434" t="str">
        <f>C166</f>
        <v>mpMRI</v>
      </c>
      <c r="D167" s="96" t="s">
        <v>297</v>
      </c>
      <c r="E167" s="20">
        <f>VLOOKUP($B167&amp;"_"&amp;$D167,'App5 - CRUK Inci Rates'!C:H,6,FALSE)</f>
        <v>664.16394552350903</v>
      </c>
      <c r="F167" s="365">
        <f>VLOOKUP($B167&amp;"_"&amp;$D167,'App5 - CRUK Inci Rates'!C:H,3,FALSE)</f>
        <v>0</v>
      </c>
      <c r="G167" s="366">
        <f>VLOOKUP($B167&amp;"_"&amp;$D167,'App5 - CRUK Inci Rates'!C:J,8,FALSE)</f>
        <v>702786.33333333326</v>
      </c>
      <c r="H167" s="27">
        <f>VLOOKUP($B167&amp;"_"&amp;$D167,'App5 - CRUK Inci Rates'!C:K,9,FALSE)</f>
        <v>4667.653440066666</v>
      </c>
      <c r="I167" s="368">
        <f>VLOOKUP($B167&amp;I$162&amp;$D117,'App6 - Stage-Route-Surv Data'!$E$5:$G$76,3,FALSE)</f>
        <v>0.6049957385432374</v>
      </c>
      <c r="J167" s="99">
        <f>VLOOKUP($B167&amp;J$162&amp;$D117,'App6 - Stage-Route-Surv Data'!$E$5:$G$76,3,FALSE)</f>
        <v>0</v>
      </c>
      <c r="K167" s="99">
        <f>VLOOKUP($B167&amp;K$162&amp;$D117,'App6 - Stage-Route-Surv Data'!$E$5:$G$76,3,FALSE)</f>
        <v>3.1141414803645184E-2</v>
      </c>
      <c r="L167" s="99">
        <f>VLOOKUP($B167&amp;L$162&amp;$D117,'App6 - Stage-Route-Surv Data'!$E$5:$G$76,3,FALSE)</f>
        <v>0.36386284665311741</v>
      </c>
      <c r="M167" s="100">
        <f>(($H167*$I167)*VLOOKUP($B167&amp;$I$162&amp;M$162,'App6 - Stage-Route-Surv Data'!$L$5:$N$52,3,FALSE))+(($H167*$J167)*VLOOKUP($B167&amp;$J$162&amp;M$162,'App6 - Stage-Route-Surv Data'!$L$5:$N$52,3,FALSE))+(($H167*$K167)*VLOOKUP($B167&amp;$K$162&amp;M$162,'App6 - Stage-Route-Surv Data'!$L$5:$N$52,3,FALSE))+(($H167*$L167)*VLOOKUP($B167&amp;$L$162&amp;M$162,'App6 - Stage-Route-Surv Data'!$L$5:$N$52,3,FALSE))</f>
        <v>1871.406969810359</v>
      </c>
      <c r="N167" s="100">
        <f>(($H167*$I167)*VLOOKUP($B167&amp;$I$162&amp;N$162,'App6 - Stage-Route-Surv Data'!$L$5:$N$52,3,FALSE))+(($H167*$J167)*VLOOKUP($B167&amp;$J$162&amp;N$162,'App6 - Stage-Route-Surv Data'!$L$5:$N$52,3,FALSE))+(($H167*$K167)*VLOOKUP($B167&amp;$K$162&amp;N$162,'App6 - Stage-Route-Surv Data'!$L$5:$N$52,3,FALSE))+(($H167*$L167)*VLOOKUP($B167&amp;$L$162&amp;N$162,'App6 - Stage-Route-Surv Data'!$L$5:$N$52,3,FALSE))</f>
        <v>716.62075703275036</v>
      </c>
      <c r="O167" s="100">
        <f>(($H167*$I167)*VLOOKUP($B167&amp;$I$162&amp;O$162,'App6 - Stage-Route-Surv Data'!$L$5:$N$52,3,FALSE))+(($H167*$J167)*VLOOKUP($B167&amp;$J$162&amp;O$162,'App6 - Stage-Route-Surv Data'!$L$5:$N$52,3,FALSE))+(($H167*$K167)*VLOOKUP($B167&amp;$K$162&amp;O$162,'App6 - Stage-Route-Surv Data'!$L$5:$N$52,3,FALSE))+(($H167*$L167)*VLOOKUP($B167&amp;$L$162&amp;O$162,'App6 - Stage-Route-Surv Data'!$L$5:$N$52,3,FALSE))</f>
        <v>1252.0627465736466</v>
      </c>
      <c r="P167" s="100">
        <f>(($H167*$I167)*VLOOKUP($B167&amp;$I$162&amp;P$162,'App6 - Stage-Route-Surv Data'!$L$5:$N$52,3,FALSE))+(($H167*$J167)*VLOOKUP($B167&amp;$J$162&amp;P$162,'App6 - Stage-Route-Surv Data'!$L$5:$N$52,3,FALSE))+(($H167*$K167)*VLOOKUP($B167&amp;$K$162&amp;P$162,'App6 - Stage-Route-Surv Data'!$L$5:$N$52,3,FALSE))+(($H167*$L167)*VLOOKUP($B167&amp;$L$162&amp;P$162,'App6 - Stage-Route-Surv Data'!$L$5:$N$52,3,FALSE))</f>
        <v>827.56296664991009</v>
      </c>
      <c r="Q167" s="100">
        <f>M167*VLOOKUP($B167&amp;$D117&amp;Q$162,'App6 - Stage-Route-Surv Data'!$S$5:$T$65,2,FALSE)</f>
        <v>1890.1210395084627</v>
      </c>
      <c r="R167" s="100">
        <f>N167*VLOOKUP($B167&amp;$D117&amp;R$162,'App6 - Stage-Route-Surv Data'!$S$5:$T$65,2,FALSE)</f>
        <v>716.62075703275036</v>
      </c>
      <c r="S167" s="100">
        <f>O167*VLOOKUP($B167&amp;$D117&amp;S$162,'App6 - Stage-Route-Surv Data'!$S$5:$T$65,2,FALSE)</f>
        <v>1239.5421191079101</v>
      </c>
      <c r="T167" s="100">
        <f>P167*VLOOKUP($B167&amp;$D117&amp;T$162,'App6 - Stage-Route-Surv Data'!$S$5:$T$65,2,FALSE)</f>
        <v>471.71089099044872</v>
      </c>
      <c r="U167" s="97">
        <f>SUM(Q167:T167)</f>
        <v>4317.9948066395727</v>
      </c>
      <c r="V167" s="471">
        <f>U167/H167</f>
        <v>0.92508899002105449</v>
      </c>
      <c r="W167" s="101">
        <f>$G167*W$134</f>
        <v>702786.33333333326</v>
      </c>
      <c r="X167" s="98">
        <f>H167</f>
        <v>4667.653440066666</v>
      </c>
      <c r="Y167" s="98">
        <f>$H167-X167</f>
        <v>0</v>
      </c>
      <c r="Z167" s="98">
        <f>IF(C167="other",(1-$C$138)*X167,(1-(VLOOKUP(C167,'S3 - Screening Tool Metrics'!$C$3:$G$19,5,FALSE)/100))*X167)</f>
        <v>513.44187840733321</v>
      </c>
      <c r="AA167" s="98">
        <f>IF(C167="other",$C$138*X167,(VLOOKUP(C167,'S3 - Screening Tool Metrics'!$C$3:$G$19,5,FALSE)/100)*X167)</f>
        <v>4154.2115616593328</v>
      </c>
      <c r="AB167" s="102">
        <f>$AA167/$H167*100</f>
        <v>89</v>
      </c>
      <c r="AQ167" s="104">
        <f>U177-U167</f>
        <v>264.71755040331664</v>
      </c>
      <c r="AR167" s="105">
        <f>(U177/$H167)-($U167/$H167)</f>
        <v>5.6713197284744443E-2</v>
      </c>
    </row>
    <row r="168" spans="1:44" ht="17" hidden="1" thickBot="1" x14ac:dyDescent="0.25">
      <c r="B168" s="42" t="s">
        <v>10</v>
      </c>
      <c r="C168" s="55"/>
      <c r="D168" s="35"/>
      <c r="E168" s="36"/>
      <c r="F168" s="37"/>
      <c r="G168" s="360"/>
      <c r="H168" s="38"/>
      <c r="I168" s="40"/>
      <c r="J168" s="39"/>
      <c r="K168" s="39"/>
      <c r="L168" s="39"/>
      <c r="M168" s="39"/>
      <c r="N168" s="39"/>
      <c r="O168" s="39"/>
      <c r="P168" s="39"/>
      <c r="Q168" s="39"/>
      <c r="R168" s="39"/>
      <c r="S168" s="39"/>
      <c r="T168" s="39"/>
      <c r="U168" s="41"/>
      <c r="V168" s="470"/>
      <c r="W168" s="40"/>
      <c r="X168" s="39"/>
      <c r="Y168" s="39"/>
      <c r="Z168" s="39"/>
      <c r="AA168" s="39"/>
      <c r="AB168" s="41"/>
      <c r="AQ168" s="39"/>
      <c r="AR168" s="41"/>
    </row>
    <row r="169" spans="1:44" ht="17" hidden="1" thickBot="1" x14ac:dyDescent="0.25">
      <c r="B169" s="106" t="s">
        <v>10</v>
      </c>
      <c r="C169" s="484" t="s">
        <v>172</v>
      </c>
      <c r="D169" s="82" t="s">
        <v>296</v>
      </c>
      <c r="E169" s="361">
        <f>VLOOKUP($B169&amp;"_"&amp;$D169,'App5 - CRUK Inci Rates'!C:H,6,FALSE)</f>
        <v>247.86729478668161</v>
      </c>
      <c r="F169" s="362">
        <f>VLOOKUP($B169&amp;"_"&amp;$D169,'App5 - CRUK Inci Rates'!C:H,3,FALSE)</f>
        <v>0</v>
      </c>
      <c r="G169" s="363">
        <f>VLOOKUP($B169&amp;"_"&amp;$D169,'App5 - CRUK Inci Rates'!C:J,8,FALSE)</f>
        <v>786031.66666666663</v>
      </c>
      <c r="H169" s="27">
        <f>VLOOKUP($B169&amp;"_"&amp;$D169,'App5 - CRUK Inci Rates'!C:K,9,FALSE)</f>
        <v>1948.3154283333333</v>
      </c>
      <c r="I169" s="367">
        <f>VLOOKUP($B169&amp;I$162&amp;$D121,'App6 - Stage-Route-Surv Data'!$E$5:$G$76,3,FALSE)</f>
        <v>0.59247594050743657</v>
      </c>
      <c r="J169" s="85">
        <f>VLOOKUP($B169&amp;J$162&amp;$D121,'App6 - Stage-Route-Surv Data'!$E$5:$G$76,3,FALSE)</f>
        <v>0</v>
      </c>
      <c r="K169" s="85">
        <f>VLOOKUP($B169&amp;K$162&amp;$D121,'App6 - Stage-Route-Surv Data'!$E$5:$G$76,3,FALSE)</f>
        <v>2.5721784776902887E-2</v>
      </c>
      <c r="L169" s="85">
        <f>VLOOKUP($B169&amp;L$162&amp;$D121,'App6 - Stage-Route-Surv Data'!$E$5:$G$76,3,FALSE)</f>
        <v>0.38180227471566053</v>
      </c>
      <c r="M169" s="86">
        <f>(($H169*$I169)*VLOOKUP($B169&amp;$I$162&amp;M$162,'App6 - Stage-Route-Surv Data'!$L$5:$N$52,3,FALSE))+(($H169*$J169)*VLOOKUP($B169&amp;$J$162&amp;M$162,'App6 - Stage-Route-Surv Data'!$L$5:$N$52,3,FALSE))+(($H169*$K169)*VLOOKUP($B169&amp;$K$162&amp;M$162,'App6 - Stage-Route-Surv Data'!$L$5:$N$52,3,FALSE))+(($H169*$L169)*VLOOKUP($B169&amp;$L$162&amp;M$162,'App6 - Stage-Route-Surv Data'!$L$5:$N$52,3,FALSE))</f>
        <v>787.83872166353535</v>
      </c>
      <c r="N169" s="86">
        <f>(($H169*$I169)*VLOOKUP($B169&amp;$I$162&amp;N$162,'App6 - Stage-Route-Surv Data'!$L$5:$N$52,3,FALSE))+(($H169*$J169)*VLOOKUP($B169&amp;$J$162&amp;N$162,'App6 - Stage-Route-Surv Data'!$L$5:$N$52,3,FALSE))+(($H169*$K169)*VLOOKUP($B169&amp;$K$162&amp;N$162,'App6 - Stage-Route-Surv Data'!$L$5:$N$52,3,FALSE))+(($H169*$L169)*VLOOKUP($B169&amp;$L$162&amp;N$162,'App6 - Stage-Route-Surv Data'!$L$5:$N$52,3,FALSE))</f>
        <v>300.83766378114944</v>
      </c>
      <c r="O169" s="86">
        <f>(($H169*$I169)*VLOOKUP($B169&amp;$I$162&amp;O$162,'App6 - Stage-Route-Surv Data'!$L$5:$N$52,3,FALSE))+(($H169*$J169)*VLOOKUP($B169&amp;$J$162&amp;O$162,'App6 - Stage-Route-Surv Data'!$L$5:$N$52,3,FALSE))+(($H169*$K169)*VLOOKUP($B169&amp;$K$162&amp;O$162,'App6 - Stage-Route-Surv Data'!$L$5:$N$52,3,FALSE))+(($H169*$L169)*VLOOKUP($B169&amp;$L$162&amp;O$162,'App6 - Stage-Route-Surv Data'!$L$5:$N$52,3,FALSE))</f>
        <v>521.93909937912395</v>
      </c>
      <c r="P169" s="86">
        <f>(($H169*$I169)*VLOOKUP($B169&amp;$I$162&amp;P$162,'App6 - Stage-Route-Surv Data'!$L$5:$N$52,3,FALSE))+(($H169*$J169)*VLOOKUP($B169&amp;$J$162&amp;P$162,'App6 - Stage-Route-Surv Data'!$L$5:$N$52,3,FALSE))+(($H169*$K169)*VLOOKUP($B169&amp;$K$162&amp;P$162,'App6 - Stage-Route-Surv Data'!$L$5:$N$52,3,FALSE))+(($H169*$L169)*VLOOKUP($B169&amp;$L$162&amp;P$162,'App6 - Stage-Route-Surv Data'!$L$5:$N$52,3,FALSE))</f>
        <v>337.69994350952459</v>
      </c>
      <c r="Q169" s="86">
        <f>M169*VLOOKUP($B169&amp;$D121&amp;Q$162,'App6 - Stage-Route-Surv Data'!$S$5:$T$65,2,FALSE)</f>
        <v>787.83872166353535</v>
      </c>
      <c r="R169" s="86">
        <f>N169*VLOOKUP($B169&amp;$D121&amp;R$162,'App6 - Stage-Route-Surv Data'!$S$5:$T$65,2,FALSE)</f>
        <v>300.83766378114944</v>
      </c>
      <c r="S169" s="86">
        <f>O169*VLOOKUP($B169&amp;$D121&amp;S$162,'App6 - Stage-Route-Surv Data'!$S$5:$T$65,2,FALSE)</f>
        <v>511.50031739154144</v>
      </c>
      <c r="T169" s="86">
        <f>P169*VLOOKUP($B169&amp;$D121&amp;T$162,'App6 - Stage-Route-Surv Data'!$S$5:$T$65,2,FALSE)</f>
        <v>178.98097006004804</v>
      </c>
      <c r="U169" s="83">
        <f>SUM(Q169:T169)</f>
        <v>1779.1576728962746</v>
      </c>
      <c r="V169" s="471">
        <f>U169/H169</f>
        <v>0.91317742857389217</v>
      </c>
      <c r="W169" s="87">
        <f>$G169*W$134</f>
        <v>786031.66666666663</v>
      </c>
      <c r="X169" s="84">
        <f>H169</f>
        <v>1948.3154283333333</v>
      </c>
      <c r="Y169" s="84">
        <f>$H169-X169</f>
        <v>0</v>
      </c>
      <c r="Z169" s="84">
        <f>IF(C169="other",(1-$C$138)*X169,(1-(VLOOKUP(C169,'S3 - Screening Tool Metrics'!$C$3:$G$19,5,FALSE)/100))*X169)</f>
        <v>1324.8544912666666</v>
      </c>
      <c r="AA169" s="84">
        <f>IF(C169="other",$C$138*X169,(VLOOKUP(C169,'S3 - Screening Tool Metrics'!$C$3:$G$19,5,FALSE)/100)*X169)</f>
        <v>623.4609370666667</v>
      </c>
      <c r="AB169" s="88">
        <f>$AA169/$H169*100</f>
        <v>32</v>
      </c>
      <c r="AQ169" s="90">
        <f>U179-U169</f>
        <v>41.988150173438044</v>
      </c>
      <c r="AR169" s="95">
        <f>(U179/$H169)-($U169/$H169)</f>
        <v>2.1551002246774975E-2</v>
      </c>
    </row>
    <row r="170" spans="1:44" ht="17" hidden="1" thickBot="1" x14ac:dyDescent="0.25">
      <c r="B170" s="107" t="s">
        <v>10</v>
      </c>
      <c r="C170" s="434" t="str">
        <f>C169</f>
        <v>PSA_3ng/mL cut-off</v>
      </c>
      <c r="D170" s="96" t="s">
        <v>297</v>
      </c>
      <c r="E170" s="20">
        <f>VLOOKUP($B170&amp;"_"&amp;$D170,'App5 - CRUK Inci Rates'!C:H,6,FALSE)</f>
        <v>664.16394552350903</v>
      </c>
      <c r="F170" s="365">
        <f>VLOOKUP($B170&amp;"_"&amp;$D170,'App5 - CRUK Inci Rates'!C:H,3,FALSE)</f>
        <v>0</v>
      </c>
      <c r="G170" s="366">
        <f>VLOOKUP($B170&amp;"_"&amp;$D170,'App5 - CRUK Inci Rates'!C:J,8,FALSE)</f>
        <v>702786.33333333326</v>
      </c>
      <c r="H170" s="27">
        <f>VLOOKUP($B170&amp;"_"&amp;$D170,'App5 - CRUK Inci Rates'!C:K,9,FALSE)</f>
        <v>4667.653440066666</v>
      </c>
      <c r="I170" s="368">
        <f>VLOOKUP($B170&amp;I$162&amp;$D124,'App6 - Stage-Route-Surv Data'!$E$5:$G$76,3,FALSE)</f>
        <v>0.6049957385432374</v>
      </c>
      <c r="J170" s="99">
        <f>VLOOKUP($B170&amp;J$162&amp;$D124,'App6 - Stage-Route-Surv Data'!$E$5:$G$76,3,FALSE)</f>
        <v>0</v>
      </c>
      <c r="K170" s="99">
        <f>VLOOKUP($B170&amp;K$162&amp;$D124,'App6 - Stage-Route-Surv Data'!$E$5:$G$76,3,FALSE)</f>
        <v>3.1141414803645184E-2</v>
      </c>
      <c r="L170" s="99">
        <f>VLOOKUP($B170&amp;L$162&amp;$D124,'App6 - Stage-Route-Surv Data'!$E$5:$G$76,3,FALSE)</f>
        <v>0.36386284665311741</v>
      </c>
      <c r="M170" s="100">
        <f>(($H170*$I170)*VLOOKUP($B170&amp;$I$162&amp;M$162,'App6 - Stage-Route-Surv Data'!$L$5:$N$52,3,FALSE))+(($H170*$J170)*VLOOKUP($B170&amp;$J$162&amp;M$162,'App6 - Stage-Route-Surv Data'!$L$5:$N$52,3,FALSE))+(($H170*$K170)*VLOOKUP($B170&amp;$K$162&amp;M$162,'App6 - Stage-Route-Surv Data'!$L$5:$N$52,3,FALSE))+(($H170*$L170)*VLOOKUP($B170&amp;$L$162&amp;M$162,'App6 - Stage-Route-Surv Data'!$L$5:$N$52,3,FALSE))</f>
        <v>1871.406969810359</v>
      </c>
      <c r="N170" s="100">
        <f>(($H170*$I170)*VLOOKUP($B170&amp;$I$162&amp;N$162,'App6 - Stage-Route-Surv Data'!$L$5:$N$52,3,FALSE))+(($H170*$J170)*VLOOKUP($B170&amp;$J$162&amp;N$162,'App6 - Stage-Route-Surv Data'!$L$5:$N$52,3,FALSE))+(($H170*$K170)*VLOOKUP($B170&amp;$K$162&amp;N$162,'App6 - Stage-Route-Surv Data'!$L$5:$N$52,3,FALSE))+(($H170*$L170)*VLOOKUP($B170&amp;$L$162&amp;N$162,'App6 - Stage-Route-Surv Data'!$L$5:$N$52,3,FALSE))</f>
        <v>716.62075703275036</v>
      </c>
      <c r="O170" s="100">
        <f>(($H170*$I170)*VLOOKUP($B170&amp;$I$162&amp;O$162,'App6 - Stage-Route-Surv Data'!$L$5:$N$52,3,FALSE))+(($H170*$J170)*VLOOKUP($B170&amp;$J$162&amp;O$162,'App6 - Stage-Route-Surv Data'!$L$5:$N$52,3,FALSE))+(($H170*$K170)*VLOOKUP($B170&amp;$K$162&amp;O$162,'App6 - Stage-Route-Surv Data'!$L$5:$N$52,3,FALSE))+(($H170*$L170)*VLOOKUP($B170&amp;$L$162&amp;O$162,'App6 - Stage-Route-Surv Data'!$L$5:$N$52,3,FALSE))</f>
        <v>1252.0627465736466</v>
      </c>
      <c r="P170" s="100">
        <f>(($H170*$I170)*VLOOKUP($B170&amp;$I$162&amp;P$162,'App6 - Stage-Route-Surv Data'!$L$5:$N$52,3,FALSE))+(($H170*$J170)*VLOOKUP($B170&amp;$J$162&amp;P$162,'App6 - Stage-Route-Surv Data'!$L$5:$N$52,3,FALSE))+(($H170*$K170)*VLOOKUP($B170&amp;$K$162&amp;P$162,'App6 - Stage-Route-Surv Data'!$L$5:$N$52,3,FALSE))+(($H170*$L170)*VLOOKUP($B170&amp;$L$162&amp;P$162,'App6 - Stage-Route-Surv Data'!$L$5:$N$52,3,FALSE))</f>
        <v>827.56296664991009</v>
      </c>
      <c r="Q170" s="100">
        <f>M170*VLOOKUP($B170&amp;$D124&amp;Q$162,'App6 - Stage-Route-Surv Data'!$S$5:$T$65,2,FALSE)</f>
        <v>1890.1210395084627</v>
      </c>
      <c r="R170" s="100">
        <f>N170*VLOOKUP($B170&amp;$D124&amp;R$162,'App6 - Stage-Route-Surv Data'!$S$5:$T$65,2,FALSE)</f>
        <v>716.62075703275036</v>
      </c>
      <c r="S170" s="100">
        <f>O170*VLOOKUP($B170&amp;$D124&amp;S$162,'App6 - Stage-Route-Surv Data'!$S$5:$T$65,2,FALSE)</f>
        <v>1239.5421191079101</v>
      </c>
      <c r="T170" s="100">
        <f>P170*VLOOKUP($B170&amp;$D124&amp;T$162,'App6 - Stage-Route-Surv Data'!$S$5:$T$65,2,FALSE)</f>
        <v>471.71089099044872</v>
      </c>
      <c r="U170" s="97">
        <f>SUM(Q170:T170)</f>
        <v>4317.9948066395727</v>
      </c>
      <c r="V170" s="471">
        <f>U170/H170</f>
        <v>0.92508899002105449</v>
      </c>
      <c r="W170" s="101">
        <f>$G170*W$134</f>
        <v>702786.33333333326</v>
      </c>
      <c r="X170" s="98">
        <f>H170</f>
        <v>4667.653440066666</v>
      </c>
      <c r="Y170" s="98">
        <f>$H170-X170</f>
        <v>0</v>
      </c>
      <c r="Z170" s="98">
        <f>IF(C170="other",(1-$C$138)*X170,(1-(VLOOKUP(C170,'S3 - Screening Tool Metrics'!$C$3:$G$19,5,FALSE)/100))*X170)</f>
        <v>3174.0043392453326</v>
      </c>
      <c r="AA170" s="98">
        <f>IF(C170="other",$C$138*X170,(VLOOKUP(C170,'S3 - Screening Tool Metrics'!$C$3:$G$19,5,FALSE)/100)*X170)</f>
        <v>1493.6491008213331</v>
      </c>
      <c r="AB170" s="102">
        <f>$AA170/$H170*100</f>
        <v>32</v>
      </c>
      <c r="AQ170" s="104">
        <f>U180-U170</f>
        <v>95.179343965236512</v>
      </c>
      <c r="AR170" s="105">
        <f>(U180/$H170)-($U170/$H170)</f>
        <v>2.0391261945076455E-2</v>
      </c>
    </row>
    <row r="171" spans="1:44" ht="17" hidden="1" thickBot="1" x14ac:dyDescent="0.25">
      <c r="B171" s="42" t="s">
        <v>11</v>
      </c>
      <c r="C171" s="55"/>
      <c r="D171" s="35"/>
      <c r="E171" s="36"/>
      <c r="F171" s="37"/>
      <c r="G171" s="360"/>
      <c r="H171" s="38"/>
      <c r="I171" s="40"/>
      <c r="J171" s="39"/>
      <c r="K171" s="39"/>
      <c r="L171" s="39"/>
      <c r="M171" s="39"/>
      <c r="N171" s="39"/>
      <c r="O171" s="39"/>
      <c r="P171" s="39"/>
      <c r="Q171" s="39"/>
      <c r="R171" s="39"/>
      <c r="S171" s="39"/>
      <c r="T171" s="39"/>
      <c r="U171" s="41"/>
      <c r="V171" s="466"/>
      <c r="W171" s="40"/>
      <c r="X171" s="39"/>
      <c r="Y171" s="39"/>
      <c r="Z171" s="39"/>
      <c r="AA171" s="39"/>
      <c r="AB171" s="41"/>
      <c r="AQ171" s="39"/>
      <c r="AR171" s="41"/>
    </row>
    <row r="172" spans="1:44" ht="17" hidden="1" thickBot="1" x14ac:dyDescent="0.25">
      <c r="B172" s="894" t="s">
        <v>11</v>
      </c>
      <c r="C172" s="895" t="s">
        <v>143</v>
      </c>
      <c r="D172" s="896" t="s">
        <v>296</v>
      </c>
      <c r="E172" s="897">
        <f>VLOOKUP($B172&amp;"_"&amp;$D172,'App5 - CRUK Inci Rates'!C:H,6,FALSE)</f>
        <v>106.71806012904484</v>
      </c>
      <c r="F172" s="898">
        <f>VLOOKUP($B172&amp;"_"&amp;$D172,'App5 - CRUK Inci Rates'!C:H,3,FALSE)</f>
        <v>69.679312945560724</v>
      </c>
      <c r="G172" s="899">
        <f>VLOOKUP($B172&amp;"_"&amp;$D172,'App5 - CRUK Inci Rates'!C:J,8,FALSE)</f>
        <v>1596059.6666666665</v>
      </c>
      <c r="H172" s="27">
        <f>VLOOKUP($B172&amp;"_"&amp;$D172,'App5 - CRUK Inci Rates'!C:K,9,FALSE)</f>
        <v>1403.2596917333333</v>
      </c>
      <c r="I172" s="902">
        <f>VLOOKUP($B172&amp;I$162&amp;$D128,'App6 - Stage-Route-Surv Data'!$E$5:$G$76,3,FALSE)+(VLOOKUP($B172&amp;J$162&amp;$D128,'App6 - Stage-Route-Surv Data'!$E$5:$G$76,3,FALSE)*(VLOOKUP($B172&amp;I$162&amp;$D128,'App6 - Stage-Route-Surv Data'!$E$5:$G$76,3,FALSE)/SUM(VLOOKUP($B172&amp;I$162&amp;$D128,'App6 - Stage-Route-Surv Data'!$E$5:$G$76,3,FALSE),VLOOKUP($B172&amp;K$162&amp;$D128,'App6 - Stage-Route-Surv Data'!$E$5:$G$76,3,FALSE),VLOOKUP($B172&amp;L$162&amp;$D128,'App6 - Stage-Route-Surv Data'!$E$5:$G$76,3,FALSE))))</f>
        <v>0.43463801483755432</v>
      </c>
      <c r="J172" s="903">
        <v>0</v>
      </c>
      <c r="K172" s="903">
        <f>VLOOKUP($B172&amp;K$162&amp;$D128,'App6 - Stage-Route-Surv Data'!$E$5:$G$76,3,FALSE)+(VLOOKUP($B172&amp;J$162&amp;$D128,'App6 - Stage-Route-Surv Data'!$E$5:$G$76,3,FALSE)*(VLOOKUP($B172&amp;K$162&amp;$D128,'App6 - Stage-Route-Surv Data'!$E$5:$G$76,3,FALSE)/SUM(VLOOKUP($B172&amp;I$162&amp;$D128,'App6 - Stage-Route-Surv Data'!$E$5:$G$76,3,FALSE),VLOOKUP($B172&amp;K$162&amp;$D128,'App6 - Stage-Route-Surv Data'!$E$5:$G$76,3,FALSE),VLOOKUP($B172&amp;L$162&amp;$D128,'App6 - Stage-Route-Surv Data'!$E$5:$G$76,3,FALSE))))</f>
        <v>0.21514453824507548</v>
      </c>
      <c r="L172" s="903">
        <f>VLOOKUP($B172&amp;L$162&amp;$D128,'App6 - Stage-Route-Surv Data'!$E$5:$G$76,3,FALSE)+(VLOOKUP($B172&amp;J$162&amp;$D128,'App6 - Stage-Route-Surv Data'!$E$5:$G$76,3,FALSE)*(VLOOKUP($B172&amp;L$162&amp;$D128,'App6 - Stage-Route-Surv Data'!$E$5:$G$76,3,FALSE)/SUM(VLOOKUP($B172&amp;I$162&amp;$D128,'App6 - Stage-Route-Surv Data'!$E$5:$G$76,3,FALSE),VLOOKUP($B172&amp;K$162&amp;$D128,'App6 - Stage-Route-Surv Data'!$E$5:$G$76,3,FALSE),VLOOKUP($B172&amp;L$162&amp;$D128,'App6 - Stage-Route-Surv Data'!$E$5:$G$76,3,FALSE))))</f>
        <v>0.35021744691737017</v>
      </c>
      <c r="M172" s="904">
        <f>(($H172*$I172)*VLOOKUP($B172&amp;$I$162&amp;M$162,'App6 - Stage-Route-Surv Data'!$L$5:$N$52,3,FALSE))+(($H172*$J172)*VLOOKUP($B172&amp;$J$162&amp;M$162,'App6 - Stage-Route-Surv Data'!$L$5:$N$52,3,FALSE))+(($H172*$K172)*VLOOKUP($B172&amp;$K$162&amp;M$162,'App6 - Stage-Route-Surv Data'!$L$5:$N$52,3,FALSE))+(($H172*$L172)*VLOOKUP($B172&amp;$L$162&amp;M$162,'App6 - Stage-Route-Surv Data'!$L$5:$N$52,3,FALSE))</f>
        <v>239.65494511469132</v>
      </c>
      <c r="N172" s="904">
        <f>(($H172*$I172)*VLOOKUP($B172&amp;$I$162&amp;N$162,'App6 - Stage-Route-Surv Data'!$L$5:$N$52,3,FALSE))+(($H172*$J172)*VLOOKUP($B172&amp;$J$162&amp;N$162,'App6 - Stage-Route-Surv Data'!$L$5:$N$52,3,FALSE))+(($H172*$K172)*VLOOKUP($B172&amp;$K$162&amp;N$162,'App6 - Stage-Route-Surv Data'!$L$5:$N$52,3,FALSE))+(($H172*$L172)*VLOOKUP($B172&amp;$L$162&amp;N$162,'App6 - Stage-Route-Surv Data'!$L$5:$N$52,3,FALSE))</f>
        <v>359.61309405385532</v>
      </c>
      <c r="O172" s="904">
        <f>(($H172*$I172)*VLOOKUP($B172&amp;$I$162&amp;O$162,'App6 - Stage-Route-Surv Data'!$L$5:$N$52,3,FALSE))+(($H172*$J172)*VLOOKUP($B172&amp;$J$162&amp;O$162,'App6 - Stage-Route-Surv Data'!$L$5:$N$52,3,FALSE))+(($H172*$K172)*VLOOKUP($B172&amp;$K$162&amp;O$162,'App6 - Stage-Route-Surv Data'!$L$5:$N$52,3,FALSE))+(($H172*$L172)*VLOOKUP($B172&amp;$L$162&amp;O$162,'App6 - Stage-Route-Surv Data'!$L$5:$N$52,3,FALSE))</f>
        <v>426.82590254050547</v>
      </c>
      <c r="P172" s="904">
        <f>(($H172*$I172)*VLOOKUP($B172&amp;$I$162&amp;P$162,'App6 - Stage-Route-Surv Data'!$L$5:$N$52,3,FALSE))+(($H172*$J172)*VLOOKUP($B172&amp;$J$162&amp;P$162,'App6 - Stage-Route-Surv Data'!$L$5:$N$52,3,FALSE))+(($H172*$K172)*VLOOKUP($B172&amp;$K$162&amp;P$162,'App6 - Stage-Route-Surv Data'!$L$5:$N$52,3,FALSE))+(($H172*$L172)*VLOOKUP($B172&amp;$L$162&amp;P$162,'App6 - Stage-Route-Surv Data'!$L$5:$N$52,3,FALSE))</f>
        <v>377.16575002428118</v>
      </c>
      <c r="Q172" s="904">
        <f>M172*VLOOKUP($B172&amp;$D128&amp;Q$162,'App6 - Stage-Route-Surv Data'!$S$5:$T$65,2,FALSE)</f>
        <v>230.64969472962989</v>
      </c>
      <c r="R172" s="904">
        <f>N172*VLOOKUP($B172&amp;$D128&amp;R$162,'App6 - Stage-Route-Surv Data'!$S$5:$T$65,2,FALSE)</f>
        <v>319.76673144562653</v>
      </c>
      <c r="S172" s="904">
        <f>O172*VLOOKUP($B172&amp;$D128&amp;S$162,'App6 - Stage-Route-Surv Data'!$S$5:$T$65,2,FALSE)</f>
        <v>320.17633798907639</v>
      </c>
      <c r="T172" s="904">
        <f>P172*VLOOKUP($B172&amp;$D128&amp;T$162,'App6 - Stage-Route-Surv Data'!$S$5:$T$65,2,FALSE)</f>
        <v>56.294517554330994</v>
      </c>
      <c r="U172" s="905">
        <f>SUM(Q172:T172)</f>
        <v>926.88728171866387</v>
      </c>
      <c r="V172" s="906">
        <f>U172/H172</f>
        <v>0.6605244112540245</v>
      </c>
      <c r="W172" s="907">
        <f>$G172*W$134</f>
        <v>1596059.6666666665</v>
      </c>
      <c r="X172" s="901">
        <f>H172</f>
        <v>1403.2596917333333</v>
      </c>
      <c r="Y172" s="901">
        <f>$H172-X172</f>
        <v>0</v>
      </c>
      <c r="Z172" s="901">
        <f>IF(C172="other",(1-$C$138)*X172,(1-(VLOOKUP(C172,'S3 - Screening Tool Metrics'!$C$3:$G$19,5,FALSE)/100))*X172)</f>
        <v>420.97790752000003</v>
      </c>
      <c r="AA172" s="901">
        <f>IF(C172="other",$C$138*X172,(VLOOKUP(C172,'S3 - Screening Tool Metrics'!$C$3:$G$19,5,FALSE)/100)*X172)</f>
        <v>982.28178421333325</v>
      </c>
      <c r="AB172" s="900">
        <f>$AA172/$H172*100</f>
        <v>70</v>
      </c>
      <c r="AQ172" s="908">
        <f>U182-U172</f>
        <v>154.96993471501651</v>
      </c>
      <c r="AR172" s="909">
        <f>(U182/$H172)-($U172/$H172)</f>
        <v>0.110435677464372</v>
      </c>
    </row>
    <row r="173" spans="1:44" ht="15.5" customHeight="1" x14ac:dyDescent="0.2">
      <c r="A173" s="1304" t="s">
        <v>403</v>
      </c>
      <c r="B173" s="948" t="s">
        <v>8</v>
      </c>
      <c r="C173" s="948"/>
      <c r="D173" s="949"/>
      <c r="E173" s="949"/>
      <c r="F173" s="950"/>
      <c r="G173" s="949"/>
      <c r="H173" s="950"/>
      <c r="I173" s="951"/>
      <c r="J173" s="951"/>
      <c r="K173" s="951"/>
      <c r="L173" s="951"/>
      <c r="M173" s="952"/>
      <c r="N173" s="952"/>
      <c r="O173" s="952"/>
      <c r="P173" s="952"/>
      <c r="Q173" s="952"/>
      <c r="R173" s="952"/>
      <c r="S173" s="952"/>
      <c r="T173" s="952"/>
      <c r="U173" s="950"/>
      <c r="V173" s="948"/>
    </row>
    <row r="174" spans="1:44" x14ac:dyDescent="0.2">
      <c r="A174" s="1305"/>
      <c r="B174" s="974" t="s">
        <v>8</v>
      </c>
      <c r="C174" s="960" t="s">
        <v>162</v>
      </c>
      <c r="D174" s="976" t="s">
        <v>298</v>
      </c>
      <c r="E174" s="982">
        <f>VLOOKUP($B174&amp;"_"&amp;$D174,'App5 - CRUK Inci Rates'!C:H,6,FALSE)</f>
        <v>0</v>
      </c>
      <c r="F174" s="983">
        <f>VLOOKUP($B174&amp;"_"&amp;$D174,'App5 - CRUK Inci Rates'!C:H,3,FALSE)</f>
        <v>234.33759004190796</v>
      </c>
      <c r="G174" s="993">
        <f>VLOOKUP($B174&amp;"_"&amp;$D174,'App5 - CRUK Inci Rates'!C:J,8,FALSE)</f>
        <v>937850.33333333326</v>
      </c>
      <c r="H174" s="944">
        <f>VLOOKUP($B174&amp;"_"&amp;$D174,'App5 - CRUK Inci Rates'!C:K,9,FALSE)</f>
        <v>2197.7358693333335</v>
      </c>
      <c r="I174" s="945">
        <f>(1-J174)*($I164/SUM($I164,$K164,$L164))</f>
        <v>0.24511926605504591</v>
      </c>
      <c r="J174" s="945">
        <f>AA164/$H164</f>
        <v>0.7</v>
      </c>
      <c r="K174" s="945">
        <f>(1-J174)*($K164/SUM($I164,$K164,$L164))</f>
        <v>5.3944954128440376E-3</v>
      </c>
      <c r="L174" s="945">
        <f>(1-J174)*($L164/SUM($I164,$K164,$L164))</f>
        <v>4.9486238532110101E-2</v>
      </c>
      <c r="M174" s="946">
        <f>(($H164*$I174)*VLOOKUP($B164&amp;$AC$162&amp;AG$162,'App6 - Stage-Route-Surv Data'!$L$5:$N$52,3,FALSE))+(($H164*$J174)*VLOOKUP($B164&amp;$AD$162&amp;AG$162,'App6 - Stage-Route-Surv Data'!$L$5:$N$52,3,FALSE))+(($H164*$K174)*VLOOKUP($B164&amp;$AE$162&amp;AG$162,'App6 - Stage-Route-Surv Data'!$L$5:$N$52,3,FALSE))+(($H164*$L174)*VLOOKUP($B164&amp;$AF$162&amp;AG$162,'App6 - Stage-Route-Surv Data'!$L$5:$N$52,3,FALSE))</f>
        <v>1265.079424091387</v>
      </c>
      <c r="N174" s="946">
        <f>(($H164*$I174)*VLOOKUP($B164&amp;$AC$162&amp;AH$162,'App6 - Stage-Route-Surv Data'!$L$5:$N$52,3,FALSE))+(($H164*$J174)*VLOOKUP($B164&amp;$AD$162&amp;AH$162,'App6 - Stage-Route-Surv Data'!$L$5:$N$52,3,FALSE))+(($H164*$K174)*VLOOKUP($B164&amp;$AE$162&amp;AH$162,'App6 - Stage-Route-Surv Data'!$L$5:$N$52,3,FALSE))+(($H164*$L174)*VLOOKUP($B164&amp;$AF$162&amp;AH$162,'App6 - Stage-Route-Surv Data'!$L$5:$N$52,3,FALSE))</f>
        <v>741.06187410369466</v>
      </c>
      <c r="O174" s="946">
        <f>(($H164*$I174)*VLOOKUP($B164&amp;$AC$162&amp;AI$162,'App6 - Stage-Route-Surv Data'!$L$5:$N$52,3,FALSE))+(($H164*$J174)*VLOOKUP($B164&amp;$AD$162&amp;AI$162,'App6 - Stage-Route-Surv Data'!$L$5:$N$52,3,FALSE))+(($H164*$K174)*VLOOKUP($B164&amp;$AE$162&amp;AI$162,'App6 - Stage-Route-Surv Data'!$L$5:$N$52,3,FALSE))+(($H164*$L174)*VLOOKUP($B164&amp;$AF$162&amp;AI$162,'App6 - Stage-Route-Surv Data'!$L$5:$N$52,3,FALSE))</f>
        <v>136.66637914227917</v>
      </c>
      <c r="P174" s="946">
        <f>(($H164*$I174)*VLOOKUP($B164&amp;$AC$162&amp;AJ$162,'App6 - Stage-Route-Surv Data'!$L$5:$N$52,3,FALSE))+(($H164*$J174)*VLOOKUP($B164&amp;$AD$162&amp;AJ$162,'App6 - Stage-Route-Surv Data'!$L$5:$N$52,3,FALSE))+(($H164*$K174)*VLOOKUP($B164&amp;$AE$162&amp;AJ$162,'App6 - Stage-Route-Surv Data'!$L$5:$N$52,3,FALSE))+(($H164*$L174)*VLOOKUP($B164&amp;$AF$162&amp;AJ$162,'App6 - Stage-Route-Surv Data'!$L$5:$N$52,3,FALSE))</f>
        <v>55.404968900699416</v>
      </c>
      <c r="Q174" s="946">
        <f>M174*VLOOKUP($B164&amp;$D110&amp;AK$162,'App6 - Stage-Route-Surv Data'!$S$5:$T$40,2,FALSE)</f>
        <v>1242.7288945436908</v>
      </c>
      <c r="R174" s="946">
        <f>N174*VLOOKUP($B164&amp;$D110&amp;AL$162,'App6 - Stage-Route-Surv Data'!$S$5:$T$40,2,FALSE)</f>
        <v>693.2258571854635</v>
      </c>
      <c r="S174" s="946">
        <f>O174*VLOOKUP($B164&amp;$D110&amp;AM$162,'App6 - Stage-Route-Surv Data'!$S$5:$T$40,2,FALSE)</f>
        <v>113.66225430023739</v>
      </c>
      <c r="T174" s="946">
        <f>P174*VLOOKUP($B164&amp;$D110&amp;AN$162,'App6 - Stage-Route-Surv Data'!$S$5:$T$40,2,FALSE)</f>
        <v>25.518195533755083</v>
      </c>
      <c r="U174" s="944">
        <f>SUM(Q174:T174)</f>
        <v>2075.1352015631469</v>
      </c>
      <c r="V174" s="947">
        <f>U174/H164</f>
        <v>0.94421501260414131</v>
      </c>
    </row>
    <row r="175" spans="1:44" x14ac:dyDescent="0.2">
      <c r="A175" s="1305"/>
      <c r="B175" s="953" t="s">
        <v>10</v>
      </c>
      <c r="C175" s="965"/>
      <c r="D175" s="966"/>
      <c r="E175" s="966"/>
      <c r="F175" s="967"/>
      <c r="G175" s="968"/>
      <c r="H175" s="969"/>
      <c r="I175" s="970"/>
      <c r="J175" s="970"/>
      <c r="K175" s="970"/>
      <c r="L175" s="970"/>
      <c r="M175" s="971"/>
      <c r="N175" s="971"/>
      <c r="O175" s="971"/>
      <c r="P175" s="971"/>
      <c r="Q175" s="971"/>
      <c r="R175" s="971"/>
      <c r="S175" s="971"/>
      <c r="T175" s="971"/>
      <c r="U175" s="971"/>
      <c r="V175" s="972"/>
    </row>
    <row r="176" spans="1:44" x14ac:dyDescent="0.2">
      <c r="A176" s="1305"/>
      <c r="B176" s="700" t="s">
        <v>10</v>
      </c>
      <c r="C176" s="721" t="s">
        <v>266</v>
      </c>
      <c r="D176" s="976" t="s">
        <v>296</v>
      </c>
      <c r="E176" s="982">
        <f>VLOOKUP($B176&amp;"_"&amp;$D176,'App5 - CRUK Inci Rates'!C:H,6,FALSE)</f>
        <v>247.86729478668161</v>
      </c>
      <c r="F176" s="983">
        <f>VLOOKUP($B176&amp;"_"&amp;$D176,'App5 - CRUK Inci Rates'!C:H,3,FALSE)</f>
        <v>0</v>
      </c>
      <c r="G176" s="993">
        <f>VLOOKUP($B176&amp;"_"&amp;$D176,'App5 - CRUK Inci Rates'!C:J,8,FALSE)</f>
        <v>786031.66666666663</v>
      </c>
      <c r="H176" s="944">
        <f>VLOOKUP($B176&amp;"_"&amp;$D176,'App5 - CRUK Inci Rates'!C:K,9,FALSE)</f>
        <v>1948.3154283333333</v>
      </c>
      <c r="I176" s="945">
        <f>(1-J176)*($I166/SUM($I166,$K166,$L166))</f>
        <v>6.5172353455818011E-2</v>
      </c>
      <c r="J176" s="945">
        <f>AA166/$H166</f>
        <v>0.89</v>
      </c>
      <c r="K176" s="945">
        <f>(1-J176)*($K166/SUM($I166,$K166,$L166))</f>
        <v>2.8293963254593171E-3</v>
      </c>
      <c r="L176" s="945">
        <f>(1-J176)*($L166/SUM($I166,$K166,$L166))</f>
        <v>4.1998250218722652E-2</v>
      </c>
      <c r="M176" s="946">
        <f>(($H166*$I176)*VLOOKUP($B166&amp;$AC$162&amp;AG$162,'App6 - Stage-Route-Surv Data'!$L$5:$N$52,3,FALSE))+(($H166*$J176)*VLOOKUP($B166&amp;$AD$162&amp;AG$162,'App6 - Stage-Route-Surv Data'!$L$5:$N$52,3,FALSE))+(($H166*$K176)*VLOOKUP($B166&amp;$AE$162&amp;AG$162,'App6 - Stage-Route-Surv Data'!$L$5:$N$52,3,FALSE))+(($H166*$L176)*VLOOKUP($B166&amp;$AF$162&amp;AG$162,'App6 - Stage-Route-Surv Data'!$L$5:$N$52,3,FALSE))</f>
        <v>1117.2475996344033</v>
      </c>
      <c r="N176" s="946">
        <f>(($H166*$I176)*VLOOKUP($B166&amp;$AC$162&amp;AH$162,'App6 - Stage-Route-Surv Data'!$L$5:$N$52,3,FALSE))+(($H166*$J176)*VLOOKUP($B166&amp;$AD$162&amp;AH$162,'App6 - Stage-Route-Surv Data'!$L$5:$N$52,3,FALSE))+(($H166*$K176)*VLOOKUP($B166&amp;$AE$162&amp;AH$162,'App6 - Stage-Route-Surv Data'!$L$5:$N$52,3,FALSE))+(($H166*$L176)*VLOOKUP($B166&amp;$AF$162&amp;AH$162,'App6 - Stage-Route-Surv Data'!$L$5:$N$52,3,FALSE))</f>
        <v>527.30751833185229</v>
      </c>
      <c r="O176" s="946">
        <f>(($H166*$I176)*VLOOKUP($B166&amp;$AC$162&amp;AI$162,'App6 - Stage-Route-Surv Data'!$L$5:$N$52,3,FALSE))+(($H166*$J176)*VLOOKUP($B166&amp;$AD$162&amp;AI$162,'App6 - Stage-Route-Surv Data'!$L$5:$N$52,3,FALSE))+(($H166*$K176)*VLOOKUP($B166&amp;$AE$162&amp;AI$162,'App6 - Stage-Route-Surv Data'!$L$5:$N$52,3,FALSE))+(($H166*$L176)*VLOOKUP($B166&amp;$AF$162&amp;AI$162,'App6 - Stage-Route-Surv Data'!$L$5:$N$52,3,FALSE))</f>
        <v>200.86474023409841</v>
      </c>
      <c r="P176" s="946">
        <f>(($H166*$I176)*VLOOKUP($B166&amp;$AC$162&amp;AJ$162,'App6 - Stage-Route-Surv Data'!$L$5:$N$52,3,FALSE))+(($H166*$J176)*VLOOKUP($B166&amp;$AD$162&amp;AJ$162,'App6 - Stage-Route-Surv Data'!$L$5:$N$52,3,FALSE))+(($H166*$K176)*VLOOKUP($B166&amp;$AE$162&amp;AJ$162,'App6 - Stage-Route-Surv Data'!$L$5:$N$52,3,FALSE))+(($H166*$L176)*VLOOKUP($B166&amp;$AF$162&amp;AJ$162,'App6 - Stage-Route-Surv Data'!$L$5:$N$52,3,FALSE))</f>
        <v>102.89557013297863</v>
      </c>
      <c r="Q176" s="946">
        <f>M176*VLOOKUP($B166&amp;$D114&amp;AK$162,'App6 - Stage-Route-Surv Data'!$S$5:$T$40,2,FALSE)</f>
        <v>1117.2475996344033</v>
      </c>
      <c r="R176" s="946">
        <f>N176*VLOOKUP($B166&amp;$D114&amp;AL$162,'App6 - Stage-Route-Surv Data'!$S$5:$T$40,2,FALSE)</f>
        <v>527.30751833185229</v>
      </c>
      <c r="S176" s="946">
        <f>O176*VLOOKUP($B166&amp;$D114&amp;AM$162,'App6 - Stage-Route-Surv Data'!$S$5:$T$40,2,FALSE)</f>
        <v>196.84744542941644</v>
      </c>
      <c r="T176" s="946">
        <f>P176*VLOOKUP($B166&amp;$D114&amp;AN$162,'App6 - Stage-Route-Surv Data'!$S$5:$T$40,2,FALSE)</f>
        <v>54.53465217047868</v>
      </c>
      <c r="U176" s="944">
        <f>SUM(Q176:T176)</f>
        <v>1895.9372155661508</v>
      </c>
      <c r="V176" s="947">
        <f>U176/H166</f>
        <v>0.97311615357273595</v>
      </c>
    </row>
    <row r="177" spans="1:44" x14ac:dyDescent="0.2">
      <c r="A177" s="1305"/>
      <c r="B177" s="700" t="s">
        <v>10</v>
      </c>
      <c r="C177" s="721" t="str">
        <f>C176</f>
        <v>mpMRI</v>
      </c>
      <c r="D177" s="975" t="s">
        <v>297</v>
      </c>
      <c r="E177" s="984">
        <f>VLOOKUP($B177&amp;"_"&amp;$D177,'App5 - CRUK Inci Rates'!C:H,6,FALSE)</f>
        <v>664.16394552350903</v>
      </c>
      <c r="F177" s="981">
        <f>VLOOKUP($B177&amp;"_"&amp;$D177,'App5 - CRUK Inci Rates'!C:H,3,FALSE)</f>
        <v>0</v>
      </c>
      <c r="G177" s="993">
        <f>VLOOKUP($B177&amp;"_"&amp;$D177,'App5 - CRUK Inci Rates'!C:J,8,FALSE)</f>
        <v>702786.33333333326</v>
      </c>
      <c r="H177" s="944">
        <f>VLOOKUP($B177&amp;"_"&amp;$D177,'App5 - CRUK Inci Rates'!C:K,9,FALSE)</f>
        <v>4667.653440066666</v>
      </c>
      <c r="I177" s="935">
        <f>(1-J177)*($I167/SUM($I167,$K167,$L167))</f>
        <v>6.6549531239756113E-2</v>
      </c>
      <c r="J177" s="935">
        <f>AA167/$H167</f>
        <v>0.89</v>
      </c>
      <c r="K177" s="935">
        <f>(1-J177)*($K167/SUM($I167,$K167,$L167))</f>
        <v>3.42555562840097E-3</v>
      </c>
      <c r="L177" s="935">
        <f>(1-J177)*($L167/SUM($I167,$K167,$L167))</f>
        <v>4.0024913131842914E-2</v>
      </c>
      <c r="M177" s="935">
        <f>(($H167*$I177)*VLOOKUP($B167&amp;$AC$162&amp;AG$162,'App6 - Stage-Route-Surv Data'!$L$5:$N$52,3,FALSE))+(($H167*$J177)*VLOOKUP($B167&amp;$AD$162&amp;AG$162,'App6 - Stage-Route-Surv Data'!$L$5:$N$52,3,FALSE))+(($H167*$K177)*VLOOKUP($B167&amp;$AE$162&amp;AG$162,'App6 - Stage-Route-Surv Data'!$L$5:$N$52,3,FALSE))+(($H167*$L177)*VLOOKUP($B167&amp;$AF$162&amp;AG$162,'App6 - Stage-Route-Surv Data'!$L$5:$N$52,3,FALSE))</f>
        <v>2674.8672986087413</v>
      </c>
      <c r="N177" s="935">
        <f>(($H167*$I177)*VLOOKUP($B167&amp;$AC$162&amp;AH$162,'App6 - Stage-Route-Surv Data'!$L$5:$N$52,3,FALSE))+(($H167*$J177)*VLOOKUP($B167&amp;$AD$162&amp;AH$162,'App6 - Stage-Route-Surv Data'!$L$5:$N$52,3,FALSE))+(($H167*$K177)*VLOOKUP($B167&amp;$AE$162&amp;AH$162,'App6 - Stage-Route-Surv Data'!$L$5:$N$52,3,FALSE))+(($H167*$L177)*VLOOKUP($B167&amp;$AF$162&amp;AH$162,'App6 - Stage-Route-Surv Data'!$L$5:$N$52,3,FALSE))</f>
        <v>1262.8388716928353</v>
      </c>
      <c r="O177" s="935">
        <f>(($H167*$I177)*VLOOKUP($B167&amp;$AC$162&amp;AI$162,'App6 - Stage-Route-Surv Data'!$L$5:$N$52,3,FALSE))+(($H167*$J177)*VLOOKUP($B167&amp;$AD$162&amp;AI$162,'App6 - Stage-Route-Surv Data'!$L$5:$N$52,3,FALSE))+(($H167*$K177)*VLOOKUP($B167&amp;$AE$162&amp;AI$162,'App6 - Stage-Route-Surv Data'!$L$5:$N$52,3,FALSE))+(($H167*$L177)*VLOOKUP($B167&amp;$AF$162&amp;AI$162,'App6 - Stage-Route-Surv Data'!$L$5:$N$52,3,FALSE))</f>
        <v>481.39897616458444</v>
      </c>
      <c r="P177" s="935">
        <f>(($H167*$I177)*VLOOKUP($B167&amp;$AC$162&amp;AJ$162,'App6 - Stage-Route-Surv Data'!$L$5:$N$52,3,FALSE))+(($H167*$J177)*VLOOKUP($B167&amp;$AD$162&amp;AJ$162,'App6 - Stage-Route-Surv Data'!$L$5:$N$52,3,FALSE))+(($H167*$K177)*VLOOKUP($B167&amp;$AE$162&amp;AJ$162,'App6 - Stage-Route-Surv Data'!$L$5:$N$52,3,FALSE))+(($H167*$L177)*VLOOKUP($B167&amp;$AF$162&amp;AJ$162,'App6 - Stage-Route-Surv Data'!$L$5:$N$52,3,FALSE))</f>
        <v>248.54829360050329</v>
      </c>
      <c r="Q177" s="935">
        <f>M177*VLOOKUP($B167&amp;$D117&amp;AK$162,'App6 - Stage-Route-Surv Data'!$S$5:$T$40,2,FALSE)</f>
        <v>2701.6159715948288</v>
      </c>
      <c r="R177" s="935">
        <f>N177*VLOOKUP($B167&amp;$D117&amp;AL$162,'App6 - Stage-Route-Surv Data'!$S$5:$T$40,2,FALSE)</f>
        <v>1262.8388716928353</v>
      </c>
      <c r="S177" s="935">
        <f>O177*VLOOKUP($B167&amp;$D117&amp;AM$162,'App6 - Stage-Route-Surv Data'!$S$5:$T$40,2,FALSE)</f>
        <v>476.58498640293857</v>
      </c>
      <c r="T177" s="935">
        <f>P177*VLOOKUP($B167&amp;$D117&amp;AN$162,'App6 - Stage-Route-Surv Data'!$S$5:$T$40,2,FALSE)</f>
        <v>141.67252735228686</v>
      </c>
      <c r="U177" s="936">
        <f>SUM(Q177:T177)</f>
        <v>4582.7123570428894</v>
      </c>
      <c r="V177" s="937">
        <f>U177/H167</f>
        <v>0.98180218730579893</v>
      </c>
    </row>
    <row r="178" spans="1:44" ht="15.5" hidden="1" customHeight="1" x14ac:dyDescent="0.2">
      <c r="A178" s="1305"/>
      <c r="B178" s="700" t="s">
        <v>10</v>
      </c>
      <c r="C178" s="721"/>
      <c r="D178" s="975"/>
      <c r="E178" s="985"/>
      <c r="F178" s="981"/>
      <c r="G178" s="992"/>
      <c r="H178" s="709"/>
      <c r="I178" s="935"/>
      <c r="J178" s="935"/>
      <c r="K178" s="935"/>
      <c r="L178" s="935"/>
      <c r="M178" s="935"/>
      <c r="N178" s="935"/>
      <c r="O178" s="935"/>
      <c r="P178" s="935"/>
      <c r="Q178" s="935"/>
      <c r="R178" s="935"/>
      <c r="S178" s="935"/>
      <c r="T178" s="935"/>
      <c r="U178" s="936"/>
      <c r="V178" s="937"/>
    </row>
    <row r="179" spans="1:44" x14ac:dyDescent="0.2">
      <c r="A179" s="1305"/>
      <c r="B179" s="958" t="s">
        <v>10</v>
      </c>
      <c r="C179" s="959" t="s">
        <v>172</v>
      </c>
      <c r="D179" s="976" t="s">
        <v>296</v>
      </c>
      <c r="E179" s="982">
        <f>VLOOKUP($B179&amp;"_"&amp;$D179,'App5 - CRUK Inci Rates'!C:H,6,FALSE)</f>
        <v>247.86729478668161</v>
      </c>
      <c r="F179" s="983">
        <f>VLOOKUP($B179&amp;"_"&amp;$D179,'App5 - CRUK Inci Rates'!C:H,3,FALSE)</f>
        <v>0</v>
      </c>
      <c r="G179" s="993">
        <f>VLOOKUP($B179&amp;"_"&amp;$D179,'App5 - CRUK Inci Rates'!C:J,8,FALSE)</f>
        <v>786031.66666666663</v>
      </c>
      <c r="H179" s="944">
        <f>VLOOKUP($B179&amp;"_"&amp;$D179,'App5 - CRUK Inci Rates'!C:K,9,FALSE)</f>
        <v>1948.3154283333333</v>
      </c>
      <c r="I179" s="945">
        <f>(1-J179)*($I169/SUM($I169,$K169,$L169))</f>
        <v>0.40288363954505685</v>
      </c>
      <c r="J179" s="945">
        <f>AA169/$H169</f>
        <v>0.32</v>
      </c>
      <c r="K179" s="945">
        <f>(1-J179)*($K169/SUM($I169,$K169,$L169))</f>
        <v>1.7490813648293961E-2</v>
      </c>
      <c r="L179" s="945">
        <f>(1-J179)*($L169/SUM($I169,$K169,$L169))</f>
        <v>0.25962554680664912</v>
      </c>
      <c r="M179" s="946">
        <f>(($H169*$I179)*VLOOKUP($B169&amp;$AC$162&amp;AG$162,'App6 - Stage-Route-Surv Data'!$L$5:$N$52,3,FALSE))+(($H169*$J179)*VLOOKUP($B169&amp;$AD$162&amp;AG$162,'App6 - Stage-Route-Surv Data'!$L$5:$N$52,3,FALSE))+(($H169*$K179)*VLOOKUP($B169&amp;$AE$162&amp;AG$162,'App6 - Stage-Route-Surv Data'!$L$5:$N$52,3,FALSE))+(($H169*$L179)*VLOOKUP($B169&amp;$AF$162&amp;AG$162,'App6 - Stage-Route-Surv Data'!$L$5:$N$52,3,FALSE))</f>
        <v>906.27786879912821</v>
      </c>
      <c r="N179" s="946">
        <f>(($H169*$I179)*VLOOKUP($B169&amp;$AC$162&amp;AH$162,'App6 - Stage-Route-Surv Data'!$L$5:$N$52,3,FALSE))+(($H169*$J179)*VLOOKUP($B169&amp;$AD$162&amp;AH$162,'App6 - Stage-Route-Surv Data'!$L$5:$N$52,3,FALSE))+(($H169*$K179)*VLOOKUP($B169&amp;$AE$162&amp;AH$162,'App6 - Stage-Route-Surv Data'!$L$5:$N$52,3,FALSE))+(($H169*$L179)*VLOOKUP($B169&amp;$AF$162&amp;AH$162,'App6 - Stage-Route-Surv Data'!$L$5:$N$52,3,FALSE))</f>
        <v>382.26502721511002</v>
      </c>
      <c r="O179" s="946">
        <f>(($H169*$I179)*VLOOKUP($B169&amp;$AC$162&amp;AI$162,'App6 - Stage-Route-Surv Data'!$L$5:$N$52,3,FALSE))+(($H169*$J179)*VLOOKUP($B169&amp;$AD$162&amp;AI$162,'App6 - Stage-Route-Surv Data'!$L$5:$N$52,3,FALSE))+(($H169*$K179)*VLOOKUP($B169&amp;$AE$162&amp;AI$162,'App6 - Stage-Route-Surv Data'!$L$5:$N$52,3,FALSE))+(($H169*$L179)*VLOOKUP($B169&amp;$AF$162&amp;AI$162,'App6 - Stage-Route-Surv Data'!$L$5:$N$52,3,FALSE))</f>
        <v>406.49663316967644</v>
      </c>
      <c r="P179" s="946">
        <f>(($H169*$I179)*VLOOKUP($B169&amp;$AC$162&amp;AJ$162,'App6 - Stage-Route-Surv Data'!$L$5:$N$52,3,FALSE))+(($H169*$J179)*VLOOKUP($B169&amp;$AD$162&amp;AJ$162,'App6 - Stage-Route-Surv Data'!$L$5:$N$52,3,FALSE))+(($H169*$K179)*VLOOKUP($B169&amp;$AE$162&amp;AJ$162,'App6 - Stage-Route-Surv Data'!$L$5:$N$52,3,FALSE))+(($H169*$L179)*VLOOKUP($B169&amp;$AF$162&amp;AJ$162,'App6 - Stage-Route-Surv Data'!$L$5:$N$52,3,FALSE))</f>
        <v>253.27589914941819</v>
      </c>
      <c r="Q179" s="946">
        <f>M179*VLOOKUP($B169&amp;$D121&amp;AK$162,'App6 - Stage-Route-Surv Data'!$S$5:$T$40,2,FALSE)</f>
        <v>906.27786879912821</v>
      </c>
      <c r="R179" s="946">
        <f>N179*VLOOKUP($B169&amp;$D121&amp;AL$162,'App6 - Stage-Route-Surv Data'!$S$5:$T$40,2,FALSE)</f>
        <v>382.26502721511002</v>
      </c>
      <c r="S179" s="946">
        <f>O179*VLOOKUP($B169&amp;$D121&amp;AM$162,'App6 - Stage-Route-Surv Data'!$S$5:$T$40,2,FALSE)</f>
        <v>398.36670050628288</v>
      </c>
      <c r="T179" s="946">
        <f>P179*VLOOKUP($B169&amp;$D121&amp;AN$162,'App6 - Stage-Route-Surv Data'!$S$5:$T$40,2,FALSE)</f>
        <v>134.23622654919166</v>
      </c>
      <c r="U179" s="944">
        <f>SUM(Q179:T179)</f>
        <v>1821.1458230697126</v>
      </c>
      <c r="V179" s="947">
        <f>U179/H169</f>
        <v>0.93472843082066714</v>
      </c>
    </row>
    <row r="180" spans="1:44" x14ac:dyDescent="0.2">
      <c r="A180" s="1305"/>
      <c r="B180" s="700" t="s">
        <v>10</v>
      </c>
      <c r="C180" s="721" t="str">
        <f>C179</f>
        <v>PSA_3ng/mL cut-off</v>
      </c>
      <c r="D180" s="976" t="s">
        <v>297</v>
      </c>
      <c r="E180" s="982">
        <f>VLOOKUP($B180&amp;"_"&amp;$D180,'App5 - CRUK Inci Rates'!C:H,6,FALSE)</f>
        <v>664.16394552350903</v>
      </c>
      <c r="F180" s="983">
        <f>VLOOKUP($B180&amp;"_"&amp;$D180,'App5 - CRUK Inci Rates'!C:H,3,FALSE)</f>
        <v>0</v>
      </c>
      <c r="G180" s="993">
        <f>VLOOKUP($B180&amp;"_"&amp;$D180,'App5 - CRUK Inci Rates'!C:J,8,FALSE)</f>
        <v>702786.33333333326</v>
      </c>
      <c r="H180" s="944">
        <f>VLOOKUP($B180&amp;"_"&amp;$D180,'App5 - CRUK Inci Rates'!C:K,9,FALSE)</f>
        <v>4667.653440066666</v>
      </c>
      <c r="I180" s="945">
        <f>(1-J180)*($I170/SUM($I170,$K170,$L170))</f>
        <v>0.4113971022094014</v>
      </c>
      <c r="J180" s="945">
        <f>AA170/$H170</f>
        <v>0.32</v>
      </c>
      <c r="K180" s="945">
        <f>(1-J180)*($K170/SUM($I170,$K170,$L170))</f>
        <v>2.1176162066478724E-2</v>
      </c>
      <c r="L180" s="945">
        <f>(1-J180)*($L170/SUM($I170,$K170,$L170))</f>
        <v>0.24742673572411983</v>
      </c>
      <c r="M180" s="946">
        <f>(($H170*$I180)*VLOOKUP($B170&amp;$AC$162&amp;AG$162,'App6 - Stage-Route-Surv Data'!$L$5:$N$52,3,FALSE))+(($H170*$J180)*VLOOKUP($B170&amp;$AD$162&amp;AG$162,'App6 - Stage-Route-Surv Data'!$L$5:$N$52,3,FALSE))+(($H170*$K180)*VLOOKUP($B170&amp;$AE$162&amp;AG$162,'App6 - Stage-Route-Surv Data'!$L$5:$N$52,3,FALSE))+(($H170*$L180)*VLOOKUP($B170&amp;$AF$162&amp;AG$162,'App6 - Stage-Route-Surv Data'!$L$5:$N$52,3,FALSE))</f>
        <v>2160.2915824120246</v>
      </c>
      <c r="N180" s="946">
        <f>(($H170*$I180)*VLOOKUP($B170&amp;$AC$162&amp;AH$162,'App6 - Stage-Route-Surv Data'!$L$5:$N$52,3,FALSE))+(($H170*$J180)*VLOOKUP($B170&amp;$AD$162&amp;AH$162,'App6 - Stage-Route-Surv Data'!$L$5:$N$52,3,FALSE))+(($H170*$K180)*VLOOKUP($B170&amp;$AE$162&amp;AH$162,'App6 - Stage-Route-Surv Data'!$L$5:$N$52,3,FALSE))+(($H170*$L180)*VLOOKUP($B170&amp;$AF$162&amp;AH$162,'App6 - Stage-Route-Surv Data'!$L$5:$N$52,3,FALSE))</f>
        <v>913.01378702289321</v>
      </c>
      <c r="O180" s="946">
        <f>(($H170*$I180)*VLOOKUP($B170&amp;$AC$162&amp;AI$162,'App6 - Stage-Route-Surv Data'!$L$5:$N$52,3,FALSE))+(($H170*$J180)*VLOOKUP($B170&amp;$AD$162&amp;AI$162,'App6 - Stage-Route-Surv Data'!$L$5:$N$52,3,FALSE))+(($H170*$K180)*VLOOKUP($B170&amp;$AE$162&amp;AI$162,'App6 - Stage-Route-Surv Data'!$L$5:$N$52,3,FALSE))+(($H170*$L180)*VLOOKUP($B170&amp;$AF$162&amp;AI$162,'App6 - Stage-Route-Surv Data'!$L$5:$N$52,3,FALSE))</f>
        <v>974.97015496589393</v>
      </c>
      <c r="P180" s="946">
        <f>(($H170*$I180)*VLOOKUP($B170&amp;$AC$162&amp;AJ$162,'App6 - Stage-Route-Surv Data'!$L$5:$N$52,3,FALSE))+(($H170*$J180)*VLOOKUP($B170&amp;$AD$162&amp;AJ$162,'App6 - Stage-Route-Surv Data'!$L$5:$N$52,3,FALSE))+(($H170*$K180)*VLOOKUP($B170&amp;$AE$162&amp;AJ$162,'App6 - Stage-Route-Surv Data'!$L$5:$N$52,3,FALSE))+(($H170*$L180)*VLOOKUP($B170&amp;$AF$162&amp;AJ$162,'App6 - Stage-Route-Surv Data'!$L$5:$N$52,3,FALSE))</f>
        <v>619.37791566585361</v>
      </c>
      <c r="Q180" s="946">
        <f>M180*VLOOKUP($B170&amp;$D124&amp;AK$162,'App6 - Stage-Route-Surv Data'!$S$5:$T$40,2,FALSE)</f>
        <v>2181.894498236145</v>
      </c>
      <c r="R180" s="946">
        <f>N180*VLOOKUP($B170&amp;$D124&amp;AL$162,'App6 - Stage-Route-Surv Data'!$S$5:$T$40,2,FALSE)</f>
        <v>913.01378702289321</v>
      </c>
      <c r="S180" s="946">
        <f>O180*VLOOKUP($B170&amp;$D124&amp;AM$162,'App6 - Stage-Route-Surv Data'!$S$5:$T$40,2,FALSE)</f>
        <v>965.22045341623493</v>
      </c>
      <c r="T180" s="946">
        <f>P180*VLOOKUP($B170&amp;$D124&amp;AN$162,'App6 - Stage-Route-Surv Data'!$S$5:$T$40,2,FALSE)</f>
        <v>353.0454119295365</v>
      </c>
      <c r="U180" s="944">
        <f>SUM(Q180:T180)</f>
        <v>4413.1741506048093</v>
      </c>
      <c r="V180" s="947">
        <f>U180/H170</f>
        <v>0.94548025196613095</v>
      </c>
    </row>
    <row r="181" spans="1:44" x14ac:dyDescent="0.2">
      <c r="A181" s="1305"/>
      <c r="B181" s="953" t="s">
        <v>11</v>
      </c>
      <c r="C181" s="954"/>
      <c r="D181" s="966"/>
      <c r="E181" s="966"/>
      <c r="F181" s="967"/>
      <c r="G181" s="968"/>
      <c r="H181" s="969"/>
      <c r="I181" s="970"/>
      <c r="J181" s="970"/>
      <c r="K181" s="970"/>
      <c r="L181" s="970"/>
      <c r="M181" s="971"/>
      <c r="N181" s="971"/>
      <c r="O181" s="971"/>
      <c r="P181" s="971"/>
      <c r="Q181" s="971"/>
      <c r="R181" s="971"/>
      <c r="S181" s="971"/>
      <c r="T181" s="971"/>
      <c r="U181" s="971"/>
      <c r="V181" s="955"/>
    </row>
    <row r="182" spans="1:44" ht="17" thickBot="1" x14ac:dyDescent="0.25">
      <c r="A182" s="1305"/>
      <c r="B182" s="731" t="s">
        <v>11</v>
      </c>
      <c r="C182" s="938" t="s">
        <v>143</v>
      </c>
      <c r="D182" s="979" t="s">
        <v>296</v>
      </c>
      <c r="E182" s="990">
        <f>VLOOKUP($B182&amp;"_"&amp;$D182,'App5 - CRUK Inci Rates'!C:H,6,FALSE)</f>
        <v>106.71806012904484</v>
      </c>
      <c r="F182" s="991">
        <f>VLOOKUP($B182&amp;"_"&amp;$D182,'App5 - CRUK Inci Rates'!C:H,3,FALSE)</f>
        <v>69.679312945560724</v>
      </c>
      <c r="G182" s="996">
        <f>VLOOKUP($B182&amp;"_"&amp;$D182,'App5 - CRUK Inci Rates'!C:J,8,FALSE)</f>
        <v>1596059.6666666665</v>
      </c>
      <c r="H182" s="939">
        <f>VLOOKUP($B182&amp;"_"&amp;$D182,'App5 - CRUK Inci Rates'!C:K,9,FALSE)</f>
        <v>1403.2596917333333</v>
      </c>
      <c r="I182" s="940">
        <f>(1-J182)*($I172/SUM($I172,$K172,$L172))</f>
        <v>0.13039140445126632</v>
      </c>
      <c r="J182" s="940">
        <f>AA172/$H172</f>
        <v>0.7</v>
      </c>
      <c r="K182" s="940">
        <f>(1-J182)*($K172/SUM($I172,$K172,$L172))</f>
        <v>6.4543361473522659E-2</v>
      </c>
      <c r="L182" s="940">
        <f>(1-J182)*($L172/SUM($I172,$K172,$L172))</f>
        <v>0.10506523407521107</v>
      </c>
      <c r="M182" s="941">
        <f>(($H172*$I182)*VLOOKUP($B172&amp;$AC$162&amp;AG$162,'App6 - Stage-Route-Surv Data'!$L$5:$N$52,3,FALSE))+(($H172*$J182)*VLOOKUP($B172&amp;$AD$162&amp;AG$162,'App6 - Stage-Route-Surv Data'!$L$5:$N$52,3,FALSE))+(($H172*$K182)*VLOOKUP($B172&amp;$AE$162&amp;AG$162,'App6 - Stage-Route-Surv Data'!$L$5:$N$52,3,FALSE))+(($H172*$L182)*VLOOKUP($B172&amp;$AF$162&amp;AG$162,'App6 - Stage-Route-Surv Data'!$L$5:$N$52,3,FALSE))</f>
        <v>443.62439782618344</v>
      </c>
      <c r="N182" s="941">
        <f>(($H172*$I182)*VLOOKUP($B172&amp;$AC$162&amp;AH$162,'App6 - Stage-Route-Surv Data'!$L$5:$N$52,3,FALSE))+(($H172*$J182)*VLOOKUP($B172&amp;$AD$162&amp;AH$162,'App6 - Stage-Route-Surv Data'!$L$5:$N$52,3,FALSE))+(($H172*$K182)*VLOOKUP($B172&amp;$AE$162&amp;AH$162,'App6 - Stage-Route-Surv Data'!$L$5:$N$52,3,FALSE))+(($H172*$L182)*VLOOKUP($B172&amp;$AF$162&amp;AH$162,'App6 - Stage-Route-Surv Data'!$L$5:$N$52,3,FALSE))</f>
        <v>350.68558346403177</v>
      </c>
      <c r="O182" s="941">
        <f>(($H172*$I182)*VLOOKUP($B172&amp;$AC$162&amp;AI$162,'App6 - Stage-Route-Surv Data'!$L$5:$N$52,3,FALSE))+(($H172*$J182)*VLOOKUP($B172&amp;$AD$162&amp;AI$162,'App6 - Stage-Route-Surv Data'!$L$5:$N$52,3,FALSE))+(($H172*$K182)*VLOOKUP($B172&amp;$AE$162&amp;AI$162,'App6 - Stage-Route-Surv Data'!$L$5:$N$52,3,FALSE))+(($H172*$L182)*VLOOKUP($B172&amp;$AF$162&amp;AI$162,'App6 - Stage-Route-Surv Data'!$L$5:$N$52,3,FALSE))</f>
        <v>419.69373560375129</v>
      </c>
      <c r="P182" s="941">
        <f>(($H172*$I182)*VLOOKUP($B172&amp;$AC$162&amp;AJ$162,'App6 - Stage-Route-Surv Data'!$L$5:$N$52,3,FALSE))+(($H172*$J182)*VLOOKUP($B172&amp;$AD$162&amp;AJ$162,'App6 - Stage-Route-Surv Data'!$L$5:$N$52,3,FALSE))+(($H172*$K182)*VLOOKUP($B172&amp;$AE$162&amp;AJ$162,'App6 - Stage-Route-Surv Data'!$L$5:$N$52,3,FALSE))+(($H172*$L182)*VLOOKUP($B172&amp;$AF$162&amp;AJ$162,'App6 - Stage-Route-Surv Data'!$L$5:$N$52,3,FALSE))</f>
        <v>189.25597483936687</v>
      </c>
      <c r="Q182" s="941">
        <f>M182*VLOOKUP($B172&amp;$D128&amp;AK$162,'App6 - Stage-Route-Surv Data'!$S$5:$T$40,2,FALSE)</f>
        <v>426.95481156984721</v>
      </c>
      <c r="R182" s="941">
        <f>N182*VLOOKUP($B172&amp;$D128&amp;AL$162,'App6 - Stage-Route-Surv Data'!$S$5:$T$40,2,FALSE)</f>
        <v>311.82841960866494</v>
      </c>
      <c r="S182" s="941">
        <f>O182*VLOOKUP($B172&amp;$D128&amp;AM$162,'App6 - Stage-Route-Surv Data'!$S$5:$T$40,2,FALSE)</f>
        <v>314.82626181482163</v>
      </c>
      <c r="T182" s="941">
        <f>P182*VLOOKUP($B172&amp;$D128&amp;AN$162,'App6 - Stage-Route-Surv Data'!$S$5:$T$40,2,FALSE)</f>
        <v>28.247723440346519</v>
      </c>
      <c r="U182" s="939">
        <f>SUM(Q182:T182)</f>
        <v>1081.8572164336804</v>
      </c>
      <c r="V182" s="942">
        <f>U182/H172</f>
        <v>0.7709600887183965</v>
      </c>
    </row>
    <row r="183" spans="1:44" hidden="1" x14ac:dyDescent="0.2">
      <c r="A183" s="1001"/>
      <c r="B183" s="1388" t="s">
        <v>181</v>
      </c>
      <c r="C183" s="1306" t="s">
        <v>207</v>
      </c>
      <c r="D183" s="1309" t="s">
        <v>182</v>
      </c>
      <c r="E183" s="1391" t="s">
        <v>183</v>
      </c>
      <c r="F183" s="1391"/>
      <c r="G183" s="1393" t="s">
        <v>184</v>
      </c>
      <c r="H183" s="1394"/>
      <c r="I183" s="1332" t="s">
        <v>349</v>
      </c>
      <c r="J183" s="1366"/>
      <c r="K183" s="1366"/>
      <c r="L183" s="1366"/>
      <c r="M183" s="1366"/>
      <c r="N183" s="1366"/>
      <c r="O183" s="1366"/>
      <c r="P183" s="1366"/>
      <c r="Q183" s="1366"/>
      <c r="R183" s="1366"/>
      <c r="S183" s="1366"/>
      <c r="T183" s="1366"/>
      <c r="U183" s="1367"/>
      <c r="V183" s="460"/>
      <c r="W183" s="1341" t="s">
        <v>265</v>
      </c>
      <c r="X183" s="1342"/>
      <c r="Y183" s="1342"/>
      <c r="Z183" s="1342"/>
      <c r="AA183" s="1342"/>
      <c r="AB183" s="1343"/>
      <c r="AC183" s="1333" t="s">
        <v>350</v>
      </c>
      <c r="AD183" s="1333"/>
      <c r="AE183" s="1333"/>
      <c r="AF183" s="1333"/>
      <c r="AG183" s="1333"/>
      <c r="AH183" s="1333"/>
      <c r="AI183" s="1333"/>
      <c r="AJ183" s="1333"/>
      <c r="AK183" s="1333"/>
      <c r="AL183" s="1333"/>
      <c r="AM183" s="1333"/>
      <c r="AN183" s="1333"/>
      <c r="AO183" s="1333"/>
      <c r="AP183" s="1333"/>
      <c r="AQ183" s="1333"/>
      <c r="AR183" s="1334"/>
    </row>
    <row r="184" spans="1:44" hidden="1" x14ac:dyDescent="0.2">
      <c r="A184" s="1001"/>
      <c r="B184" s="1389"/>
      <c r="C184" s="1307"/>
      <c r="D184" s="1310"/>
      <c r="E184" s="1392"/>
      <c r="F184" s="1392"/>
      <c r="G184" s="1395"/>
      <c r="H184" s="1396"/>
      <c r="I184" s="1368"/>
      <c r="J184" s="1369"/>
      <c r="K184" s="1369"/>
      <c r="L184" s="1369"/>
      <c r="M184" s="1369"/>
      <c r="N184" s="1369"/>
      <c r="O184" s="1369"/>
      <c r="P184" s="1369"/>
      <c r="Q184" s="1369"/>
      <c r="R184" s="1369"/>
      <c r="S184" s="1369"/>
      <c r="T184" s="1369"/>
      <c r="U184" s="1370"/>
      <c r="V184" s="463"/>
      <c r="W184" s="1258">
        <v>0.2</v>
      </c>
      <c r="X184" s="1259"/>
      <c r="Y184" s="1259"/>
      <c r="Z184" s="1259"/>
      <c r="AA184" s="1259"/>
      <c r="AB184" s="1260"/>
      <c r="AC184" s="1336"/>
      <c r="AD184" s="1336"/>
      <c r="AE184" s="1336"/>
      <c r="AF184" s="1336"/>
      <c r="AG184" s="1336"/>
      <c r="AH184" s="1336"/>
      <c r="AI184" s="1336"/>
      <c r="AJ184" s="1336"/>
      <c r="AK184" s="1336"/>
      <c r="AL184" s="1336"/>
      <c r="AM184" s="1336"/>
      <c r="AN184" s="1336"/>
      <c r="AO184" s="1336"/>
      <c r="AP184" s="1336"/>
      <c r="AQ184" s="1336"/>
      <c r="AR184" s="1337"/>
    </row>
    <row r="185" spans="1:44" hidden="1" x14ac:dyDescent="0.2">
      <c r="A185" s="1001"/>
      <c r="B185" s="1389"/>
      <c r="C185" s="1307"/>
      <c r="D185" s="1310"/>
      <c r="E185" s="1392"/>
      <c r="F185" s="1392"/>
      <c r="G185" s="1395"/>
      <c r="H185" s="1396"/>
      <c r="I185" s="1371"/>
      <c r="J185" s="1372"/>
      <c r="K185" s="1372"/>
      <c r="L185" s="1372"/>
      <c r="M185" s="1372"/>
      <c r="N185" s="1372"/>
      <c r="O185" s="1372"/>
      <c r="P185" s="1372"/>
      <c r="Q185" s="1372"/>
      <c r="R185" s="1372"/>
      <c r="S185" s="1372"/>
      <c r="T185" s="1372"/>
      <c r="U185" s="1373"/>
      <c r="V185" s="461"/>
      <c r="W185" s="1263" t="s">
        <v>270</v>
      </c>
      <c r="X185" s="1264"/>
      <c r="Y185" s="1264"/>
      <c r="Z185" s="1264"/>
      <c r="AA185" s="1264"/>
      <c r="AB185" s="1265"/>
      <c r="AC185" s="1339"/>
      <c r="AD185" s="1339"/>
      <c r="AE185" s="1339"/>
      <c r="AF185" s="1339"/>
      <c r="AG185" s="1339"/>
      <c r="AH185" s="1339"/>
      <c r="AI185" s="1339"/>
      <c r="AJ185" s="1339"/>
      <c r="AK185" s="1339"/>
      <c r="AL185" s="1339"/>
      <c r="AM185" s="1339"/>
      <c r="AN185" s="1339"/>
      <c r="AO185" s="1339"/>
      <c r="AP185" s="1339"/>
      <c r="AQ185" s="1339"/>
      <c r="AR185" s="1340"/>
    </row>
    <row r="186" spans="1:44" hidden="1" x14ac:dyDescent="0.2">
      <c r="A186" s="1001"/>
      <c r="B186" s="1389"/>
      <c r="C186" s="1307"/>
      <c r="D186" s="1310"/>
      <c r="E186" s="1397" t="s">
        <v>40</v>
      </c>
      <c r="F186" s="1397" t="s">
        <v>41</v>
      </c>
      <c r="G186" s="1398" t="s">
        <v>186</v>
      </c>
      <c r="H186" s="1387" t="s">
        <v>189</v>
      </c>
      <c r="I186" s="1374" t="s">
        <v>216</v>
      </c>
      <c r="J186" s="1375"/>
      <c r="K186" s="1375"/>
      <c r="L186" s="1375"/>
      <c r="M186" s="1375" t="s">
        <v>217</v>
      </c>
      <c r="N186" s="1375"/>
      <c r="O186" s="1375"/>
      <c r="P186" s="1375"/>
      <c r="Q186" s="1376" t="s">
        <v>218</v>
      </c>
      <c r="R186" s="1376"/>
      <c r="S186" s="1376"/>
      <c r="T186" s="1376"/>
      <c r="U186" s="1377"/>
      <c r="V186" s="464"/>
      <c r="W186" s="1295" t="s">
        <v>268</v>
      </c>
      <c r="X186" s="1278" t="s">
        <v>189</v>
      </c>
      <c r="Y186" s="1279" t="s">
        <v>191</v>
      </c>
      <c r="Z186" s="1279" t="s">
        <v>271</v>
      </c>
      <c r="AA186" s="1280" t="s">
        <v>211</v>
      </c>
      <c r="AB186" s="1281" t="s">
        <v>212</v>
      </c>
      <c r="AC186" s="1354" t="s">
        <v>219</v>
      </c>
      <c r="AD186" s="1273"/>
      <c r="AE186" s="1273"/>
      <c r="AF186" s="1283"/>
      <c r="AG186" s="1269" t="s">
        <v>220</v>
      </c>
      <c r="AH186" s="1270"/>
      <c r="AI186" s="1270"/>
      <c r="AJ186" s="1271"/>
      <c r="AK186" s="1272" t="s">
        <v>221</v>
      </c>
      <c r="AL186" s="1273"/>
      <c r="AM186" s="1273"/>
      <c r="AN186" s="1273"/>
      <c r="AO186" s="1273"/>
      <c r="AP186" s="464"/>
      <c r="AQ186" s="1274" t="s">
        <v>222</v>
      </c>
      <c r="AR186" s="1274" t="s">
        <v>223</v>
      </c>
    </row>
    <row r="187" spans="1:44" ht="52" hidden="1" thickBot="1" x14ac:dyDescent="0.25">
      <c r="A187" s="1001"/>
      <c r="B187" s="1390"/>
      <c r="C187" s="1308"/>
      <c r="D187" s="1311"/>
      <c r="E187" s="1318"/>
      <c r="F187" s="1318"/>
      <c r="G187" s="1383"/>
      <c r="H187" s="1385"/>
      <c r="I187" s="72" t="s">
        <v>224</v>
      </c>
      <c r="J187" s="73" t="s">
        <v>225</v>
      </c>
      <c r="K187" s="73" t="s">
        <v>226</v>
      </c>
      <c r="L187" s="76" t="s">
        <v>227</v>
      </c>
      <c r="M187" s="74">
        <v>1</v>
      </c>
      <c r="N187" s="74">
        <v>2</v>
      </c>
      <c r="O187" s="74">
        <v>3</v>
      </c>
      <c r="P187" s="77">
        <v>4</v>
      </c>
      <c r="Q187" s="74">
        <v>1</v>
      </c>
      <c r="R187" s="74">
        <v>2</v>
      </c>
      <c r="S187" s="74">
        <v>3</v>
      </c>
      <c r="T187" s="74">
        <v>4</v>
      </c>
      <c r="U187" s="75" t="s">
        <v>228</v>
      </c>
      <c r="V187" s="465" t="s">
        <v>290</v>
      </c>
      <c r="W187" s="1295"/>
      <c r="X187" s="1278"/>
      <c r="Y187" s="1279"/>
      <c r="Z187" s="1279"/>
      <c r="AA187" s="1280"/>
      <c r="AB187" s="1282"/>
      <c r="AC187" s="72" t="s">
        <v>224</v>
      </c>
      <c r="AD187" s="73" t="s">
        <v>225</v>
      </c>
      <c r="AE187" s="73" t="s">
        <v>226</v>
      </c>
      <c r="AF187" s="76" t="s">
        <v>227</v>
      </c>
      <c r="AG187" s="74">
        <v>1</v>
      </c>
      <c r="AH187" s="74">
        <v>2</v>
      </c>
      <c r="AI187" s="74">
        <v>3</v>
      </c>
      <c r="AJ187" s="77">
        <v>4</v>
      </c>
      <c r="AK187" s="78">
        <v>1</v>
      </c>
      <c r="AL187" s="74">
        <v>2</v>
      </c>
      <c r="AM187" s="74">
        <v>3</v>
      </c>
      <c r="AN187" s="74">
        <v>4</v>
      </c>
      <c r="AO187" s="79" t="s">
        <v>228</v>
      </c>
      <c r="AP187" s="465" t="s">
        <v>290</v>
      </c>
      <c r="AQ187" s="1275"/>
      <c r="AR187" s="1404"/>
    </row>
    <row r="188" spans="1:44" ht="17" hidden="1" thickBot="1" x14ac:dyDescent="0.25">
      <c r="A188" s="1001"/>
      <c r="B188" s="948" t="s">
        <v>8</v>
      </c>
      <c r="C188" s="948"/>
      <c r="D188" s="949"/>
      <c r="E188" s="949"/>
      <c r="F188" s="950"/>
      <c r="G188" s="949"/>
      <c r="H188" s="950"/>
      <c r="I188" s="951"/>
      <c r="J188" s="951"/>
      <c r="K188" s="951"/>
      <c r="L188" s="951"/>
      <c r="M188" s="952"/>
      <c r="N188" s="952"/>
      <c r="O188" s="952"/>
      <c r="P188" s="952"/>
      <c r="Q188" s="952"/>
      <c r="R188" s="952"/>
      <c r="S188" s="952"/>
      <c r="T188" s="952"/>
      <c r="U188" s="950"/>
      <c r="V188" s="948"/>
      <c r="W188" s="40"/>
      <c r="X188" s="39"/>
      <c r="Y188" s="39"/>
      <c r="Z188" s="39"/>
      <c r="AA188" s="39"/>
      <c r="AB188" s="41"/>
      <c r="AQ188" s="39"/>
      <c r="AR188" s="41"/>
    </row>
    <row r="189" spans="1:44" hidden="1" x14ac:dyDescent="0.2">
      <c r="A189" s="1001"/>
      <c r="B189" s="700" t="s">
        <v>8</v>
      </c>
      <c r="C189" s="973" t="s">
        <v>162</v>
      </c>
      <c r="D189" s="975" t="s">
        <v>192</v>
      </c>
      <c r="E189" s="980">
        <f>VLOOKUP($B189&amp;"_"&amp;$D189,'App5 - CRUK Inci Rates'!C:H,6,FALSE)</f>
        <v>0</v>
      </c>
      <c r="F189" s="981">
        <f>VLOOKUP($B189&amp;"_"&amp;$D189,'App5 - CRUK Inci Rates'!C:H,3,FALSE)</f>
        <v>124.6</v>
      </c>
      <c r="G189" s="992">
        <f>VLOOKUP($B189&amp;"_"&amp;$D189,'App5 - CRUK Inci Rates'!C:J,8,FALSE)</f>
        <v>2054223.3333333333</v>
      </c>
      <c r="H189" s="709">
        <f>VLOOKUP($B189&amp;"_"&amp;$D189,'App5 - CRUK Inci Rates'!C:K,9,FALSE)</f>
        <v>2559</v>
      </c>
      <c r="I189" s="935"/>
      <c r="J189" s="935"/>
      <c r="K189" s="935"/>
      <c r="L189" s="935"/>
      <c r="M189" s="935"/>
      <c r="N189" s="935"/>
      <c r="O189" s="935"/>
      <c r="P189" s="935"/>
      <c r="Q189" s="935"/>
      <c r="R189" s="935"/>
      <c r="S189" s="935"/>
      <c r="T189" s="935"/>
      <c r="U189" s="936"/>
      <c r="V189" s="933"/>
      <c r="W189" s="26">
        <f>$G189*W$184</f>
        <v>410844.66666666669</v>
      </c>
      <c r="X189" s="25">
        <f>H189*0.2</f>
        <v>511.8</v>
      </c>
      <c r="Y189" s="25">
        <f>$H189-X189</f>
        <v>2047.2</v>
      </c>
      <c r="Z189" s="25">
        <f>IF($C189="other",(1-#REF!)*X189,(1-(VLOOKUP($C189,'S3 - Screening Tool Metrics'!$C$3:$G$17,5,FALSE)/100))*X189)</f>
        <v>153.54000000000002</v>
      </c>
      <c r="AA189" s="25">
        <f>IF($C189="other",#REF!*X189,(VLOOKUP($C189,'S3 - Screening Tool Metrics'!$C$3:$G$17,5,FALSE)/100)*X189)</f>
        <v>358.26</v>
      </c>
      <c r="AB189" s="27">
        <f>$AA189/$H189*100</f>
        <v>13.999999999999998</v>
      </c>
      <c r="AQ189" s="81"/>
      <c r="AR189" s="92"/>
    </row>
    <row r="190" spans="1:44" hidden="1" x14ac:dyDescent="0.2">
      <c r="A190" s="1001"/>
      <c r="B190" s="700" t="s">
        <v>8</v>
      </c>
      <c r="C190" s="934" t="str">
        <f>$C189</f>
        <v>Digital mammography</v>
      </c>
      <c r="D190" s="975" t="s">
        <v>193</v>
      </c>
      <c r="E190" s="980">
        <f>VLOOKUP($B190&amp;"_"&amp;$D190,'App5 - CRUK Inci Rates'!C:H,6,FALSE)</f>
        <v>0</v>
      </c>
      <c r="F190" s="981">
        <f>VLOOKUP($B190&amp;"_"&amp;$D190,'App5 - CRUK Inci Rates'!C:H,3,FALSE)</f>
        <v>214.8</v>
      </c>
      <c r="G190" s="992">
        <f>VLOOKUP($B190&amp;"_"&amp;$D190,'App5 - CRUK Inci Rates'!C:J,8,FALSE)</f>
        <v>2315479.3333333335</v>
      </c>
      <c r="H190" s="709">
        <f>VLOOKUP($B190&amp;"_"&amp;$D190,'App5 - CRUK Inci Rates'!C:K,9,FALSE)</f>
        <v>4974</v>
      </c>
      <c r="I190" s="935"/>
      <c r="J190" s="935"/>
      <c r="K190" s="935"/>
      <c r="L190" s="935"/>
      <c r="M190" s="935"/>
      <c r="N190" s="935"/>
      <c r="O190" s="935"/>
      <c r="P190" s="935"/>
      <c r="Q190" s="935"/>
      <c r="R190" s="935"/>
      <c r="S190" s="935"/>
      <c r="T190" s="935"/>
      <c r="U190" s="936"/>
      <c r="V190" s="937"/>
      <c r="W190" s="18">
        <f>$G190*W$184</f>
        <v>463095.8666666667</v>
      </c>
      <c r="X190" s="14">
        <f>H190*0.2</f>
        <v>994.80000000000007</v>
      </c>
      <c r="Y190" s="14">
        <f>$H190-X190</f>
        <v>3979.2</v>
      </c>
      <c r="Z190" s="14">
        <f>IF($C190="other",(1-#REF!)*X190,(1-(VLOOKUP($C190,'S3 - Screening Tool Metrics'!$C$3:$G$17,5,FALSE)/100))*X190)</f>
        <v>298.44000000000005</v>
      </c>
      <c r="AA190" s="14">
        <f>IF($C190="other",#REF!*X190,(VLOOKUP($C190,'S3 - Screening Tool Metrics'!$C$3:$G$17,5,FALSE)/100)*X190)</f>
        <v>696.36</v>
      </c>
      <c r="AB190" s="19">
        <f>$AA190/$H190*100</f>
        <v>14.000000000000002</v>
      </c>
      <c r="AQ190" s="80"/>
      <c r="AR190" s="94"/>
    </row>
    <row r="191" spans="1:44" ht="17" hidden="1" thickBot="1" x14ac:dyDescent="0.25">
      <c r="A191" s="1001"/>
      <c r="B191" s="974" t="s">
        <v>8</v>
      </c>
      <c r="C191" s="960" t="str">
        <f>$C190</f>
        <v>Digital mammography</v>
      </c>
      <c r="D191" s="976" t="s">
        <v>229</v>
      </c>
      <c r="E191" s="982">
        <f>VLOOKUP($B191&amp;"_"&amp;$D191,'App5 - CRUK Inci Rates'!C:H,6,FALSE)</f>
        <v>0</v>
      </c>
      <c r="F191" s="983">
        <f>VLOOKUP($B191&amp;"_"&amp;$D191,'App5 - CRUK Inci Rates'!C:H,3,FALSE)</f>
        <v>172.40296040749985</v>
      </c>
      <c r="G191" s="993">
        <f>VLOOKUP($B191&amp;"_"&amp;$D191,'App5 - CRUK Inci Rates'!C:J,8,FALSE)</f>
        <v>4369702.666666667</v>
      </c>
      <c r="H191" s="944">
        <f>VLOOKUP($B191&amp;"_"&amp;$D191,'App5 - CRUK Inci Rates'!C:K,9,FALSE)</f>
        <v>7533</v>
      </c>
      <c r="I191" s="945">
        <f>VLOOKUP($B191&amp;I$187&amp;$D191,'App6 - Stage-Route-Surv Data'!$E$5:$G$76,3,FALSE)+(VLOOKUP($B191&amp;J$187&amp;$D191,'App6 - Stage-Route-Surv Data'!$E$5:$G$76,3,FALSE)*(VLOOKUP($B191&amp;I$187&amp;$D191,'App6 - Stage-Route-Surv Data'!$E$5:$G$76,3,FALSE)/SUM(VLOOKUP($B191&amp;I$187&amp;$D191,'App6 - Stage-Route-Surv Data'!$E$5:$G$76,3,FALSE),VLOOKUP($B191&amp;K$187&amp;$D191,'App6 - Stage-Route-Surv Data'!$E$5:$G$76,3,FALSE),VLOOKUP($B191&amp;L$187&amp;$D191,'App6 - Stage-Route-Surv Data'!$E$5:$G$76,3,FALSE))))</f>
        <v>0.81706422018348623</v>
      </c>
      <c r="J191" s="945">
        <v>0</v>
      </c>
      <c r="K191" s="945">
        <f>VLOOKUP($B191&amp;K$187&amp;$D191,'App6 - Stage-Route-Surv Data'!$E$5:$G$76,3,FALSE)+(VLOOKUP($B191&amp;J$187&amp;$D191,'App6 - Stage-Route-Surv Data'!$E$5:$G$76,3,FALSE)*(VLOOKUP($B191&amp;K$187&amp;$D191,'App6 - Stage-Route-Surv Data'!$E$5:$G$76,3,FALSE)/SUM(VLOOKUP($B191&amp;I$187&amp;$D191,'App6 - Stage-Route-Surv Data'!$E$5:$G$76,3,FALSE),VLOOKUP($B191&amp;K$187&amp;$D191,'App6 - Stage-Route-Surv Data'!$E$5:$G$76,3,FALSE),VLOOKUP($B191&amp;L$187&amp;$D191,'App6 - Stage-Route-Surv Data'!$E$5:$G$76,3,FALSE))))</f>
        <v>1.7981651376146789E-2</v>
      </c>
      <c r="L191" s="945">
        <f>VLOOKUP($B191&amp;L$187&amp;$D191,'App6 - Stage-Route-Surv Data'!$E$5:$G$76,3,FALSE)+(VLOOKUP($B191&amp;J$187&amp;$D191,'App6 - Stage-Route-Surv Data'!$E$5:$G$76,3,FALSE)*(VLOOKUP($B191&amp;L$187&amp;$D191,'App6 - Stage-Route-Surv Data'!$E$5:$G$76,3,FALSE)/SUM(VLOOKUP($B191&amp;I$187&amp;$D191,'App6 - Stage-Route-Surv Data'!$E$5:$G$76,3,FALSE),VLOOKUP($B191&amp;K$187&amp;$D191,'App6 - Stage-Route-Surv Data'!$E$5:$G$76,3,FALSE),VLOOKUP($B191&amp;L$187&amp;$D191,'App6 - Stage-Route-Surv Data'!$E$5:$G$76,3,FALSE))))</f>
        <v>0.16495412844036697</v>
      </c>
      <c r="M191" s="946">
        <f>(($H191*$I191)*VLOOKUP($B191&amp;$I$187&amp;M$187,'App6 - Stage-Route-Surv Data'!$L$5:$N$36,3,FALSE))+(($H191*$J191)*VLOOKUP($B191&amp;$J$187&amp;M$187,'App6 - Stage-Route-Surv Data'!$L$5:$N$36,3,FALSE))+(($H191*$K191)*VLOOKUP($B191&amp;$K$187&amp;M$187,'App6 - Stage-Route-Surv Data'!$L$5:$N$36,3,FALSE))+(($H191*$L191)*VLOOKUP($B191&amp;$L$187&amp;M$187,'App6 - Stage-Route-Surv Data'!$L$5:$N$36,3,FALSE))</f>
        <v>2495.7609995082994</v>
      </c>
      <c r="N191" s="946">
        <f>(($H191*$I191)*VLOOKUP($B191&amp;$I$187&amp;N$187,'App6 - Stage-Route-Surv Data'!$L$5:$N$36,3,FALSE))+(($H191*$J191)*VLOOKUP($B191&amp;$J$187&amp;N$187,'App6 - Stage-Route-Surv Data'!$L$5:$N$36,3,FALSE))+(($H191*$K191)*VLOOKUP($B191&amp;$K$187&amp;N$187,'App6 - Stage-Route-Surv Data'!$L$5:$N$36,3,FALSE))+(($H191*$L191)*VLOOKUP($B191&amp;$L$187&amp;N$187,'App6 - Stage-Route-Surv Data'!$L$5:$N$36,3,FALSE))</f>
        <v>3667.1468638486499</v>
      </c>
      <c r="O191" s="946">
        <f>(($H191*$I191)*VLOOKUP($B191&amp;$I$187&amp;O$187,'App6 - Stage-Route-Surv Data'!$L$5:$N$36,3,FALSE))+(($H191*$J191)*VLOOKUP($B191&amp;$J$187&amp;O$187,'App6 - Stage-Route-Surv Data'!$L$5:$N$36,3,FALSE))+(($H191*$K191)*VLOOKUP($B191&amp;$K$187&amp;O$187,'App6 - Stage-Route-Surv Data'!$L$5:$N$36,3,FALSE))+(($H191*$L191)*VLOOKUP($B191&amp;$L$187&amp;O$187,'App6 - Stage-Route-Surv Data'!$L$5:$N$36,3,FALSE))</f>
        <v>876.94450317825601</v>
      </c>
      <c r="P191" s="946">
        <f>(($H191*$I191)*VLOOKUP($B191&amp;$I$187&amp;P$187,'App6 - Stage-Route-Surv Data'!$L$5:$N$36,3,FALSE))+(($H191*$J191)*VLOOKUP($B191&amp;$J$187&amp;P$187,'App6 - Stage-Route-Surv Data'!$L$5:$N$36,3,FALSE))+(($H191*$K191)*VLOOKUP($B191&amp;$K$187&amp;P$187,'App6 - Stage-Route-Surv Data'!$L$5:$N$36,3,FALSE))+(($H191*$L191)*VLOOKUP($B191&amp;$L$187&amp;P$187,'App6 - Stage-Route-Surv Data'!$L$5:$N$36,3,FALSE))</f>
        <v>493.14763346479504</v>
      </c>
      <c r="Q191" s="946">
        <f>M191*VLOOKUP($B191&amp;$D191&amp;Q$187,'App6 - Stage-Route-Surv Data'!$S$5:$T$20,2,FALSE)</f>
        <v>2451.667657302879</v>
      </c>
      <c r="R191" s="946">
        <f>N191*VLOOKUP($B191&amp;$D191&amp;R$187,'App6 - Stage-Route-Surv Data'!$S$5:$T$20,2,FALSE)</f>
        <v>3430.430193418299</v>
      </c>
      <c r="S191" s="946">
        <f>O191*VLOOKUP($B191&amp;$D191&amp;S$187,'App6 - Stage-Route-Surv Data'!$S$5:$T$20,2,FALSE)</f>
        <v>729.33438167461213</v>
      </c>
      <c r="T191" s="946">
        <f>P191*VLOOKUP($B191&amp;$D191&amp;T$187,'App6 - Stage-Route-Surv Data'!$S$5:$T$20,2,FALSE)</f>
        <v>227.13193396638405</v>
      </c>
      <c r="U191" s="944">
        <f>SUM(Q191:T191)</f>
        <v>6838.5641663621745</v>
      </c>
      <c r="V191" s="947">
        <f>U191/H191</f>
        <v>0.90781417315308299</v>
      </c>
      <c r="W191" s="453">
        <f>$G191*W$184</f>
        <v>873940.53333333344</v>
      </c>
      <c r="X191" s="454">
        <f>H191*0.2</f>
        <v>1506.6000000000001</v>
      </c>
      <c r="Y191" s="454">
        <f>$H191-X191</f>
        <v>6026.4</v>
      </c>
      <c r="Z191" s="454">
        <f>IF($C191="other",(1-#REF!)*X191,(1-(VLOOKUP($C191,'S3 - Screening Tool Metrics'!$C$3:$G$17,5,FALSE)/100))*X191)</f>
        <v>451.98000000000013</v>
      </c>
      <c r="AA191" s="454">
        <f>IF($C191="other",#REF!*X191,(VLOOKUP($C191,'S3 - Screening Tool Metrics'!$C$3:$G$17,5,FALSE)/100)*X191)</f>
        <v>1054.6200000000001</v>
      </c>
      <c r="AB191" s="449">
        <f>$AA191/$H191*100</f>
        <v>14.000000000000002</v>
      </c>
      <c r="AQ191" s="456">
        <f>U213-U191</f>
        <v>54.841504716963755</v>
      </c>
      <c r="AR191" s="457">
        <f>(U213/$H191)-($U191/$H191)</f>
        <v>7.2801678902115752E-3</v>
      </c>
    </row>
    <row r="192" spans="1:44" ht="17" hidden="1" thickBot="1" x14ac:dyDescent="0.25">
      <c r="A192" s="1001"/>
      <c r="B192" s="953" t="s">
        <v>10</v>
      </c>
      <c r="C192" s="965"/>
      <c r="D192" s="966"/>
      <c r="E192" s="966"/>
      <c r="F192" s="967"/>
      <c r="G192" s="968"/>
      <c r="H192" s="969"/>
      <c r="I192" s="970"/>
      <c r="J192" s="970"/>
      <c r="K192" s="970"/>
      <c r="L192" s="970"/>
      <c r="M192" s="971"/>
      <c r="N192" s="971"/>
      <c r="O192" s="971"/>
      <c r="P192" s="971"/>
      <c r="Q192" s="971"/>
      <c r="R192" s="971"/>
      <c r="S192" s="971"/>
      <c r="T192" s="971"/>
      <c r="U192" s="971"/>
      <c r="V192" s="972"/>
      <c r="W192" s="40"/>
      <c r="X192" s="39"/>
      <c r="Y192" s="39"/>
      <c r="Z192" s="39"/>
      <c r="AA192" s="39"/>
      <c r="AB192" s="41"/>
      <c r="AQ192" s="39"/>
      <c r="AR192" s="41"/>
    </row>
    <row r="193" spans="1:44" hidden="1" x14ac:dyDescent="0.2">
      <c r="A193" s="1001"/>
      <c r="B193" s="700" t="s">
        <v>10</v>
      </c>
      <c r="C193" s="720" t="s">
        <v>266</v>
      </c>
      <c r="D193" s="975" t="s">
        <v>194</v>
      </c>
      <c r="E193" s="980">
        <f>VLOOKUP($B193&amp;"_"&amp;$D193,'App5 - CRUK Inci Rates'!C:H,6,FALSE)</f>
        <v>75.7</v>
      </c>
      <c r="F193" s="981">
        <f>VLOOKUP($B193&amp;"_"&amp;$D193,'App5 - CRUK Inci Rates'!C:H,3,FALSE)</f>
        <v>0</v>
      </c>
      <c r="G193" s="992">
        <f>VLOOKUP($B193&amp;"_"&amp;$D193,'App5 - CRUK Inci Rates'!C:J,8,FALSE)</f>
        <v>2293472.6666666665</v>
      </c>
      <c r="H193" s="709">
        <f>VLOOKUP($B193&amp;"_"&amp;$D193,'App5 - CRUK Inci Rates'!C:K,9,FALSE)</f>
        <v>1737</v>
      </c>
      <c r="I193" s="935"/>
      <c r="J193" s="935"/>
      <c r="K193" s="935"/>
      <c r="L193" s="935"/>
      <c r="M193" s="935"/>
      <c r="N193" s="935"/>
      <c r="O193" s="935"/>
      <c r="P193" s="935"/>
      <c r="Q193" s="935"/>
      <c r="R193" s="935"/>
      <c r="S193" s="935"/>
      <c r="T193" s="935"/>
      <c r="U193" s="936"/>
      <c r="V193" s="937"/>
      <c r="W193" s="18">
        <f t="shared" ref="W193:W198" si="36">$G193*W$184</f>
        <v>458694.53333333333</v>
      </c>
      <c r="X193" s="14">
        <f t="shared" ref="X193:X198" si="37">H193*0.2</f>
        <v>347.40000000000003</v>
      </c>
      <c r="Y193" s="14">
        <f t="shared" ref="Y193:Y198" si="38">$H193-X193</f>
        <v>1389.6</v>
      </c>
      <c r="Z193" s="14">
        <f>IF($C193="other",(1-#REF!)*X193,(1-(VLOOKUP($C193,'S3 - Screening Tool Metrics'!$C$3:$G$17,5,FALSE)/100))*X193)</f>
        <v>38.213999999999999</v>
      </c>
      <c r="AA193" s="14">
        <f>IF($C193="other",#REF!*X193,(VLOOKUP($C193,'S3 - Screening Tool Metrics'!$C$3:$G$17,5,FALSE)/100)*X193)</f>
        <v>309.18600000000004</v>
      </c>
      <c r="AB193" s="19">
        <f t="shared" ref="AB193:AB198" si="39">$AA193/$H193*100</f>
        <v>17.8</v>
      </c>
      <c r="AQ193" s="80"/>
      <c r="AR193" s="94"/>
    </row>
    <row r="194" spans="1:44" hidden="1" x14ac:dyDescent="0.2">
      <c r="A194" s="1001"/>
      <c r="B194" s="700" t="s">
        <v>10</v>
      </c>
      <c r="C194" s="721" t="str">
        <f>C193</f>
        <v>mpMRI</v>
      </c>
      <c r="D194" s="975" t="s">
        <v>195</v>
      </c>
      <c r="E194" s="980">
        <f>VLOOKUP($B194&amp;"_"&amp;$D194,'App5 - CRUK Inci Rates'!C:H,6,FALSE)</f>
        <v>201.8</v>
      </c>
      <c r="F194" s="981">
        <f>VLOOKUP($B194&amp;"_"&amp;$D194,'App5 - CRUK Inci Rates'!C:H,3,FALSE)</f>
        <v>0</v>
      </c>
      <c r="G194" s="992">
        <f>VLOOKUP($B194&amp;"_"&amp;$D194,'App5 - CRUK Inci Rates'!C:J,8,FALSE)</f>
        <v>2061918.6666666667</v>
      </c>
      <c r="H194" s="709">
        <f>VLOOKUP($B194&amp;"_"&amp;$D194,'App5 - CRUK Inci Rates'!C:K,9,FALSE)</f>
        <v>4160</v>
      </c>
      <c r="I194" s="935"/>
      <c r="J194" s="935"/>
      <c r="K194" s="935"/>
      <c r="L194" s="935"/>
      <c r="M194" s="935"/>
      <c r="N194" s="935"/>
      <c r="O194" s="935"/>
      <c r="P194" s="935"/>
      <c r="Q194" s="935"/>
      <c r="R194" s="935"/>
      <c r="S194" s="935"/>
      <c r="T194" s="935"/>
      <c r="U194" s="936"/>
      <c r="V194" s="937"/>
      <c r="W194" s="18">
        <f t="shared" si="36"/>
        <v>412383.7333333334</v>
      </c>
      <c r="X194" s="14">
        <f t="shared" si="37"/>
        <v>832</v>
      </c>
      <c r="Y194" s="14">
        <f t="shared" si="38"/>
        <v>3328</v>
      </c>
      <c r="Z194" s="14">
        <f>IF($C194="other",(1-#REF!)*X194,(1-(VLOOKUP($C194,'S3 - Screening Tool Metrics'!$C$3:$G$17,5,FALSE)/100))*X194)</f>
        <v>91.519999999999982</v>
      </c>
      <c r="AA194" s="14">
        <f>IF($C194="other",#REF!*X194,(VLOOKUP($C194,'S3 - Screening Tool Metrics'!$C$3:$G$17,5,FALSE)/100)*X194)</f>
        <v>740.48</v>
      </c>
      <c r="AB194" s="19">
        <f t="shared" si="39"/>
        <v>17.8</v>
      </c>
      <c r="AQ194" s="80"/>
      <c r="AR194" s="94"/>
    </row>
    <row r="195" spans="1:44" hidden="1" x14ac:dyDescent="0.2">
      <c r="B195" s="700" t="s">
        <v>10</v>
      </c>
      <c r="C195" s="721" t="str">
        <f t="shared" ref="C195:C198" si="40">C194</f>
        <v>mpMRI</v>
      </c>
      <c r="D195" s="976" t="s">
        <v>230</v>
      </c>
      <c r="E195" s="982">
        <f>VLOOKUP($B195&amp;"_"&amp;$D195,'App5 - CRUK Inci Rates'!C:H,6,FALSE)</f>
        <v>135.39541108208113</v>
      </c>
      <c r="F195" s="983">
        <f>VLOOKUP($B195&amp;"_"&amp;$D195,'App5 - CRUK Inci Rates'!C:H,3,FALSE)</f>
        <v>0</v>
      </c>
      <c r="G195" s="993">
        <f>VLOOKUP($B195&amp;"_"&amp;$D195,'App5 - CRUK Inci Rates'!C:J,8,FALSE)</f>
        <v>4355391.333333333</v>
      </c>
      <c r="H195" s="944">
        <f>VLOOKUP($B195&amp;"_"&amp;$D195,'App5 - CRUK Inci Rates'!C:K,9,FALSE)</f>
        <v>5897</v>
      </c>
      <c r="I195" s="945">
        <f>VLOOKUP($B195&amp;I$187&amp;$D195,'App6 - Stage-Route-Surv Data'!$E$5:$G$76,3,FALSE)+(VLOOKUP($B195&amp;J$187&amp;$D195,'App6 - Stage-Route-Surv Data'!$E$5:$G$76,3,FALSE)*(VLOOKUP($B195&amp;I$187&amp;$D195,'App6 - Stage-Route-Surv Data'!$E$5:$G$76,3,FALSE)/SUM(VLOOKUP($B195&amp;I$187&amp;$D195,'App6 - Stage-Route-Surv Data'!$E$5:$G$76,3,FALSE),VLOOKUP($B195&amp;K$187&amp;$D195,'App6 - Stage-Route-Surv Data'!$E$5:$G$76,3,FALSE),VLOOKUP($B195&amp;L$187&amp;$D195,'App6 - Stage-Route-Surv Data'!$E$5:$G$76,3,FALSE))))</f>
        <v>0.59247594050743657</v>
      </c>
      <c r="J195" s="945">
        <v>0</v>
      </c>
      <c r="K195" s="945">
        <f>VLOOKUP($B195&amp;K$187&amp;$D195,'App6 - Stage-Route-Surv Data'!$E$5:$G$76,3,FALSE)+(VLOOKUP($B195&amp;J$187&amp;$D195,'App6 - Stage-Route-Surv Data'!$E$5:$G$76,3,FALSE)*(VLOOKUP($B195&amp;K$187&amp;$D195,'App6 - Stage-Route-Surv Data'!$E$5:$G$76,3,FALSE)/SUM(VLOOKUP($B195&amp;I$187&amp;$D195,'App6 - Stage-Route-Surv Data'!$E$5:$G$76,3,FALSE),VLOOKUP($B195&amp;K$187&amp;$D195,'App6 - Stage-Route-Surv Data'!$E$5:$G$76,3,FALSE),VLOOKUP($B195&amp;L$187&amp;$D195,'App6 - Stage-Route-Surv Data'!$E$5:$G$76,3,FALSE))))</f>
        <v>2.5721784776902887E-2</v>
      </c>
      <c r="L195" s="945">
        <f>VLOOKUP($B195&amp;L$187&amp;$D195,'App6 - Stage-Route-Surv Data'!$E$5:$G$76,3,FALSE)+(VLOOKUP($B195&amp;J$187&amp;$D195,'App6 - Stage-Route-Surv Data'!$E$5:$G$76,3,FALSE)*(VLOOKUP($B195&amp;L$187&amp;$D195,'App6 - Stage-Route-Surv Data'!$E$5:$G$76,3,FALSE)/SUM(VLOOKUP($B195&amp;I$187&amp;$D195,'App6 - Stage-Route-Surv Data'!$E$5:$G$76,3,FALSE),VLOOKUP($B195&amp;K$187&amp;$D195,'App6 - Stage-Route-Surv Data'!$E$5:$G$76,3,FALSE),VLOOKUP($B195&amp;L$187&amp;$D195,'App6 - Stage-Route-Surv Data'!$E$5:$G$76,3,FALSE))))</f>
        <v>0.38180227471566053</v>
      </c>
      <c r="M195" s="946">
        <f>(($H195*$I195)*VLOOKUP($B195&amp;$I$187&amp;M$187,'App6 - Stage-Route-Surv Data'!$L$5:$N$52,3,FALSE))+(($H195*$J195)*VLOOKUP($B195&amp;$J$187&amp;M$187,'App6 - Stage-Route-Surv Data'!$L$5:$N$52,3,FALSE))+(($H195*$K195)*VLOOKUP($B195&amp;$K$187&amp;M$187,'App6 - Stage-Route-Surv Data'!$L$5:$N$52,3,FALSE))+(($H195*$L195)*VLOOKUP($B195&amp;$L$187&amp;M$187,'App6 - Stage-Route-Surv Data'!$L$5:$N$52,3,FALSE))</f>
        <v>2384.5650832956467</v>
      </c>
      <c r="N195" s="946">
        <f>(($H195*$I195)*VLOOKUP($B195&amp;$I$187&amp;N$187,'App6 - Stage-Route-Surv Data'!$L$5:$N$52,3,FALSE))+(($H195*$J195)*VLOOKUP($B195&amp;$J$187&amp;N$187,'App6 - Stage-Route-Surv Data'!$L$5:$N$52,3,FALSE))+(($H195*$K195)*VLOOKUP($B195&amp;$K$187&amp;N$187,'App6 - Stage-Route-Surv Data'!$L$5:$N$52,3,FALSE))+(($H195*$L195)*VLOOKUP($B195&amp;$L$187&amp;N$187,'App6 - Stage-Route-Surv Data'!$L$5:$N$52,3,FALSE))</f>
        <v>910.55055948256927</v>
      </c>
      <c r="O195" s="946">
        <f>(($H195*$I195)*VLOOKUP($B195&amp;$I$187&amp;O$187,'App6 - Stage-Route-Surv Data'!$L$5:$N$52,3,FALSE))+(($H195*$J195)*VLOOKUP($B195&amp;$J$187&amp;O$187,'App6 - Stage-Route-Surv Data'!$L$5:$N$52,3,FALSE))+(($H195*$K195)*VLOOKUP($B195&amp;$K$187&amp;O$187,'App6 - Stage-Route-Surv Data'!$L$5:$N$52,3,FALSE))+(($H195*$L195)*VLOOKUP($B195&amp;$L$187&amp;O$187,'App6 - Stage-Route-Surv Data'!$L$5:$N$52,3,FALSE))</f>
        <v>1579.7620982099547</v>
      </c>
      <c r="P195" s="946">
        <f>(($H195*$I195)*VLOOKUP($B195&amp;$I$187&amp;P$187,'App6 - Stage-Route-Surv Data'!$L$5:$N$52,3,FALSE))+(($H195*$J195)*VLOOKUP($B195&amp;$J$187&amp;P$187,'App6 - Stage-Route-Surv Data'!$L$5:$N$52,3,FALSE))+(($H195*$K195)*VLOOKUP($B195&amp;$K$187&amp;P$187,'App6 - Stage-Route-Surv Data'!$L$5:$N$52,3,FALSE))+(($H195*$L195)*VLOOKUP($B195&amp;$L$187&amp;P$187,'App6 - Stage-Route-Surv Data'!$L$5:$N$52,3,FALSE))</f>
        <v>1022.1222590118294</v>
      </c>
      <c r="Q195" s="946">
        <f>M195*VLOOKUP($B195&amp;$D195&amp;Q$187,'App6 - Stage-Route-Surv Data'!$S$5:$T$40,2,FALSE)</f>
        <v>2384.5650832956467</v>
      </c>
      <c r="R195" s="946">
        <f>N195*VLOOKUP($B195&amp;$D195&amp;R$187,'App6 - Stage-Route-Surv Data'!$S$5:$T$40,2,FALSE)</f>
        <v>910.55055948256927</v>
      </c>
      <c r="S195" s="946">
        <f>O195*VLOOKUP($B195&amp;$D195&amp;S$187,'App6 - Stage-Route-Surv Data'!$S$5:$T$40,2,FALSE)</f>
        <v>1548.1668562457555</v>
      </c>
      <c r="T195" s="946">
        <f>P195*VLOOKUP($B195&amp;$D195&amp;T$187,'App6 - Stage-Route-Surv Data'!$S$5:$T$40,2,FALSE)</f>
        <v>541.72479727626967</v>
      </c>
      <c r="U195" s="944">
        <f>SUM(Q195:T195)</f>
        <v>5385.0072963002413</v>
      </c>
      <c r="V195" s="947">
        <f>U195/H195</f>
        <v>0.91317742857389206</v>
      </c>
      <c r="W195" s="87">
        <f t="shared" si="36"/>
        <v>871078.2666666666</v>
      </c>
      <c r="X195" s="84">
        <f t="shared" si="37"/>
        <v>1179.4000000000001</v>
      </c>
      <c r="Y195" s="84">
        <f t="shared" si="38"/>
        <v>4717.6000000000004</v>
      </c>
      <c r="Z195" s="84">
        <f>IF($C195="other",(1-#REF!)*X195,(1-(VLOOKUP($C195,'S3 - Screening Tool Metrics'!$C$3:$G$17,5,FALSE)/100))*X195)</f>
        <v>129.73399999999998</v>
      </c>
      <c r="AA195" s="84">
        <f>IF($C195="other",#REF!*X195,(VLOOKUP($C195,'S3 - Screening Tool Metrics'!$C$3:$G$17,5,FALSE)/100)*X195)</f>
        <v>1049.6660000000002</v>
      </c>
      <c r="AB195" s="88">
        <f t="shared" si="39"/>
        <v>17.8</v>
      </c>
      <c r="AQ195" s="90">
        <f>U217-U195</f>
        <v>70.691732263636368</v>
      </c>
      <c r="AR195" s="95">
        <f>(U217/$H195)-($U195/$H195)</f>
        <v>1.1987744999768735E-2</v>
      </c>
    </row>
    <row r="196" spans="1:44" hidden="1" x14ac:dyDescent="0.2">
      <c r="B196" s="700" t="s">
        <v>10</v>
      </c>
      <c r="C196" s="721" t="str">
        <f t="shared" si="40"/>
        <v>mpMRI</v>
      </c>
      <c r="D196" s="975" t="s">
        <v>196</v>
      </c>
      <c r="E196" s="984">
        <f>VLOOKUP($B196&amp;"_"&amp;$D196,'App5 - CRUK Inci Rates'!C:H,6,FALSE)</f>
        <v>356.1</v>
      </c>
      <c r="F196" s="981">
        <f>VLOOKUP($B196&amp;"_"&amp;$D196,'App5 - CRUK Inci Rates'!C:H,3,FALSE)</f>
        <v>0</v>
      </c>
      <c r="G196" s="992">
        <f>VLOOKUP($B196&amp;"_"&amp;$D196,'App5 - CRUK Inci Rates'!C:J,8,FALSE)</f>
        <v>1764828</v>
      </c>
      <c r="H196" s="709">
        <f>VLOOKUP($B196&amp;"_"&amp;$D196,'App5 - CRUK Inci Rates'!C:K,9,FALSE)</f>
        <v>6285</v>
      </c>
      <c r="I196" s="935"/>
      <c r="J196" s="935"/>
      <c r="K196" s="935"/>
      <c r="L196" s="935"/>
      <c r="M196" s="935"/>
      <c r="N196" s="935"/>
      <c r="O196" s="935"/>
      <c r="P196" s="935"/>
      <c r="Q196" s="935"/>
      <c r="R196" s="935"/>
      <c r="S196" s="935"/>
      <c r="T196" s="935"/>
      <c r="U196" s="936"/>
      <c r="V196" s="937"/>
      <c r="W196" s="18">
        <f t="shared" si="36"/>
        <v>352965.60000000003</v>
      </c>
      <c r="X196" s="14">
        <f t="shared" si="37"/>
        <v>1257</v>
      </c>
      <c r="Y196" s="14">
        <f t="shared" si="38"/>
        <v>5028</v>
      </c>
      <c r="Z196" s="14">
        <f>IF($C196="other",(1-#REF!)*X196,(1-(VLOOKUP($C196,'S3 - Screening Tool Metrics'!$C$3:$G$17,5,FALSE)/100))*X196)</f>
        <v>138.26999999999998</v>
      </c>
      <c r="AA196" s="14">
        <f>IF($C196="other",#REF!*X196,(VLOOKUP($C196,'S3 - Screening Tool Metrics'!$C$3:$G$17,5,FALSE)/100)*X196)</f>
        <v>1118.73</v>
      </c>
      <c r="AB196" s="19">
        <f t="shared" si="39"/>
        <v>17.8</v>
      </c>
      <c r="AQ196" s="80"/>
      <c r="AR196" s="94"/>
    </row>
    <row r="197" spans="1:44" hidden="1" x14ac:dyDescent="0.2">
      <c r="B197" s="700" t="s">
        <v>10</v>
      </c>
      <c r="C197" s="721" t="str">
        <f t="shared" si="40"/>
        <v>mpMRI</v>
      </c>
      <c r="D197" s="975" t="s">
        <v>197</v>
      </c>
      <c r="E197" s="985">
        <f>VLOOKUP($B197&amp;"_"&amp;$D197,'App5 - CRUK Inci Rates'!C:H,6,FALSE)</f>
        <v>622.70000000000005</v>
      </c>
      <c r="F197" s="981">
        <f>VLOOKUP($B197&amp;"_"&amp;$D197,'App5 - CRUK Inci Rates'!C:H,3,FALSE)</f>
        <v>0</v>
      </c>
      <c r="G197" s="992">
        <f>VLOOKUP($B197&amp;"_"&amp;$D197,'App5 - CRUK Inci Rates'!C:J,8,FALSE)</f>
        <v>1696993.3333333333</v>
      </c>
      <c r="H197" s="709">
        <f>VLOOKUP($B197&amp;"_"&amp;$D197,'App5 - CRUK Inci Rates'!C:K,9,FALSE)</f>
        <v>10568</v>
      </c>
      <c r="I197" s="935"/>
      <c r="J197" s="935"/>
      <c r="K197" s="935"/>
      <c r="L197" s="935"/>
      <c r="M197" s="935"/>
      <c r="N197" s="935"/>
      <c r="O197" s="935"/>
      <c r="P197" s="935"/>
      <c r="Q197" s="935"/>
      <c r="R197" s="935"/>
      <c r="S197" s="935"/>
      <c r="T197" s="935"/>
      <c r="U197" s="936"/>
      <c r="V197" s="937"/>
      <c r="W197" s="18">
        <f t="shared" si="36"/>
        <v>339398.66666666669</v>
      </c>
      <c r="X197" s="14">
        <f t="shared" si="37"/>
        <v>2113.6</v>
      </c>
      <c r="Y197" s="14">
        <f t="shared" si="38"/>
        <v>8454.4</v>
      </c>
      <c r="Z197" s="14">
        <f>IF($C197="other",(1-#REF!)*X197,(1-(VLOOKUP($C197,'S3 - Screening Tool Metrics'!$C$3:$G$17,5,FALSE)/100))*X197)</f>
        <v>232.49599999999995</v>
      </c>
      <c r="AA197" s="14">
        <f>IF($C197="other",#REF!*X197,(VLOOKUP($C197,'S3 - Screening Tool Metrics'!$C$3:$G$17,5,FALSE)/100)*X197)</f>
        <v>1881.104</v>
      </c>
      <c r="AB197" s="19">
        <f t="shared" si="39"/>
        <v>17.8</v>
      </c>
      <c r="AQ197" s="80"/>
      <c r="AR197" s="94"/>
    </row>
    <row r="198" spans="1:44" ht="17" hidden="1" thickBot="1" x14ac:dyDescent="0.25">
      <c r="B198" s="961" t="s">
        <v>10</v>
      </c>
      <c r="C198" s="960" t="str">
        <f t="shared" si="40"/>
        <v>mpMRI</v>
      </c>
      <c r="D198" s="976" t="s">
        <v>239</v>
      </c>
      <c r="E198" s="982">
        <f>VLOOKUP($B198&amp;"_"&amp;$D198,'App5 - CRUK Inci Rates'!C:H,6,FALSE)</f>
        <v>486.82466185429951</v>
      </c>
      <c r="F198" s="983">
        <f>VLOOKUP($B198&amp;"_"&amp;$D198,'App5 - CRUK Inci Rates'!C:H,3,FALSE)</f>
        <v>0</v>
      </c>
      <c r="G198" s="993">
        <f>VLOOKUP($B198&amp;"_"&amp;$D198,'App5 - CRUK Inci Rates'!C:J,8,FALSE)</f>
        <v>3461821.333333333</v>
      </c>
      <c r="H198" s="944">
        <f>VLOOKUP($B198&amp;"_"&amp;$D198,'App5 - CRUK Inci Rates'!C:K,9,FALSE)</f>
        <v>16853</v>
      </c>
      <c r="I198" s="945">
        <f>VLOOKUP($B198&amp;I$187&amp;$D198,'App6 - Stage-Route-Surv Data'!$E$5:$G$76,3,FALSE)+(VLOOKUP($B198&amp;J$187&amp;$D198,'App6 - Stage-Route-Surv Data'!$E$5:$G$76,3,FALSE)*(VLOOKUP($B198&amp;I$187&amp;$D198,'App6 - Stage-Route-Surv Data'!$E$5:$G$76,3,FALSE)/SUM(VLOOKUP($B198&amp;I$187&amp;$D198,'App6 - Stage-Route-Surv Data'!$E$5:$G$76,3,FALSE),VLOOKUP($B198&amp;K$187&amp;$D198,'App6 - Stage-Route-Surv Data'!$E$5:$G$76,3,FALSE),VLOOKUP($B198&amp;L$187&amp;$D198,'App6 - Stage-Route-Surv Data'!$E$5:$G$76,3,FALSE))))</f>
        <v>0.6049957385432374</v>
      </c>
      <c r="J198" s="945">
        <v>0</v>
      </c>
      <c r="K198" s="945">
        <f>VLOOKUP($B198&amp;K$187&amp;$D198,'App6 - Stage-Route-Surv Data'!$E$5:$G$76,3,FALSE)+(VLOOKUP($B198&amp;J$187&amp;$D198,'App6 - Stage-Route-Surv Data'!$E$5:$G$76,3,FALSE)*(VLOOKUP($B198&amp;K$187&amp;$D198,'App6 - Stage-Route-Surv Data'!$E$5:$G$76,3,FALSE)/SUM(VLOOKUP($B198&amp;I$187&amp;$D198,'App6 - Stage-Route-Surv Data'!$E$5:$G$76,3,FALSE),VLOOKUP($B198&amp;K$187&amp;$D198,'App6 - Stage-Route-Surv Data'!$E$5:$G$76,3,FALSE),VLOOKUP($B198&amp;L$187&amp;$D198,'App6 - Stage-Route-Surv Data'!$E$5:$G$76,3,FALSE))))</f>
        <v>3.1141414803645184E-2</v>
      </c>
      <c r="L198" s="945">
        <f>VLOOKUP($B198&amp;L$187&amp;$D198,'App6 - Stage-Route-Surv Data'!$E$5:$G$76,3,FALSE)+(VLOOKUP($B198&amp;J$187&amp;$D198,'App6 - Stage-Route-Surv Data'!$E$5:$G$76,3,FALSE)*(VLOOKUP($B198&amp;L$187&amp;$D198,'App6 - Stage-Route-Surv Data'!$E$5:$G$76,3,FALSE)/SUM(VLOOKUP($B198&amp;I$187&amp;$D198,'App6 - Stage-Route-Surv Data'!$E$5:$G$76,3,FALSE),VLOOKUP($B198&amp;K$187&amp;$D198,'App6 - Stage-Route-Surv Data'!$E$5:$G$76,3,FALSE),VLOOKUP($B198&amp;L$187&amp;$D198,'App6 - Stage-Route-Surv Data'!$E$5:$G$76,3,FALSE))))</f>
        <v>0.36386284665311741</v>
      </c>
      <c r="M198" s="946">
        <f>(($H198*$I198)*VLOOKUP($B198&amp;$I$187&amp;M$187,'App6 - Stage-Route-Surv Data'!$L$5:$N$52,3,FALSE))+(($H198*$J198)*VLOOKUP($B198&amp;$J$187&amp;M$187,'App6 - Stage-Route-Surv Data'!$L$5:$N$52,3,FALSE))+(($H198*$K198)*VLOOKUP($B198&amp;$K$187&amp;M$187,'App6 - Stage-Route-Surv Data'!$L$5:$N$52,3,FALSE))+(($H198*$L198)*VLOOKUP($B198&amp;$L$187&amp;M$187,'App6 - Stage-Route-Surv Data'!$L$5:$N$52,3,FALSE))</f>
        <v>6756.8901734408828</v>
      </c>
      <c r="N198" s="946">
        <f>(($H198*$I198)*VLOOKUP($B198&amp;$I$187&amp;N$187,'App6 - Stage-Route-Surv Data'!$L$5:$N$52,3,FALSE))+(($H198*$J198)*VLOOKUP($B198&amp;$J$187&amp;N$187,'App6 - Stage-Route-Surv Data'!$L$5:$N$52,3,FALSE))+(($H198*$K198)*VLOOKUP($B198&amp;$K$187&amp;N$187,'App6 - Stage-Route-Surv Data'!$L$5:$N$52,3,FALSE))+(($H198*$L198)*VLOOKUP($B198&amp;$L$187&amp;N$187,'App6 - Stage-Route-Surv Data'!$L$5:$N$52,3,FALSE))</f>
        <v>2587.4263745897233</v>
      </c>
      <c r="O198" s="946">
        <f>(($H198*$I198)*VLOOKUP($B198&amp;$I$187&amp;O$187,'App6 - Stage-Route-Surv Data'!$L$5:$N$52,3,FALSE))+(($H198*$J198)*VLOOKUP($B198&amp;$J$187&amp;O$187,'App6 - Stage-Route-Surv Data'!$L$5:$N$52,3,FALSE))+(($H198*$K198)*VLOOKUP($B198&amp;$K$187&amp;O$187,'App6 - Stage-Route-Surv Data'!$L$5:$N$52,3,FALSE))+(($H198*$L198)*VLOOKUP($B198&amp;$L$187&amp;O$187,'App6 - Stage-Route-Surv Data'!$L$5:$N$52,3,FALSE))</f>
        <v>4520.6898367553804</v>
      </c>
      <c r="P198" s="946">
        <f>(($H198*$I198)*VLOOKUP($B198&amp;$I$187&amp;P$187,'App6 - Stage-Route-Surv Data'!$L$5:$N$52,3,FALSE))+(($H198*$J198)*VLOOKUP($B198&amp;$J$187&amp;P$187,'App6 - Stage-Route-Surv Data'!$L$5:$N$52,3,FALSE))+(($H198*$K198)*VLOOKUP($B198&amp;$K$187&amp;P$187,'App6 - Stage-Route-Surv Data'!$L$5:$N$52,3,FALSE))+(($H198*$L198)*VLOOKUP($B198&amp;$L$187&amp;P$187,'App6 - Stage-Route-Surv Data'!$L$5:$N$52,3,FALSE))</f>
        <v>2987.9936152140158</v>
      </c>
      <c r="Q198" s="946">
        <f>M198*VLOOKUP($B198&amp;$D198&amp;Q$187,'App6 - Stage-Route-Surv Data'!$S$5:$T$40,2,FALSE)</f>
        <v>6824.4590751752921</v>
      </c>
      <c r="R198" s="946">
        <f>N198*VLOOKUP($B198&amp;$D198&amp;R$187,'App6 - Stage-Route-Surv Data'!$S$5:$T$40,2,FALSE)</f>
        <v>2587.4263745897233</v>
      </c>
      <c r="S198" s="946">
        <f>O198*VLOOKUP($B198&amp;$D198&amp;S$187,'App6 - Stage-Route-Surv Data'!$S$5:$T$40,2,FALSE)</f>
        <v>4475.4829383878268</v>
      </c>
      <c r="T198" s="946">
        <f>P198*VLOOKUP($B198&amp;$D198&amp;T$187,'App6 - Stage-Route-Surv Data'!$S$5:$T$40,2,FALSE)</f>
        <v>1703.1563606719888</v>
      </c>
      <c r="U198" s="944">
        <f>SUM(Q198:T198)</f>
        <v>15590.52474882483</v>
      </c>
      <c r="V198" s="947">
        <f>U198/H198</f>
        <v>0.92508899002105438</v>
      </c>
      <c r="W198" s="101">
        <f t="shared" si="36"/>
        <v>692364.2666666666</v>
      </c>
      <c r="X198" s="98">
        <f t="shared" si="37"/>
        <v>3370.6000000000004</v>
      </c>
      <c r="Y198" s="98">
        <f t="shared" si="38"/>
        <v>13482.4</v>
      </c>
      <c r="Z198" s="98">
        <f>IF($C198="other",(1-#REF!)*X198,(1-(VLOOKUP($C198,'S3 - Screening Tool Metrics'!$C$3:$G$17,5,FALSE)/100))*X198)</f>
        <v>370.76600000000002</v>
      </c>
      <c r="AA198" s="98">
        <f>IF($C198="other",#REF!*X198,(VLOOKUP($C198,'S3 - Screening Tool Metrics'!$C$3:$G$17,5,FALSE)/100)*X198)</f>
        <v>2999.8340000000003</v>
      </c>
      <c r="AB198" s="102">
        <f t="shared" si="39"/>
        <v>17.8</v>
      </c>
      <c r="AQ198" s="104">
        <f>U220-U198</f>
        <v>191.15750276795734</v>
      </c>
      <c r="AR198" s="105">
        <f>(U220/$H198)-($U198/$H198)</f>
        <v>1.13426394569488E-2</v>
      </c>
    </row>
    <row r="199" spans="1:44" ht="17" hidden="1" thickBot="1" x14ac:dyDescent="0.25">
      <c r="B199" s="956" t="s">
        <v>10</v>
      </c>
      <c r="C199" s="957"/>
      <c r="D199" s="977"/>
      <c r="E199" s="986"/>
      <c r="F199" s="987"/>
      <c r="G199" s="994"/>
      <c r="H199" s="962"/>
      <c r="I199" s="963"/>
      <c r="J199" s="963"/>
      <c r="K199" s="963"/>
      <c r="L199" s="963"/>
      <c r="M199" s="963"/>
      <c r="N199" s="963"/>
      <c r="O199" s="963"/>
      <c r="P199" s="963"/>
      <c r="Q199" s="963"/>
      <c r="R199" s="963"/>
      <c r="S199" s="963"/>
      <c r="T199" s="963"/>
      <c r="U199" s="964"/>
      <c r="V199" s="943"/>
      <c r="W199" s="40"/>
      <c r="X199" s="39"/>
      <c r="Y199" s="39"/>
      <c r="Z199" s="39"/>
      <c r="AA199" s="39"/>
      <c r="AB199" s="41"/>
      <c r="AQ199" s="39"/>
      <c r="AR199" s="41"/>
    </row>
    <row r="200" spans="1:44" hidden="1" x14ac:dyDescent="0.2">
      <c r="B200" s="700" t="s">
        <v>10</v>
      </c>
      <c r="C200" s="720" t="s">
        <v>172</v>
      </c>
      <c r="D200" s="975" t="s">
        <v>194</v>
      </c>
      <c r="E200" s="980">
        <f>VLOOKUP($B200&amp;"_"&amp;$D200,'App5 - CRUK Inci Rates'!C:H,6,FALSE)</f>
        <v>75.7</v>
      </c>
      <c r="F200" s="981">
        <f>VLOOKUP($B200&amp;"_"&amp;$D200,'App5 - CRUK Inci Rates'!C:H,3,FALSE)</f>
        <v>0</v>
      </c>
      <c r="G200" s="992">
        <f>VLOOKUP($B200&amp;"_"&amp;$D200,'App5 - CRUK Inci Rates'!C:J,8,FALSE)</f>
        <v>2293472.6666666665</v>
      </c>
      <c r="H200" s="709">
        <f>VLOOKUP($B200&amp;"_"&amp;$D200,'App5 - CRUK Inci Rates'!C:K,9,FALSE)</f>
        <v>1737</v>
      </c>
      <c r="I200" s="935"/>
      <c r="J200" s="935"/>
      <c r="K200" s="935"/>
      <c r="L200" s="935"/>
      <c r="M200" s="935"/>
      <c r="N200" s="935"/>
      <c r="O200" s="935"/>
      <c r="P200" s="935"/>
      <c r="Q200" s="935"/>
      <c r="R200" s="935"/>
      <c r="S200" s="935"/>
      <c r="T200" s="935"/>
      <c r="U200" s="936"/>
      <c r="V200" s="937"/>
      <c r="W200" s="18">
        <f t="shared" ref="W200:W205" si="41">$G200*W$184</f>
        <v>458694.53333333333</v>
      </c>
      <c r="X200" s="14">
        <f t="shared" ref="X200:X205" si="42">H200*0.2</f>
        <v>347.40000000000003</v>
      </c>
      <c r="Y200" s="14">
        <f t="shared" ref="Y200:Y205" si="43">$H200-X200</f>
        <v>1389.6</v>
      </c>
      <c r="Z200" s="14">
        <f>IF($C200="other",(1-#REF!)*X200,(1-(VLOOKUP($C200,'S3 - Screening Tool Metrics'!$C$3:$G$17,5,FALSE)/100))*X200)</f>
        <v>236.232</v>
      </c>
      <c r="AA200" s="14">
        <f>IF($C200="other",#REF!*X200,(VLOOKUP($C200,'S3 - Screening Tool Metrics'!$C$3:$G$17,5,FALSE)/100)*X200)</f>
        <v>111.16800000000001</v>
      </c>
      <c r="AB200" s="19">
        <f t="shared" ref="AB200:AB205" si="44">$AA200/$H200*100</f>
        <v>6.4</v>
      </c>
      <c r="AQ200" s="80"/>
      <c r="AR200" s="94"/>
    </row>
    <row r="201" spans="1:44" hidden="1" x14ac:dyDescent="0.2">
      <c r="B201" s="700" t="s">
        <v>10</v>
      </c>
      <c r="C201" s="721" t="str">
        <f>C200</f>
        <v>PSA_3ng/mL cut-off</v>
      </c>
      <c r="D201" s="975" t="s">
        <v>195</v>
      </c>
      <c r="E201" s="980">
        <f>VLOOKUP($B201&amp;"_"&amp;$D201,'App5 - CRUK Inci Rates'!C:H,6,FALSE)</f>
        <v>201.8</v>
      </c>
      <c r="F201" s="981">
        <f>VLOOKUP($B201&amp;"_"&amp;$D201,'App5 - CRUK Inci Rates'!C:H,3,FALSE)</f>
        <v>0</v>
      </c>
      <c r="G201" s="992">
        <f>VLOOKUP($B201&amp;"_"&amp;$D201,'App5 - CRUK Inci Rates'!C:J,8,FALSE)</f>
        <v>2061918.6666666667</v>
      </c>
      <c r="H201" s="709">
        <f>VLOOKUP($B201&amp;"_"&amp;$D201,'App5 - CRUK Inci Rates'!C:K,9,FALSE)</f>
        <v>4160</v>
      </c>
      <c r="I201" s="935"/>
      <c r="J201" s="935"/>
      <c r="K201" s="935"/>
      <c r="L201" s="935"/>
      <c r="M201" s="935"/>
      <c r="N201" s="935"/>
      <c r="O201" s="935"/>
      <c r="P201" s="935"/>
      <c r="Q201" s="935"/>
      <c r="R201" s="935"/>
      <c r="S201" s="935"/>
      <c r="T201" s="935"/>
      <c r="U201" s="936"/>
      <c r="V201" s="937"/>
      <c r="W201" s="18">
        <f t="shared" si="41"/>
        <v>412383.7333333334</v>
      </c>
      <c r="X201" s="14">
        <f t="shared" si="42"/>
        <v>832</v>
      </c>
      <c r="Y201" s="14">
        <f t="shared" si="43"/>
        <v>3328</v>
      </c>
      <c r="Z201" s="14">
        <f>IF($C201="other",(1-#REF!)*X201,(1-(VLOOKUP($C201,'S3 - Screening Tool Metrics'!$C$3:$G$17,5,FALSE)/100))*X201)</f>
        <v>565.76</v>
      </c>
      <c r="AA201" s="14">
        <f>IF($C201="other",#REF!*X201,(VLOOKUP($C201,'S3 - Screening Tool Metrics'!$C$3:$G$17,5,FALSE)/100)*X201)</f>
        <v>266.24</v>
      </c>
      <c r="AB201" s="19">
        <f t="shared" si="44"/>
        <v>6.4</v>
      </c>
      <c r="AQ201" s="80"/>
      <c r="AR201" s="94"/>
    </row>
    <row r="202" spans="1:44" hidden="1" x14ac:dyDescent="0.2">
      <c r="B202" s="958" t="s">
        <v>10</v>
      </c>
      <c r="C202" s="959" t="str">
        <f t="shared" ref="C202:C205" si="45">C201</f>
        <v>PSA_3ng/mL cut-off</v>
      </c>
      <c r="D202" s="976" t="s">
        <v>230</v>
      </c>
      <c r="E202" s="982">
        <f>VLOOKUP($B202&amp;"_"&amp;$D202,'App5 - CRUK Inci Rates'!C:H,6,FALSE)</f>
        <v>135.39541108208113</v>
      </c>
      <c r="F202" s="983">
        <f>VLOOKUP($B202&amp;"_"&amp;$D202,'App5 - CRUK Inci Rates'!C:H,3,FALSE)</f>
        <v>0</v>
      </c>
      <c r="G202" s="993">
        <f>VLOOKUP($B202&amp;"_"&amp;$D202,'App5 - CRUK Inci Rates'!C:J,8,FALSE)</f>
        <v>4355391.333333333</v>
      </c>
      <c r="H202" s="944">
        <f>VLOOKUP($B202&amp;"_"&amp;$D202,'App5 - CRUK Inci Rates'!C:K,9,FALSE)</f>
        <v>5897</v>
      </c>
      <c r="I202" s="945">
        <f>VLOOKUP($B202&amp;I$187&amp;$D202,'App6 - Stage-Route-Surv Data'!$E$5:$G$76,3,FALSE)+(VLOOKUP($B202&amp;J$187&amp;$D202,'App6 - Stage-Route-Surv Data'!$E$5:$G$76,3,FALSE)*(VLOOKUP($B202&amp;I$187&amp;$D202,'App6 - Stage-Route-Surv Data'!$E$5:$G$76,3,FALSE)/SUM(VLOOKUP($B202&amp;I$187&amp;$D202,'App6 - Stage-Route-Surv Data'!$E$5:$G$76,3,FALSE),VLOOKUP($B202&amp;K$187&amp;$D202,'App6 - Stage-Route-Surv Data'!$E$5:$G$76,3,FALSE),VLOOKUP($B202&amp;L$187&amp;$D202,'App6 - Stage-Route-Surv Data'!$E$5:$G$76,3,FALSE))))</f>
        <v>0.59247594050743657</v>
      </c>
      <c r="J202" s="945">
        <v>0</v>
      </c>
      <c r="K202" s="945">
        <f>VLOOKUP($B202&amp;K$187&amp;$D202,'App6 - Stage-Route-Surv Data'!$E$5:$G$76,3,FALSE)+(VLOOKUP($B202&amp;J$187&amp;$D202,'App6 - Stage-Route-Surv Data'!$E$5:$G$76,3,FALSE)*(VLOOKUP($B202&amp;K$187&amp;$D202,'App6 - Stage-Route-Surv Data'!$E$5:$G$76,3,FALSE)/SUM(VLOOKUP($B202&amp;I$187&amp;$D202,'App6 - Stage-Route-Surv Data'!$E$5:$G$76,3,FALSE),VLOOKUP($B202&amp;K$187&amp;$D202,'App6 - Stage-Route-Surv Data'!$E$5:$G$76,3,FALSE),VLOOKUP($B202&amp;L$187&amp;$D202,'App6 - Stage-Route-Surv Data'!$E$5:$G$76,3,FALSE))))</f>
        <v>2.5721784776902887E-2</v>
      </c>
      <c r="L202" s="945">
        <f>VLOOKUP($B202&amp;L$187&amp;$D202,'App6 - Stage-Route-Surv Data'!$E$5:$G$76,3,FALSE)+(VLOOKUP($B202&amp;J$187&amp;$D202,'App6 - Stage-Route-Surv Data'!$E$5:$G$76,3,FALSE)*(VLOOKUP($B202&amp;L$187&amp;$D202,'App6 - Stage-Route-Surv Data'!$E$5:$G$76,3,FALSE)/SUM(VLOOKUP($B202&amp;I$187&amp;$D202,'App6 - Stage-Route-Surv Data'!$E$5:$G$76,3,FALSE),VLOOKUP($B202&amp;K$187&amp;$D202,'App6 - Stage-Route-Surv Data'!$E$5:$G$76,3,FALSE),VLOOKUP($B202&amp;L$187&amp;$D202,'App6 - Stage-Route-Surv Data'!$E$5:$G$76,3,FALSE))))</f>
        <v>0.38180227471566053</v>
      </c>
      <c r="M202" s="946">
        <f>(($H202*$I202)*VLOOKUP($B202&amp;$I$187&amp;M$187,'App6 - Stage-Route-Surv Data'!$L$5:$N$52,3,FALSE))+(($H202*$J202)*VLOOKUP($B202&amp;$J$187&amp;M$187,'App6 - Stage-Route-Surv Data'!$L$5:$N$52,3,FALSE))+(($H202*$K202)*VLOOKUP($B202&amp;$K$187&amp;M$187,'App6 - Stage-Route-Surv Data'!$L$5:$N$52,3,FALSE))+(($H202*$L202)*VLOOKUP($B202&amp;$L$187&amp;M$187,'App6 - Stage-Route-Surv Data'!$L$5:$N$52,3,FALSE))</f>
        <v>2384.5650832956467</v>
      </c>
      <c r="N202" s="946">
        <f>(($H202*$I202)*VLOOKUP($B202&amp;$I$187&amp;N$187,'App6 - Stage-Route-Surv Data'!$L$5:$N$52,3,FALSE))+(($H202*$J202)*VLOOKUP($B202&amp;$J$187&amp;N$187,'App6 - Stage-Route-Surv Data'!$L$5:$N$52,3,FALSE))+(($H202*$K202)*VLOOKUP($B202&amp;$K$187&amp;N$187,'App6 - Stage-Route-Surv Data'!$L$5:$N$52,3,FALSE))+(($H202*$L202)*VLOOKUP($B202&amp;$L$187&amp;N$187,'App6 - Stage-Route-Surv Data'!$L$5:$N$52,3,FALSE))</f>
        <v>910.55055948256927</v>
      </c>
      <c r="O202" s="946">
        <f>(($H202*$I202)*VLOOKUP($B202&amp;$I$187&amp;O$187,'App6 - Stage-Route-Surv Data'!$L$5:$N$52,3,FALSE))+(($H202*$J202)*VLOOKUP($B202&amp;$J$187&amp;O$187,'App6 - Stage-Route-Surv Data'!$L$5:$N$52,3,FALSE))+(($H202*$K202)*VLOOKUP($B202&amp;$K$187&amp;O$187,'App6 - Stage-Route-Surv Data'!$L$5:$N$52,3,FALSE))+(($H202*$L202)*VLOOKUP($B202&amp;$L$187&amp;O$187,'App6 - Stage-Route-Surv Data'!$L$5:$N$52,3,FALSE))</f>
        <v>1579.7620982099547</v>
      </c>
      <c r="P202" s="946">
        <f>(($H202*$I202)*VLOOKUP($B202&amp;$I$187&amp;P$187,'App6 - Stage-Route-Surv Data'!$L$5:$N$52,3,FALSE))+(($H202*$J202)*VLOOKUP($B202&amp;$J$187&amp;P$187,'App6 - Stage-Route-Surv Data'!$L$5:$N$52,3,FALSE))+(($H202*$K202)*VLOOKUP($B202&amp;$K$187&amp;P$187,'App6 - Stage-Route-Surv Data'!$L$5:$N$52,3,FALSE))+(($H202*$L202)*VLOOKUP($B202&amp;$L$187&amp;P$187,'App6 - Stage-Route-Surv Data'!$L$5:$N$52,3,FALSE))</f>
        <v>1022.1222590118294</v>
      </c>
      <c r="Q202" s="946">
        <f>M202*VLOOKUP($B202&amp;$D202&amp;Q$187,'App6 - Stage-Route-Surv Data'!$S$5:$T$40,2,FALSE)</f>
        <v>2384.5650832956467</v>
      </c>
      <c r="R202" s="946">
        <f>N202*VLOOKUP($B202&amp;$D202&amp;R$187,'App6 - Stage-Route-Surv Data'!$S$5:$T$40,2,FALSE)</f>
        <v>910.55055948256927</v>
      </c>
      <c r="S202" s="946">
        <f>O202*VLOOKUP($B202&amp;$D202&amp;S$187,'App6 - Stage-Route-Surv Data'!$S$5:$T$40,2,FALSE)</f>
        <v>1548.1668562457555</v>
      </c>
      <c r="T202" s="946">
        <f>P202*VLOOKUP($B202&amp;$D202&amp;T$187,'App6 - Stage-Route-Surv Data'!$S$5:$T$40,2,FALSE)</f>
        <v>541.72479727626967</v>
      </c>
      <c r="U202" s="944">
        <f>SUM(Q202:T202)</f>
        <v>5385.0072963002413</v>
      </c>
      <c r="V202" s="947">
        <f>U202/H202</f>
        <v>0.91317742857389206</v>
      </c>
      <c r="W202" s="87">
        <f t="shared" si="41"/>
        <v>871078.2666666666</v>
      </c>
      <c r="X202" s="84">
        <f t="shared" si="42"/>
        <v>1179.4000000000001</v>
      </c>
      <c r="Y202" s="84">
        <f t="shared" si="43"/>
        <v>4717.6000000000004</v>
      </c>
      <c r="Z202" s="84">
        <f>IF($C202="other",(1-#REF!)*X202,(1-(VLOOKUP($C202,'S3 - Screening Tool Metrics'!$C$3:$G$17,5,FALSE)/100))*X202)</f>
        <v>801.99199999999996</v>
      </c>
      <c r="AA202" s="84">
        <f>IF($C202="other",#REF!*X202,(VLOOKUP($C202,'S3 - Screening Tool Metrics'!$C$3:$G$17,5,FALSE)/100)*X202)</f>
        <v>377.40800000000002</v>
      </c>
      <c r="AB202" s="88">
        <f t="shared" si="44"/>
        <v>6.4</v>
      </c>
      <c r="AQ202" s="90">
        <f>U224-U202</f>
        <v>25.417252049847775</v>
      </c>
      <c r="AR202" s="95">
        <f>(U224/$H202)-($U202/$H202)</f>
        <v>4.3102004493551505E-3</v>
      </c>
    </row>
    <row r="203" spans="1:44" hidden="1" x14ac:dyDescent="0.2">
      <c r="B203" s="700" t="s">
        <v>10</v>
      </c>
      <c r="C203" s="721" t="str">
        <f t="shared" si="45"/>
        <v>PSA_3ng/mL cut-off</v>
      </c>
      <c r="D203" s="975" t="s">
        <v>196</v>
      </c>
      <c r="E203" s="984">
        <f>VLOOKUP($B203&amp;"_"&amp;$D203,'App5 - CRUK Inci Rates'!C:H,6,FALSE)</f>
        <v>356.1</v>
      </c>
      <c r="F203" s="981">
        <f>VLOOKUP($B203&amp;"_"&amp;$D203,'App5 - CRUK Inci Rates'!C:H,3,FALSE)</f>
        <v>0</v>
      </c>
      <c r="G203" s="992">
        <f>VLOOKUP($B203&amp;"_"&amp;$D203,'App5 - CRUK Inci Rates'!C:J,8,FALSE)</f>
        <v>1764828</v>
      </c>
      <c r="H203" s="709">
        <f>VLOOKUP($B203&amp;"_"&amp;$D203,'App5 - CRUK Inci Rates'!C:K,9,FALSE)</f>
        <v>6285</v>
      </c>
      <c r="I203" s="935"/>
      <c r="J203" s="935"/>
      <c r="K203" s="935"/>
      <c r="L203" s="935"/>
      <c r="M203" s="935"/>
      <c r="N203" s="935"/>
      <c r="O203" s="935"/>
      <c r="P203" s="935"/>
      <c r="Q203" s="935"/>
      <c r="R203" s="935"/>
      <c r="S203" s="935"/>
      <c r="T203" s="935"/>
      <c r="U203" s="936"/>
      <c r="V203" s="937"/>
      <c r="W203" s="18">
        <f t="shared" si="41"/>
        <v>352965.60000000003</v>
      </c>
      <c r="X203" s="14">
        <f t="shared" si="42"/>
        <v>1257</v>
      </c>
      <c r="Y203" s="14">
        <f t="shared" si="43"/>
        <v>5028</v>
      </c>
      <c r="Z203" s="14">
        <f>IF($C203="other",(1-#REF!)*X203,(1-(VLOOKUP($C203,'S3 - Screening Tool Metrics'!$C$3:$G$17,5,FALSE)/100))*X203)</f>
        <v>854.75999999999988</v>
      </c>
      <c r="AA203" s="14">
        <f>IF($C203="other",#REF!*X203,(VLOOKUP($C203,'S3 - Screening Tool Metrics'!$C$3:$G$17,5,FALSE)/100)*X203)</f>
        <v>402.24</v>
      </c>
      <c r="AB203" s="19">
        <f t="shared" si="44"/>
        <v>6.4</v>
      </c>
      <c r="AQ203" s="80"/>
      <c r="AR203" s="94"/>
    </row>
    <row r="204" spans="1:44" hidden="1" x14ac:dyDescent="0.2">
      <c r="B204" s="700" t="s">
        <v>10</v>
      </c>
      <c r="C204" s="721" t="str">
        <f t="shared" si="45"/>
        <v>PSA_3ng/mL cut-off</v>
      </c>
      <c r="D204" s="975" t="s">
        <v>197</v>
      </c>
      <c r="E204" s="985">
        <f>VLOOKUP($B204&amp;"_"&amp;$D204,'App5 - CRUK Inci Rates'!C:H,6,FALSE)</f>
        <v>622.70000000000005</v>
      </c>
      <c r="F204" s="981">
        <f>VLOOKUP($B204&amp;"_"&amp;$D204,'App5 - CRUK Inci Rates'!C:H,3,FALSE)</f>
        <v>0</v>
      </c>
      <c r="G204" s="992">
        <f>VLOOKUP($B204&amp;"_"&amp;$D204,'App5 - CRUK Inci Rates'!C:J,8,FALSE)</f>
        <v>1696993.3333333333</v>
      </c>
      <c r="H204" s="709">
        <f>VLOOKUP($B204&amp;"_"&amp;$D204,'App5 - CRUK Inci Rates'!C:K,9,FALSE)</f>
        <v>10568</v>
      </c>
      <c r="I204" s="935"/>
      <c r="J204" s="935"/>
      <c r="K204" s="935"/>
      <c r="L204" s="935"/>
      <c r="M204" s="935"/>
      <c r="N204" s="935"/>
      <c r="O204" s="935"/>
      <c r="P204" s="935"/>
      <c r="Q204" s="935"/>
      <c r="R204" s="935"/>
      <c r="S204" s="935"/>
      <c r="T204" s="935"/>
      <c r="U204" s="936"/>
      <c r="V204" s="937"/>
      <c r="W204" s="18">
        <f t="shared" si="41"/>
        <v>339398.66666666669</v>
      </c>
      <c r="X204" s="14">
        <f t="shared" si="42"/>
        <v>2113.6</v>
      </c>
      <c r="Y204" s="14">
        <f t="shared" si="43"/>
        <v>8454.4</v>
      </c>
      <c r="Z204" s="14">
        <f>IF($C204="other",(1-#REF!)*X204,(1-(VLOOKUP($C204,'S3 - Screening Tool Metrics'!$C$3:$G$17,5,FALSE)/100))*X204)</f>
        <v>1437.2479999999998</v>
      </c>
      <c r="AA204" s="14">
        <f>IF($C204="other",#REF!*X204,(VLOOKUP($C204,'S3 - Screening Tool Metrics'!$C$3:$G$17,5,FALSE)/100)*X204)</f>
        <v>676.35199999999998</v>
      </c>
      <c r="AB204" s="19">
        <f t="shared" si="44"/>
        <v>6.4</v>
      </c>
      <c r="AQ204" s="80"/>
      <c r="AR204" s="94"/>
    </row>
    <row r="205" spans="1:44" ht="17" hidden="1" thickBot="1" x14ac:dyDescent="0.25">
      <c r="B205" s="700" t="s">
        <v>10</v>
      </c>
      <c r="C205" s="721" t="str">
        <f t="shared" si="45"/>
        <v>PSA_3ng/mL cut-off</v>
      </c>
      <c r="D205" s="976" t="s">
        <v>239</v>
      </c>
      <c r="E205" s="982">
        <f>VLOOKUP($B205&amp;"_"&amp;$D205,'App5 - CRUK Inci Rates'!C:H,6,FALSE)</f>
        <v>486.82466185429951</v>
      </c>
      <c r="F205" s="983">
        <f>VLOOKUP($B205&amp;"_"&amp;$D205,'App5 - CRUK Inci Rates'!C:H,3,FALSE)</f>
        <v>0</v>
      </c>
      <c r="G205" s="993">
        <f>VLOOKUP($B205&amp;"_"&amp;$D205,'App5 - CRUK Inci Rates'!C:J,8,FALSE)</f>
        <v>3461821.333333333</v>
      </c>
      <c r="H205" s="944">
        <f>VLOOKUP($B205&amp;"_"&amp;$D205,'App5 - CRUK Inci Rates'!C:K,9,FALSE)</f>
        <v>16853</v>
      </c>
      <c r="I205" s="945">
        <f>VLOOKUP($B205&amp;I$187&amp;$D205,'App6 - Stage-Route-Surv Data'!$E$5:$G$76,3,FALSE)+(VLOOKUP($B205&amp;J$187&amp;$D205,'App6 - Stage-Route-Surv Data'!$E$5:$G$76,3,FALSE)*(VLOOKUP($B205&amp;I$187&amp;$D205,'App6 - Stage-Route-Surv Data'!$E$5:$G$76,3,FALSE)/SUM(VLOOKUP($B205&amp;I$187&amp;$D205,'App6 - Stage-Route-Surv Data'!$E$5:$G$76,3,FALSE),VLOOKUP($B205&amp;K$187&amp;$D205,'App6 - Stage-Route-Surv Data'!$E$5:$G$76,3,FALSE),VLOOKUP($B205&amp;L$187&amp;$D205,'App6 - Stage-Route-Surv Data'!$E$5:$G$76,3,FALSE))))</f>
        <v>0.6049957385432374</v>
      </c>
      <c r="J205" s="945">
        <v>0</v>
      </c>
      <c r="K205" s="945">
        <f>VLOOKUP($B205&amp;K$187&amp;$D205,'App6 - Stage-Route-Surv Data'!$E$5:$G$76,3,FALSE)+(VLOOKUP($B205&amp;J$187&amp;$D205,'App6 - Stage-Route-Surv Data'!$E$5:$G$76,3,FALSE)*(VLOOKUP($B205&amp;K$187&amp;$D205,'App6 - Stage-Route-Surv Data'!$E$5:$G$76,3,FALSE)/SUM(VLOOKUP($B205&amp;I$187&amp;$D205,'App6 - Stage-Route-Surv Data'!$E$5:$G$76,3,FALSE),VLOOKUP($B205&amp;K$187&amp;$D205,'App6 - Stage-Route-Surv Data'!$E$5:$G$76,3,FALSE),VLOOKUP($B205&amp;L$187&amp;$D205,'App6 - Stage-Route-Surv Data'!$E$5:$G$76,3,FALSE))))</f>
        <v>3.1141414803645184E-2</v>
      </c>
      <c r="L205" s="945">
        <f>VLOOKUP($B205&amp;L$187&amp;$D205,'App6 - Stage-Route-Surv Data'!$E$5:$G$76,3,FALSE)+(VLOOKUP($B205&amp;J$187&amp;$D205,'App6 - Stage-Route-Surv Data'!$E$5:$G$76,3,FALSE)*(VLOOKUP($B205&amp;L$187&amp;$D205,'App6 - Stage-Route-Surv Data'!$E$5:$G$76,3,FALSE)/SUM(VLOOKUP($B205&amp;I$187&amp;$D205,'App6 - Stage-Route-Surv Data'!$E$5:$G$76,3,FALSE),VLOOKUP($B205&amp;K$187&amp;$D205,'App6 - Stage-Route-Surv Data'!$E$5:$G$76,3,FALSE),VLOOKUP($B205&amp;L$187&amp;$D205,'App6 - Stage-Route-Surv Data'!$E$5:$G$76,3,FALSE))))</f>
        <v>0.36386284665311741</v>
      </c>
      <c r="M205" s="946">
        <f>(($H205*$I205)*VLOOKUP($B205&amp;$I$187&amp;M$187,'App6 - Stage-Route-Surv Data'!$L$5:$N$52,3,FALSE))+(($H205*$J205)*VLOOKUP($B205&amp;$J$187&amp;M$187,'App6 - Stage-Route-Surv Data'!$L$5:$N$52,3,FALSE))+(($H205*$K205)*VLOOKUP($B205&amp;$K$187&amp;M$187,'App6 - Stage-Route-Surv Data'!$L$5:$N$52,3,FALSE))+(($H205*$L205)*VLOOKUP($B205&amp;$L$187&amp;M$187,'App6 - Stage-Route-Surv Data'!$L$5:$N$52,3,FALSE))</f>
        <v>6756.8901734408828</v>
      </c>
      <c r="N205" s="946">
        <f>(($H205*$I205)*VLOOKUP($B205&amp;$I$187&amp;N$187,'App6 - Stage-Route-Surv Data'!$L$5:$N$52,3,FALSE))+(($H205*$J205)*VLOOKUP($B205&amp;$J$187&amp;N$187,'App6 - Stage-Route-Surv Data'!$L$5:$N$52,3,FALSE))+(($H205*$K205)*VLOOKUP($B205&amp;$K$187&amp;N$187,'App6 - Stage-Route-Surv Data'!$L$5:$N$52,3,FALSE))+(($H205*$L205)*VLOOKUP($B205&amp;$L$187&amp;N$187,'App6 - Stage-Route-Surv Data'!$L$5:$N$52,3,FALSE))</f>
        <v>2587.4263745897233</v>
      </c>
      <c r="O205" s="946">
        <f>(($H205*$I205)*VLOOKUP($B205&amp;$I$187&amp;O$187,'App6 - Stage-Route-Surv Data'!$L$5:$N$52,3,FALSE))+(($H205*$J205)*VLOOKUP($B205&amp;$J$187&amp;O$187,'App6 - Stage-Route-Surv Data'!$L$5:$N$52,3,FALSE))+(($H205*$K205)*VLOOKUP($B205&amp;$K$187&amp;O$187,'App6 - Stage-Route-Surv Data'!$L$5:$N$52,3,FALSE))+(($H205*$L205)*VLOOKUP($B205&amp;$L$187&amp;O$187,'App6 - Stage-Route-Surv Data'!$L$5:$N$52,3,FALSE))</f>
        <v>4520.6898367553804</v>
      </c>
      <c r="P205" s="946">
        <f>(($H205*$I205)*VLOOKUP($B205&amp;$I$187&amp;P$187,'App6 - Stage-Route-Surv Data'!$L$5:$N$52,3,FALSE))+(($H205*$J205)*VLOOKUP($B205&amp;$J$187&amp;P$187,'App6 - Stage-Route-Surv Data'!$L$5:$N$52,3,FALSE))+(($H205*$K205)*VLOOKUP($B205&amp;$K$187&amp;P$187,'App6 - Stage-Route-Surv Data'!$L$5:$N$52,3,FALSE))+(($H205*$L205)*VLOOKUP($B205&amp;$L$187&amp;P$187,'App6 - Stage-Route-Surv Data'!$L$5:$N$52,3,FALSE))</f>
        <v>2987.9936152140158</v>
      </c>
      <c r="Q205" s="946">
        <f>M205*VLOOKUP($B205&amp;$D205&amp;Q$187,'App6 - Stage-Route-Surv Data'!$S$5:$T$40,2,FALSE)</f>
        <v>6824.4590751752921</v>
      </c>
      <c r="R205" s="946">
        <f>N205*VLOOKUP($B205&amp;$D205&amp;R$187,'App6 - Stage-Route-Surv Data'!$S$5:$T$40,2,FALSE)</f>
        <v>2587.4263745897233</v>
      </c>
      <c r="S205" s="946">
        <f>O205*VLOOKUP($B205&amp;$D205&amp;S$187,'App6 - Stage-Route-Surv Data'!$S$5:$T$40,2,FALSE)</f>
        <v>4475.4829383878268</v>
      </c>
      <c r="T205" s="946">
        <f>P205*VLOOKUP($B205&amp;$D205&amp;T$187,'App6 - Stage-Route-Surv Data'!$S$5:$T$40,2,FALSE)</f>
        <v>1703.1563606719888</v>
      </c>
      <c r="U205" s="944">
        <f>SUM(Q205:T205)</f>
        <v>15590.52474882483</v>
      </c>
      <c r="V205" s="947">
        <f>U205/H205</f>
        <v>0.92508899002105438</v>
      </c>
      <c r="W205" s="101">
        <f t="shared" si="41"/>
        <v>692364.2666666666</v>
      </c>
      <c r="X205" s="98">
        <f t="shared" si="42"/>
        <v>3370.6000000000004</v>
      </c>
      <c r="Y205" s="98">
        <f t="shared" si="43"/>
        <v>13482.4</v>
      </c>
      <c r="Z205" s="98">
        <f>IF($C205="other",(1-#REF!)*X205,(1-(VLOOKUP($C205,'S3 - Screening Tool Metrics'!$C$3:$G$17,5,FALSE)/100))*X205)</f>
        <v>2292.0079999999998</v>
      </c>
      <c r="AA205" s="98">
        <f>IF($C205="other",#REF!*X205,(VLOOKUP($C205,'S3 - Screening Tool Metrics'!$C$3:$G$17,5,FALSE)/100)*X205)</f>
        <v>1078.5920000000001</v>
      </c>
      <c r="AB205" s="102">
        <f t="shared" si="44"/>
        <v>6.4</v>
      </c>
      <c r="AQ205" s="104">
        <f>U227-U205</f>
        <v>68.730787512073221</v>
      </c>
      <c r="AR205" s="105">
        <f>(U227/$H205)-($U205/$H205)</f>
        <v>4.0782523890152689E-3</v>
      </c>
    </row>
    <row r="206" spans="1:44" ht="17" hidden="1" thickBot="1" x14ac:dyDescent="0.25">
      <c r="B206" s="953" t="s">
        <v>11</v>
      </c>
      <c r="C206" s="954"/>
      <c r="D206" s="966"/>
      <c r="E206" s="966"/>
      <c r="F206" s="967"/>
      <c r="G206" s="968"/>
      <c r="H206" s="969"/>
      <c r="I206" s="970"/>
      <c r="J206" s="970"/>
      <c r="K206" s="970"/>
      <c r="L206" s="970"/>
      <c r="M206" s="971"/>
      <c r="N206" s="971"/>
      <c r="O206" s="971"/>
      <c r="P206" s="971"/>
      <c r="Q206" s="971"/>
      <c r="R206" s="971"/>
      <c r="S206" s="971"/>
      <c r="T206" s="971"/>
      <c r="U206" s="971"/>
      <c r="V206" s="955"/>
      <c r="W206" s="40"/>
      <c r="X206" s="39"/>
      <c r="Y206" s="39"/>
      <c r="Z206" s="39"/>
      <c r="AA206" s="39"/>
      <c r="AB206" s="41"/>
      <c r="AQ206" s="39"/>
      <c r="AR206" s="41"/>
    </row>
    <row r="207" spans="1:44" hidden="1" x14ac:dyDescent="0.2">
      <c r="B207" s="728" t="s">
        <v>11</v>
      </c>
      <c r="C207" s="742" t="s">
        <v>143</v>
      </c>
      <c r="D207" s="978" t="s">
        <v>194</v>
      </c>
      <c r="E207" s="988">
        <f>VLOOKUP($B207&amp;"_"&amp;$D207,'App5 - CRUK Inci Rates'!C:H,6,FALSE)</f>
        <v>47.1</v>
      </c>
      <c r="F207" s="989">
        <f>VLOOKUP($B207&amp;"_"&amp;$D207,'App5 - CRUK Inci Rates'!C:H,3,FALSE)</f>
        <v>37.1</v>
      </c>
      <c r="G207" s="995">
        <f>VLOOKUP($B207&amp;"_"&amp;$D207,'App5 - CRUK Inci Rates'!C:J,8,FALSE)</f>
        <v>4658110.666666666</v>
      </c>
      <c r="H207" s="705">
        <f>VLOOKUP($B207&amp;"_"&amp;$D207,'App5 - CRUK Inci Rates'!C:K,9,FALSE)</f>
        <v>1958</v>
      </c>
      <c r="I207" s="931"/>
      <c r="J207" s="931"/>
      <c r="K207" s="931"/>
      <c r="L207" s="931"/>
      <c r="M207" s="931"/>
      <c r="N207" s="931"/>
      <c r="O207" s="931"/>
      <c r="P207" s="931"/>
      <c r="Q207" s="931"/>
      <c r="R207" s="931"/>
      <c r="S207" s="931"/>
      <c r="T207" s="931"/>
      <c r="U207" s="932"/>
      <c r="V207" s="933"/>
      <c r="W207" s="26">
        <f>$G207*W$184</f>
        <v>931622.1333333333</v>
      </c>
      <c r="X207" s="25">
        <f>H207*0.2</f>
        <v>391.6</v>
      </c>
      <c r="Y207" s="25">
        <f>$H207-X207</f>
        <v>1566.4</v>
      </c>
      <c r="Z207" s="25">
        <f>IF($C207="other",(1-#REF!)*X207,(1-(VLOOKUP($C207,'S3 - Screening Tool Metrics'!$C$3:$G$17,5,FALSE)/100))*X207)</f>
        <v>117.48000000000002</v>
      </c>
      <c r="AA207" s="25">
        <f>IF($C207="other",#REF!*X207,(VLOOKUP($C207,'S3 - Screening Tool Metrics'!$C$3:$G$17,5,FALSE)/100)*X207)</f>
        <v>274.12</v>
      </c>
      <c r="AB207" s="27">
        <f>$AA207/$H207*100</f>
        <v>14.000000000000002</v>
      </c>
      <c r="AQ207" s="81"/>
      <c r="AR207" s="92"/>
    </row>
    <row r="208" spans="1:44" hidden="1" x14ac:dyDescent="0.2">
      <c r="B208" s="700" t="s">
        <v>11</v>
      </c>
      <c r="C208" s="934" t="str">
        <f>C207</f>
        <v>FIT 20-50 µg/g threshold (CRC)</v>
      </c>
      <c r="D208" s="975" t="s">
        <v>195</v>
      </c>
      <c r="E208" s="980">
        <f>VLOOKUP($B208&amp;"_"&amp;$D208,'App5 - CRUK Inci Rates'!C:H,6,FALSE)</f>
        <v>87.7</v>
      </c>
      <c r="F208" s="981">
        <f>VLOOKUP($B208&amp;"_"&amp;$D208,'App5 - CRUK Inci Rates'!C:H,3,FALSE)</f>
        <v>60.6</v>
      </c>
      <c r="G208" s="992">
        <f>VLOOKUP($B208&amp;"_"&amp;$D208,'App5 - CRUK Inci Rates'!C:J,8,FALSE)</f>
        <v>4181606</v>
      </c>
      <c r="H208" s="709">
        <f>VLOOKUP($B208&amp;"_"&amp;$D208,'App5 - CRUK Inci Rates'!C:K,9,FALSE)</f>
        <v>3094</v>
      </c>
      <c r="I208" s="935"/>
      <c r="J208" s="935"/>
      <c r="K208" s="935"/>
      <c r="L208" s="935"/>
      <c r="M208" s="935"/>
      <c r="N208" s="935"/>
      <c r="O208" s="935"/>
      <c r="P208" s="935"/>
      <c r="Q208" s="935"/>
      <c r="R208" s="935"/>
      <c r="S208" s="935"/>
      <c r="T208" s="935"/>
      <c r="U208" s="936"/>
      <c r="V208" s="937"/>
      <c r="W208" s="18">
        <f>$G208*W$184</f>
        <v>836321.20000000007</v>
      </c>
      <c r="X208" s="14">
        <f>H208*0.2</f>
        <v>618.80000000000007</v>
      </c>
      <c r="Y208" s="14">
        <f>$H208-X208</f>
        <v>2475.1999999999998</v>
      </c>
      <c r="Z208" s="14">
        <f>IF($C208="other",(1-#REF!)*X208,(1-(VLOOKUP($C208,'S3 - Screening Tool Metrics'!$C$3:$G$17,5,FALSE)/100))*X208)</f>
        <v>185.64000000000004</v>
      </c>
      <c r="AA208" s="14">
        <f>IF($C208="other",#REF!*X208,(VLOOKUP($C208,'S3 - Screening Tool Metrics'!$C$3:$G$17,5,FALSE)/100)*X208)</f>
        <v>433.16</v>
      </c>
      <c r="AB208" s="19">
        <f>$AA208/$H208*100</f>
        <v>14.000000000000002</v>
      </c>
      <c r="AQ208" s="80"/>
      <c r="AR208" s="94"/>
    </row>
    <row r="209" spans="1:44" ht="17" hidden="1" thickBot="1" x14ac:dyDescent="0.25">
      <c r="B209" s="731" t="s">
        <v>11</v>
      </c>
      <c r="C209" s="938" t="str">
        <f>C208</f>
        <v>FIT 20-50 µg/g threshold (CRC)</v>
      </c>
      <c r="D209" s="979" t="s">
        <v>230</v>
      </c>
      <c r="E209" s="990">
        <f>VLOOKUP($B209&amp;"_"&amp;$D209,'App5 - CRUK Inci Rates'!C:H,6,FALSE)</f>
        <v>66.354542653419429</v>
      </c>
      <c r="F209" s="991">
        <f>VLOOKUP($B209&amp;"_"&amp;$D209,'App5 - CRUK Inci Rates'!C:H,3,FALSE)</f>
        <v>48.212380665809548</v>
      </c>
      <c r="G209" s="996">
        <f>VLOOKUP($B209&amp;"_"&amp;$D209,'App5 - CRUK Inci Rates'!C:J,8,FALSE)</f>
        <v>8839716.6666666679</v>
      </c>
      <c r="H209" s="939">
        <f>VLOOKUP($B209&amp;"_"&amp;$D209,'App5 - CRUK Inci Rates'!C:K,9,FALSE)</f>
        <v>5052</v>
      </c>
      <c r="I209" s="940">
        <f>VLOOKUP($B209&amp;I$187&amp;$D209,'App6 - Stage-Route-Surv Data'!$E$5:$G$76,3,FALSE)+(VLOOKUP($B209&amp;J$187&amp;$D209,'App6 - Stage-Route-Surv Data'!$E$5:$G$76,3,FALSE)*(VLOOKUP($B209&amp;I$187&amp;$D209,'App6 - Stage-Route-Surv Data'!$E$5:$G$76,3,FALSE)/SUM(VLOOKUP($B209&amp;I$187&amp;$D209,'App6 - Stage-Route-Surv Data'!$E$5:$G$76,3,FALSE),VLOOKUP($B209&amp;K$187&amp;$D209,'App6 - Stage-Route-Surv Data'!$E$5:$G$76,3,FALSE),VLOOKUP($B209&amp;L$187&amp;$D209,'App6 - Stage-Route-Surv Data'!$E$5:$G$76,3,FALSE))))</f>
        <v>0.43463801483755432</v>
      </c>
      <c r="J209" s="940">
        <v>0</v>
      </c>
      <c r="K209" s="940">
        <f>VLOOKUP($B209&amp;K$187&amp;$D209,'App6 - Stage-Route-Surv Data'!$E$5:$G$76,3,FALSE)+(VLOOKUP($B209&amp;J$187&amp;$D209,'App6 - Stage-Route-Surv Data'!$E$5:$G$76,3,FALSE)*(VLOOKUP($B209&amp;K$187&amp;$D209,'App6 - Stage-Route-Surv Data'!$E$5:$G$76,3,FALSE)/SUM(VLOOKUP($B209&amp;I$187&amp;$D209,'App6 - Stage-Route-Surv Data'!$E$5:$G$76,3,FALSE),VLOOKUP($B209&amp;K$187&amp;$D209,'App6 - Stage-Route-Surv Data'!$E$5:$G$76,3,FALSE),VLOOKUP($B209&amp;L$187&amp;$D209,'App6 - Stage-Route-Surv Data'!$E$5:$G$76,3,FALSE))))</f>
        <v>0.21514453824507548</v>
      </c>
      <c r="L209" s="940">
        <f>VLOOKUP($B209&amp;L$187&amp;$D209,'App6 - Stage-Route-Surv Data'!$E$5:$G$76,3,FALSE)+(VLOOKUP($B209&amp;J$187&amp;$D209,'App6 - Stage-Route-Surv Data'!$E$5:$G$76,3,FALSE)*(VLOOKUP($B209&amp;L$187&amp;$D209,'App6 - Stage-Route-Surv Data'!$E$5:$G$76,3,FALSE)/SUM(VLOOKUP($B209&amp;I$187&amp;$D209,'App6 - Stage-Route-Surv Data'!$E$5:$G$76,3,FALSE),VLOOKUP($B209&amp;K$187&amp;$D209,'App6 - Stage-Route-Surv Data'!$E$5:$G$76,3,FALSE),VLOOKUP($B209&amp;L$187&amp;$D209,'App6 - Stage-Route-Surv Data'!$E$5:$G$76,3,FALSE))))</f>
        <v>0.35021744691737017</v>
      </c>
      <c r="M209" s="941">
        <f>(($H209*$I209)*VLOOKUP($B209&amp;$I$187&amp;M$187,'App6 - Stage-Route-Surv Data'!$L$5:$N$52,3,FALSE))+(($H209*$J209)*VLOOKUP($B209&amp;$J$187&amp;M$187,'App6 - Stage-Route-Surv Data'!$L$5:$N$52,3,FALSE))+(($H209*$K209)*VLOOKUP($B209&amp;$K$187&amp;M$187,'App6 - Stage-Route-Surv Data'!$L$5:$N$52,3,FALSE))+(($H209*$L209)*VLOOKUP($B209&amp;$L$187&amp;M$187,'App6 - Stage-Route-Surv Data'!$L$5:$N$52,3,FALSE))</f>
        <v>862.80307903941525</v>
      </c>
      <c r="N209" s="941">
        <f>(($H209*$I209)*VLOOKUP($B209&amp;$I$187&amp;N$187,'App6 - Stage-Route-Surv Data'!$L$5:$N$52,3,FALSE))+(($H209*$J209)*VLOOKUP($B209&amp;$J$187&amp;N$187,'App6 - Stage-Route-Surv Data'!$L$5:$N$52,3,FALSE))+(($H209*$K209)*VLOOKUP($B209&amp;$K$187&amp;N$187,'App6 - Stage-Route-Surv Data'!$L$5:$N$52,3,FALSE))+(($H209*$L209)*VLOOKUP($B209&amp;$L$187&amp;N$187,'App6 - Stage-Route-Surv Data'!$L$5:$N$52,3,FALSE))</f>
        <v>1294.6750782216038</v>
      </c>
      <c r="O209" s="941">
        <f>(($H209*$I209)*VLOOKUP($B209&amp;$I$187&amp;O$187,'App6 - Stage-Route-Surv Data'!$L$5:$N$52,3,FALSE))+(($H209*$J209)*VLOOKUP($B209&amp;$J$187&amp;O$187,'App6 - Stage-Route-Surv Data'!$L$5:$N$52,3,FALSE))+(($H209*$K209)*VLOOKUP($B209&amp;$K$187&amp;O$187,'App6 - Stage-Route-Surv Data'!$L$5:$N$52,3,FALSE))+(($H209*$L209)*VLOOKUP($B209&amp;$L$187&amp;O$187,'App6 - Stage-Route-Surv Data'!$L$5:$N$52,3,FALSE))</f>
        <v>1536.6538869017895</v>
      </c>
      <c r="P209" s="941">
        <f>(($H209*$I209)*VLOOKUP($B209&amp;$I$187&amp;P$187,'App6 - Stage-Route-Surv Data'!$L$5:$N$52,3,FALSE))+(($H209*$J209)*VLOOKUP($B209&amp;$J$187&amp;P$187,'App6 - Stage-Route-Surv Data'!$L$5:$N$52,3,FALSE))+(($H209*$K209)*VLOOKUP($B209&amp;$K$187&amp;P$187,'App6 - Stage-Route-Surv Data'!$L$5:$N$52,3,FALSE))+(($H209*$L209)*VLOOKUP($B209&amp;$L$187&amp;P$187,'App6 - Stage-Route-Surv Data'!$L$5:$N$52,3,FALSE))</f>
        <v>1357.8679558371914</v>
      </c>
      <c r="Q209" s="941">
        <f>M209*VLOOKUP($B209&amp;$D209&amp;Q$187,'App6 - Stage-Route-Surv Data'!$S$5:$T$40,2,FALSE)</f>
        <v>830.38247634317838</v>
      </c>
      <c r="R209" s="941">
        <f>N209*VLOOKUP($B209&amp;$D209&amp;R$187,'App6 - Stage-Route-Surv Data'!$S$5:$T$40,2,FALSE)</f>
        <v>1151.220644888514</v>
      </c>
      <c r="S209" s="941">
        <f>O209*VLOOKUP($B209&amp;$D209&amp;S$187,'App6 - Stage-Route-Surv Data'!$S$5:$T$40,2,FALSE)</f>
        <v>1152.6953058295351</v>
      </c>
      <c r="T209" s="941">
        <f>P209*VLOOKUP($B209&amp;$D209&amp;T$187,'App6 - Stage-Route-Surv Data'!$S$5:$T$40,2,FALSE)</f>
        <v>202.6708985941041</v>
      </c>
      <c r="U209" s="939">
        <f>SUM(Q209:T209)</f>
        <v>3336.9693256553319</v>
      </c>
      <c r="V209" s="942">
        <f>U209/H209</f>
        <v>0.6605244112540245</v>
      </c>
      <c r="W209" s="101">
        <f>$G209*W$184</f>
        <v>1767943.3333333337</v>
      </c>
      <c r="X209" s="98">
        <f>H209*0.2</f>
        <v>1010.4000000000001</v>
      </c>
      <c r="Y209" s="98">
        <f>$H209-X209</f>
        <v>4041.6</v>
      </c>
      <c r="Z209" s="98">
        <f>IF($C209="other",(1-#REF!)*X209,(1-(VLOOKUP($C209,'S3 - Screening Tool Metrics'!$C$3:$G$17,5,FALSE)/100))*X209)</f>
        <v>303.12000000000006</v>
      </c>
      <c r="AA209" s="98">
        <f>IF($C209="other",#REF!*X209,(VLOOKUP($C209,'S3 - Screening Tool Metrics'!$C$3:$G$17,5,FALSE)/100)*X209)</f>
        <v>707.28</v>
      </c>
      <c r="AB209" s="102">
        <f>$AA209/$H209*100</f>
        <v>13.999999999999998</v>
      </c>
      <c r="AQ209" s="104">
        <f>U231-U209</f>
        <v>111.58420851000028</v>
      </c>
      <c r="AR209" s="105">
        <f>(U231/$H209)-($U209/$H209)</f>
        <v>2.2087135492874221E-2</v>
      </c>
    </row>
    <row r="210" spans="1:44" ht="16" customHeight="1" x14ac:dyDescent="0.2">
      <c r="A210" s="1043" t="s">
        <v>404</v>
      </c>
      <c r="B210" s="948" t="s">
        <v>8</v>
      </c>
      <c r="C210" s="948"/>
      <c r="D210" s="949"/>
      <c r="E210" s="949"/>
      <c r="F210" s="950"/>
      <c r="G210" s="949"/>
      <c r="H210" s="950"/>
      <c r="I210" s="951"/>
      <c r="J210" s="951"/>
      <c r="K210" s="951"/>
      <c r="L210" s="951"/>
      <c r="M210" s="952"/>
      <c r="N210" s="952"/>
      <c r="O210" s="952"/>
      <c r="P210" s="952"/>
      <c r="Q210" s="952"/>
      <c r="R210" s="952"/>
      <c r="S210" s="952"/>
      <c r="T210" s="952"/>
      <c r="U210" s="950"/>
      <c r="V210" s="948"/>
    </row>
    <row r="211" spans="1:44" hidden="1" x14ac:dyDescent="0.2">
      <c r="A211" s="1405"/>
      <c r="B211" s="700" t="s">
        <v>8</v>
      </c>
      <c r="C211" s="973" t="s">
        <v>162</v>
      </c>
      <c r="D211" s="975" t="s">
        <v>192</v>
      </c>
      <c r="E211" s="980">
        <f>VLOOKUP($B211&amp;"_"&amp;$D211,'App5 - CRUK Inci Rates'!C:H,6,FALSE)</f>
        <v>0</v>
      </c>
      <c r="F211" s="981">
        <f>VLOOKUP($B211&amp;"_"&amp;$D211,'App5 - CRUK Inci Rates'!C:H,3,FALSE)</f>
        <v>124.6</v>
      </c>
      <c r="G211" s="992">
        <f>VLOOKUP($B211&amp;"_"&amp;$D211,'App5 - CRUK Inci Rates'!C:J,8,FALSE)</f>
        <v>2054223.3333333333</v>
      </c>
      <c r="H211" s="709">
        <f>VLOOKUP($B211&amp;"_"&amp;$D211,'App5 - CRUK Inci Rates'!C:K,9,FALSE)</f>
        <v>2559</v>
      </c>
      <c r="I211" s="935"/>
      <c r="J211" s="935"/>
      <c r="K211" s="935"/>
      <c r="L211" s="935"/>
      <c r="M211" s="935"/>
      <c r="N211" s="935"/>
      <c r="O211" s="935"/>
      <c r="P211" s="935"/>
      <c r="Q211" s="935"/>
      <c r="R211" s="935"/>
      <c r="S211" s="935"/>
      <c r="T211" s="935"/>
      <c r="U211" s="936"/>
      <c r="V211" s="933"/>
    </row>
    <row r="212" spans="1:44" hidden="1" x14ac:dyDescent="0.2">
      <c r="A212" s="1405"/>
      <c r="B212" s="700" t="s">
        <v>8</v>
      </c>
      <c r="C212" s="934" t="str">
        <f>$C211</f>
        <v>Digital mammography</v>
      </c>
      <c r="D212" s="975" t="s">
        <v>193</v>
      </c>
      <c r="E212" s="980">
        <f>VLOOKUP($B212&amp;"_"&amp;$D212,'App5 - CRUK Inci Rates'!C:H,6,FALSE)</f>
        <v>0</v>
      </c>
      <c r="F212" s="981">
        <f>VLOOKUP($B212&amp;"_"&amp;$D212,'App5 - CRUK Inci Rates'!C:H,3,FALSE)</f>
        <v>214.8</v>
      </c>
      <c r="G212" s="992">
        <f>VLOOKUP($B212&amp;"_"&amp;$D212,'App5 - CRUK Inci Rates'!C:J,8,FALSE)</f>
        <v>2315479.3333333335</v>
      </c>
      <c r="H212" s="709">
        <f>VLOOKUP($B212&amp;"_"&amp;$D212,'App5 - CRUK Inci Rates'!C:K,9,FALSE)</f>
        <v>4974</v>
      </c>
      <c r="I212" s="935"/>
      <c r="J212" s="935"/>
      <c r="K212" s="935"/>
      <c r="L212" s="935"/>
      <c r="M212" s="935"/>
      <c r="N212" s="935"/>
      <c r="O212" s="935"/>
      <c r="P212" s="935"/>
      <c r="Q212" s="935"/>
      <c r="R212" s="935"/>
      <c r="S212" s="935"/>
      <c r="T212" s="935"/>
      <c r="U212" s="936"/>
      <c r="V212" s="937"/>
    </row>
    <row r="213" spans="1:44" x14ac:dyDescent="0.2">
      <c r="A213" s="1405"/>
      <c r="B213" s="974" t="s">
        <v>8</v>
      </c>
      <c r="C213" s="960" t="str">
        <f>$C212</f>
        <v>Digital mammography</v>
      </c>
      <c r="D213" s="976" t="s">
        <v>229</v>
      </c>
      <c r="E213" s="982">
        <f>VLOOKUP($B213&amp;"_"&amp;$D213,'App5 - CRUK Inci Rates'!C:H,6,FALSE)</f>
        <v>0</v>
      </c>
      <c r="F213" s="983">
        <f>VLOOKUP($B213&amp;"_"&amp;$D213,'App5 - CRUK Inci Rates'!C:H,3,FALSE)</f>
        <v>172.40296040749985</v>
      </c>
      <c r="G213" s="993">
        <f>VLOOKUP($B213&amp;"_"&amp;$D213,'App5 - CRUK Inci Rates'!C:J,8,FALSE)</f>
        <v>4369702.666666667</v>
      </c>
      <c r="H213" s="944">
        <f>VLOOKUP($B213&amp;"_"&amp;$D213,'App5 - CRUK Inci Rates'!C:K,9,FALSE)</f>
        <v>7533</v>
      </c>
      <c r="I213" s="945">
        <f>(1-J213)*($I191/SUM($I191,$K191,$L191))</f>
        <v>0.70267522935779814</v>
      </c>
      <c r="J213" s="945">
        <f>AA191/$H191</f>
        <v>0.14000000000000001</v>
      </c>
      <c r="K213" s="945">
        <f>(1-J213)*($K191/SUM($I191,$K191,$L191))</f>
        <v>1.5464220183486237E-2</v>
      </c>
      <c r="L213" s="945">
        <f>(1-J213)*($L191/SUM($I191,$K191,$L191))</f>
        <v>0.1418605504587156</v>
      </c>
      <c r="M213" s="946">
        <f>(($H191*$I213)*VLOOKUP($B191&amp;$AC$187&amp;AG$187,'App6 - Stage-Route-Surv Data'!$L$5:$N$52,3,FALSE))+(($H191*$J213)*VLOOKUP($B191&amp;$AD$187&amp;AG$187,'App6 - Stage-Route-Surv Data'!$L$5:$N$52,3,FALSE))+(($H191*$K213)*VLOOKUP($B191&amp;$AE$187&amp;AG$187,'App6 - Stage-Route-Surv Data'!$L$5:$N$52,3,FALSE))+(($H191*$L213)*VLOOKUP($B191&amp;$AF$187&amp;AG$187,'App6 - Stage-Route-Surv Data'!$L$5:$N$52,3,FALSE))</f>
        <v>2863.8507129464097</v>
      </c>
      <c r="N213" s="946">
        <f>(($H191*$I213)*VLOOKUP($B191&amp;$AC$187&amp;AH$187,'App6 - Stage-Route-Surv Data'!$L$5:$N$52,3,FALSE))+(($H191*$J213)*VLOOKUP($B191&amp;$AD$187&amp;AH$187,'App6 - Stage-Route-Surv Data'!$L$5:$N$52,3,FALSE))+(($H191*$K213)*VLOOKUP($B191&amp;$AE$187&amp;AH$187,'App6 - Stage-Route-Surv Data'!$L$5:$N$52,3,FALSE))+(($H191*$L213)*VLOOKUP($B191&amp;$AF$187&amp;AH$187,'App6 - Stage-Route-Surv Data'!$L$5:$N$52,3,FALSE))</f>
        <v>3441.7329605917794</v>
      </c>
      <c r="O213" s="946">
        <f>(($H191*$I213)*VLOOKUP($B191&amp;$AC$187&amp;AI$187,'App6 - Stage-Route-Surv Data'!$L$5:$N$52,3,FALSE))+(($H191*$J213)*VLOOKUP($B191&amp;$AD$187&amp;AI$187,'App6 - Stage-Route-Surv Data'!$L$5:$N$52,3,FALSE))+(($H191*$K213)*VLOOKUP($B191&amp;$AE$187&amp;AI$187,'App6 - Stage-Route-Surv Data'!$L$5:$N$52,3,FALSE))+(($H191*$L213)*VLOOKUP($B191&amp;$AF$187&amp;AI$187,'App6 - Stage-Route-Surv Data'!$L$5:$N$52,3,FALSE))</f>
        <v>795.24364289761638</v>
      </c>
      <c r="P213" s="946">
        <f>(($H191*$I213)*VLOOKUP($B191&amp;$AC$187&amp;AJ$187,'App6 - Stage-Route-Surv Data'!$L$5:$N$52,3,FALSE))+(($H191*$J213)*VLOOKUP($B191&amp;$AD$187&amp;AJ$187,'App6 - Stage-Route-Surv Data'!$L$5:$N$52,3,FALSE))+(($H191*$K213)*VLOOKUP($B191&amp;$AE$187&amp;AJ$187,'App6 - Stage-Route-Surv Data'!$L$5:$N$52,3,FALSE))+(($H191*$L213)*VLOOKUP($B191&amp;$AF$187&amp;AJ$187,'App6 - Stage-Route-Surv Data'!$L$5:$N$52,3,FALSE))</f>
        <v>432.49952542662396</v>
      </c>
      <c r="Q213" s="946">
        <f>M213*VLOOKUP($B191&amp;$D191&amp;AK$187,'App6 - Stage-Route-Surv Data'!$S$5:$T$40,2,FALSE)</f>
        <v>2813.2542217214641</v>
      </c>
      <c r="R213" s="946">
        <f>N213*VLOOKUP($B191&amp;$D191&amp;AL$187,'App6 - Stage-Route-Surv Data'!$S$5:$T$40,2,FALSE)</f>
        <v>3219.566901475554</v>
      </c>
      <c r="S213" s="946">
        <f>O213*VLOOKUP($B191&amp;$D191&amp;AM$187,'App6 - Stage-Route-Surv Data'!$S$5:$T$40,2,FALSE)</f>
        <v>661.38567317697539</v>
      </c>
      <c r="T213" s="946">
        <f>P213*VLOOKUP($B191&amp;$D191&amp;AN$187,'App6 - Stage-Route-Surv Data'!$S$5:$T$40,2,FALSE)</f>
        <v>199.19887470514482</v>
      </c>
      <c r="U213" s="944">
        <f>SUM(Q213:T213)</f>
        <v>6893.4056710791383</v>
      </c>
      <c r="V213" s="947">
        <f>U213/H191</f>
        <v>0.91509434104329457</v>
      </c>
    </row>
    <row r="214" spans="1:44" x14ac:dyDescent="0.2">
      <c r="A214" s="1405"/>
      <c r="B214" s="953" t="s">
        <v>10</v>
      </c>
      <c r="C214" s="965"/>
      <c r="D214" s="966"/>
      <c r="E214" s="966"/>
      <c r="F214" s="967"/>
      <c r="G214" s="968"/>
      <c r="H214" s="969"/>
      <c r="I214" s="970"/>
      <c r="J214" s="970"/>
      <c r="K214" s="970"/>
      <c r="L214" s="970"/>
      <c r="M214" s="971"/>
      <c r="N214" s="971"/>
      <c r="O214" s="971"/>
      <c r="P214" s="971"/>
      <c r="Q214" s="971"/>
      <c r="R214" s="971"/>
      <c r="S214" s="971"/>
      <c r="T214" s="971"/>
      <c r="U214" s="971"/>
      <c r="V214" s="972"/>
    </row>
    <row r="215" spans="1:44" hidden="1" x14ac:dyDescent="0.2">
      <c r="A215" s="1405"/>
      <c r="B215" s="700" t="s">
        <v>10</v>
      </c>
      <c r="C215" s="720" t="s">
        <v>266</v>
      </c>
      <c r="D215" s="975" t="s">
        <v>194</v>
      </c>
      <c r="E215" s="980">
        <f>VLOOKUP($B215&amp;"_"&amp;$D215,'App5 - CRUK Inci Rates'!C:H,6,FALSE)</f>
        <v>75.7</v>
      </c>
      <c r="F215" s="981">
        <f>VLOOKUP($B215&amp;"_"&amp;$D215,'App5 - CRUK Inci Rates'!C:H,3,FALSE)</f>
        <v>0</v>
      </c>
      <c r="G215" s="992">
        <f>VLOOKUP($B215&amp;"_"&amp;$D215,'App5 - CRUK Inci Rates'!C:J,8,FALSE)</f>
        <v>2293472.6666666665</v>
      </c>
      <c r="H215" s="709">
        <f>VLOOKUP($B215&amp;"_"&amp;$D215,'App5 - CRUK Inci Rates'!C:K,9,FALSE)</f>
        <v>1737</v>
      </c>
      <c r="I215" s="935"/>
      <c r="J215" s="935"/>
      <c r="K215" s="935"/>
      <c r="L215" s="935"/>
      <c r="M215" s="935"/>
      <c r="N215" s="935"/>
      <c r="O215" s="935"/>
      <c r="P215" s="935"/>
      <c r="Q215" s="935"/>
      <c r="R215" s="935"/>
      <c r="S215" s="935"/>
      <c r="T215" s="935"/>
      <c r="U215" s="936"/>
      <c r="V215" s="937"/>
    </row>
    <row r="216" spans="1:44" hidden="1" x14ac:dyDescent="0.2">
      <c r="A216" s="1405"/>
      <c r="B216" s="700" t="s">
        <v>10</v>
      </c>
      <c r="C216" s="721" t="str">
        <f>C215</f>
        <v>mpMRI</v>
      </c>
      <c r="D216" s="975" t="s">
        <v>195</v>
      </c>
      <c r="E216" s="980">
        <f>VLOOKUP($B216&amp;"_"&amp;$D216,'App5 - CRUK Inci Rates'!C:H,6,FALSE)</f>
        <v>201.8</v>
      </c>
      <c r="F216" s="981">
        <f>VLOOKUP($B216&amp;"_"&amp;$D216,'App5 - CRUK Inci Rates'!C:H,3,FALSE)</f>
        <v>0</v>
      </c>
      <c r="G216" s="992">
        <f>VLOOKUP($B216&amp;"_"&amp;$D216,'App5 - CRUK Inci Rates'!C:J,8,FALSE)</f>
        <v>2061918.6666666667</v>
      </c>
      <c r="H216" s="709">
        <f>VLOOKUP($B216&amp;"_"&amp;$D216,'App5 - CRUK Inci Rates'!C:K,9,FALSE)</f>
        <v>4160</v>
      </c>
      <c r="I216" s="935"/>
      <c r="J216" s="935"/>
      <c r="K216" s="935"/>
      <c r="L216" s="935"/>
      <c r="M216" s="935"/>
      <c r="N216" s="935"/>
      <c r="O216" s="935"/>
      <c r="P216" s="935"/>
      <c r="Q216" s="935"/>
      <c r="R216" s="935"/>
      <c r="S216" s="935"/>
      <c r="T216" s="935"/>
      <c r="U216" s="936"/>
      <c r="V216" s="937"/>
    </row>
    <row r="217" spans="1:44" x14ac:dyDescent="0.2">
      <c r="A217" s="1405"/>
      <c r="B217" s="700" t="s">
        <v>10</v>
      </c>
      <c r="C217" s="721" t="str">
        <f t="shared" ref="C217:C220" si="46">C216</f>
        <v>mpMRI</v>
      </c>
      <c r="D217" s="976" t="s">
        <v>230</v>
      </c>
      <c r="E217" s="982">
        <f>VLOOKUP($B217&amp;"_"&amp;$D217,'App5 - CRUK Inci Rates'!C:H,6,FALSE)</f>
        <v>135.39541108208113</v>
      </c>
      <c r="F217" s="983">
        <f>VLOOKUP($B217&amp;"_"&amp;$D217,'App5 - CRUK Inci Rates'!C:H,3,FALSE)</f>
        <v>0</v>
      </c>
      <c r="G217" s="993">
        <f>VLOOKUP($B217&amp;"_"&amp;$D217,'App5 - CRUK Inci Rates'!C:J,8,FALSE)</f>
        <v>4355391.333333333</v>
      </c>
      <c r="H217" s="944">
        <f>VLOOKUP($B217&amp;"_"&amp;$D217,'App5 - CRUK Inci Rates'!C:K,9,FALSE)</f>
        <v>5897</v>
      </c>
      <c r="I217" s="945">
        <f>(1-J217)*($I195/SUM($I195,$K195,$L195))</f>
        <v>0.48701522309711281</v>
      </c>
      <c r="J217" s="945">
        <f>AA195/$H195</f>
        <v>0.17800000000000002</v>
      </c>
      <c r="K217" s="945">
        <f>(1-J217)*($K195/SUM($I195,$K195,$L195))</f>
        <v>2.1143307086614171E-2</v>
      </c>
      <c r="L217" s="945">
        <f>(1-J217)*($L195/SUM($I195,$K195,$L195))</f>
        <v>0.31384146981627292</v>
      </c>
      <c r="M217" s="946">
        <f>(($H195*$I217)*VLOOKUP($B195&amp;$AC$187&amp;AG$187,'App6 - Stage-Route-Surv Data'!$L$5:$N$52,3,FALSE))+(($H195*$J217)*VLOOKUP($B195&amp;$AD$187&amp;AG$187,'App6 - Stage-Route-Surv Data'!$L$5:$N$52,3,FALSE))+(($H195*$K217)*VLOOKUP($B195&amp;$AE$187&amp;AG$187,'App6 - Stage-Route-Surv Data'!$L$5:$N$52,3,FALSE))+(($H195*$L217)*VLOOKUP($B195&amp;$AF$187&amp;AG$187,'App6 - Stage-Route-Surv Data'!$L$5:$N$52,3,FALSE))</f>
        <v>2583.9705928086437</v>
      </c>
      <c r="N217" s="946">
        <f>(($H195*$I217)*VLOOKUP($B195&amp;$AC$187&amp;AH$187,'App6 - Stage-Route-Surv Data'!$L$5:$N$52,3,FALSE))+(($H195*$J217)*VLOOKUP($B195&amp;$AD$187&amp;AH$187,'App6 - Stage-Route-Surv Data'!$L$5:$N$52,3,FALSE))+(($H195*$K217)*VLOOKUP($B195&amp;$AE$187&amp;AH$187,'App6 - Stage-Route-Surv Data'!$L$5:$N$52,3,FALSE))+(($H195*$L217)*VLOOKUP($B195&amp;$AF$187&amp;AH$187,'App6 - Stage-Route-Surv Data'!$L$5:$N$52,3,FALSE))</f>
        <v>1047.6426045245703</v>
      </c>
      <c r="O217" s="946">
        <f>(($H195*$I217)*VLOOKUP($B195&amp;$AC$187&amp;AI$187,'App6 - Stage-Route-Surv Data'!$L$5:$N$52,3,FALSE))+(($H195*$J217)*VLOOKUP($B195&amp;$AD$187&amp;AI$187,'App6 - Stage-Route-Surv Data'!$L$5:$N$52,3,FALSE))+(($H195*$K217)*VLOOKUP($B195&amp;$AE$187&amp;AI$187,'App6 - Stage-Route-Surv Data'!$L$5:$N$52,3,FALSE))+(($H195*$L217)*VLOOKUP($B195&amp;$AF$187&amp;AI$187,'App6 - Stage-Route-Surv Data'!$L$5:$N$52,3,FALSE))</f>
        <v>1385.4018351494826</v>
      </c>
      <c r="P217" s="946">
        <f>(($H195*$I217)*VLOOKUP($B195&amp;$AC$187&amp;AJ$187,'App6 - Stage-Route-Surv Data'!$L$5:$N$52,3,FALSE))+(($H195*$J217)*VLOOKUP($B195&amp;$AD$187&amp;AJ$187,'App6 - Stage-Route-Surv Data'!$L$5:$N$52,3,FALSE))+(($H195*$K217)*VLOOKUP($B195&amp;$AE$187&amp;AJ$187,'App6 - Stage-Route-Surv Data'!$L$5:$N$52,3,FALSE))+(($H195*$L217)*VLOOKUP($B195&amp;$AF$187&amp;AJ$187,'App6 - Stage-Route-Surv Data'!$L$5:$N$52,3,FALSE))</f>
        <v>879.98496751730283</v>
      </c>
      <c r="Q217" s="946">
        <f>M217*VLOOKUP($B195&amp;$D195&amp;AK$187,'App6 - Stage-Route-Surv Data'!$S$5:$T$40,2,FALSE)</f>
        <v>2583.9705928086437</v>
      </c>
      <c r="R217" s="946">
        <f>N217*VLOOKUP($B195&amp;$D195&amp;AL$187,'App6 - Stage-Route-Surv Data'!$S$5:$T$40,2,FALSE)</f>
        <v>1047.6426045245703</v>
      </c>
      <c r="S217" s="946">
        <f>O217*VLOOKUP($B195&amp;$D195&amp;AM$187,'App6 - Stage-Route-Surv Data'!$S$5:$T$40,2,FALSE)</f>
        <v>1357.693798446493</v>
      </c>
      <c r="T217" s="946">
        <f>P217*VLOOKUP($B195&amp;$D195&amp;AN$187,'App6 - Stage-Route-Surv Data'!$S$5:$T$40,2,FALSE)</f>
        <v>466.39203278417051</v>
      </c>
      <c r="U217" s="944">
        <f>SUM(Q217:T217)</f>
        <v>5455.6990285638776</v>
      </c>
      <c r="V217" s="947">
        <f>U217/H195</f>
        <v>0.92516517357366079</v>
      </c>
    </row>
    <row r="218" spans="1:44" hidden="1" x14ac:dyDescent="0.2">
      <c r="A218" s="1405"/>
      <c r="B218" s="700" t="s">
        <v>10</v>
      </c>
      <c r="C218" s="721" t="str">
        <f t="shared" si="46"/>
        <v>mpMRI</v>
      </c>
      <c r="D218" s="975" t="s">
        <v>196</v>
      </c>
      <c r="E218" s="984">
        <f>VLOOKUP($B218&amp;"_"&amp;$D218,'App5 - CRUK Inci Rates'!C:H,6,FALSE)</f>
        <v>356.1</v>
      </c>
      <c r="F218" s="981">
        <f>VLOOKUP($B218&amp;"_"&amp;$D218,'App5 - CRUK Inci Rates'!C:H,3,FALSE)</f>
        <v>0</v>
      </c>
      <c r="G218" s="992">
        <f>VLOOKUP($B218&amp;"_"&amp;$D218,'App5 - CRUK Inci Rates'!C:J,8,FALSE)</f>
        <v>1764828</v>
      </c>
      <c r="H218" s="709">
        <f>VLOOKUP($B218&amp;"_"&amp;$D218,'App5 - CRUK Inci Rates'!C:K,9,FALSE)</f>
        <v>6285</v>
      </c>
      <c r="I218" s="935"/>
      <c r="J218" s="935"/>
      <c r="K218" s="935"/>
      <c r="L218" s="935"/>
      <c r="M218" s="935"/>
      <c r="N218" s="935"/>
      <c r="O218" s="935"/>
      <c r="P218" s="935"/>
      <c r="Q218" s="935"/>
      <c r="R218" s="935"/>
      <c r="S218" s="935"/>
      <c r="T218" s="935"/>
      <c r="U218" s="936"/>
      <c r="V218" s="937"/>
    </row>
    <row r="219" spans="1:44" hidden="1" x14ac:dyDescent="0.2">
      <c r="A219" s="1405"/>
      <c r="B219" s="700" t="s">
        <v>10</v>
      </c>
      <c r="C219" s="721" t="str">
        <f t="shared" si="46"/>
        <v>mpMRI</v>
      </c>
      <c r="D219" s="975" t="s">
        <v>197</v>
      </c>
      <c r="E219" s="985">
        <f>VLOOKUP($B219&amp;"_"&amp;$D219,'App5 - CRUK Inci Rates'!C:H,6,FALSE)</f>
        <v>622.70000000000005</v>
      </c>
      <c r="F219" s="981">
        <f>VLOOKUP($B219&amp;"_"&amp;$D219,'App5 - CRUK Inci Rates'!C:H,3,FALSE)</f>
        <v>0</v>
      </c>
      <c r="G219" s="992">
        <f>VLOOKUP($B219&amp;"_"&amp;$D219,'App5 - CRUK Inci Rates'!C:J,8,FALSE)</f>
        <v>1696993.3333333333</v>
      </c>
      <c r="H219" s="709">
        <f>VLOOKUP($B219&amp;"_"&amp;$D219,'App5 - CRUK Inci Rates'!C:K,9,FALSE)</f>
        <v>10568</v>
      </c>
      <c r="I219" s="935"/>
      <c r="J219" s="935"/>
      <c r="K219" s="935"/>
      <c r="L219" s="935"/>
      <c r="M219" s="935"/>
      <c r="N219" s="935"/>
      <c r="O219" s="935"/>
      <c r="P219" s="935"/>
      <c r="Q219" s="935"/>
      <c r="R219" s="935"/>
      <c r="S219" s="935"/>
      <c r="T219" s="935"/>
      <c r="U219" s="936"/>
      <c r="V219" s="937"/>
    </row>
    <row r="220" spans="1:44" x14ac:dyDescent="0.2">
      <c r="A220" s="1405"/>
      <c r="B220" s="961" t="s">
        <v>10</v>
      </c>
      <c r="C220" s="960" t="str">
        <f t="shared" si="46"/>
        <v>mpMRI</v>
      </c>
      <c r="D220" s="976" t="s">
        <v>239</v>
      </c>
      <c r="E220" s="982">
        <f>VLOOKUP($B220&amp;"_"&amp;$D220,'App5 - CRUK Inci Rates'!C:H,6,FALSE)</f>
        <v>486.82466185429951</v>
      </c>
      <c r="F220" s="983">
        <f>VLOOKUP($B220&amp;"_"&amp;$D220,'App5 - CRUK Inci Rates'!C:H,3,FALSE)</f>
        <v>0</v>
      </c>
      <c r="G220" s="993">
        <f>VLOOKUP($B220&amp;"_"&amp;$D220,'App5 - CRUK Inci Rates'!C:J,8,FALSE)</f>
        <v>3461821.333333333</v>
      </c>
      <c r="H220" s="944">
        <f>VLOOKUP($B220&amp;"_"&amp;$D220,'App5 - CRUK Inci Rates'!C:K,9,FALSE)</f>
        <v>16853</v>
      </c>
      <c r="I220" s="945">
        <f>(1-J220)*($I198/SUM($I198,$K198,$L198))</f>
        <v>0.4973064970825411</v>
      </c>
      <c r="J220" s="945">
        <f>AA198/$H198</f>
        <v>0.17800000000000002</v>
      </c>
      <c r="K220" s="945">
        <f>(1-J220)*($K198/SUM($I198,$K198,$L198))</f>
        <v>2.5598242968596339E-2</v>
      </c>
      <c r="L220" s="945">
        <f>(1-J220)*($L198/SUM($I198,$K198,$L198))</f>
        <v>0.29909525994886249</v>
      </c>
      <c r="M220" s="946">
        <f>(($H198*$I220)*VLOOKUP($B198&amp;$AC$187&amp;AG$187,'App6 - Stage-Route-Surv Data'!$L$5:$N$52,3,FALSE))+(($H198*$J220)*VLOOKUP($B198&amp;$AD$187&amp;AG$187,'App6 - Stage-Route-Surv Data'!$L$5:$N$52,3,FALSE))+(($H198*$K220)*VLOOKUP($B198&amp;$AE$187&amp;AG$187,'App6 - Stage-Route-Surv Data'!$L$5:$N$52,3,FALSE))+(($H198*$L220)*VLOOKUP($B198&amp;$AF$187&amp;AG$187,'App6 - Stage-Route-Surv Data'!$L$5:$N$52,3,FALSE))</f>
        <v>7337.083930115572</v>
      </c>
      <c r="N220" s="946">
        <f>(($H198*$I220)*VLOOKUP($B198&amp;$AC$187&amp;AH$187,'App6 - Stage-Route-Surv Data'!$L$5:$N$52,3,FALSE))+(($H198*$J220)*VLOOKUP($B198&amp;$AD$187&amp;AH$187,'App6 - Stage-Route-Surv Data'!$L$5:$N$52,3,FALSE))+(($H198*$K220)*VLOOKUP($B198&amp;$AE$187&amp;AH$187,'App6 - Stage-Route-Surv Data'!$L$5:$N$52,3,FALSE))+(($H198*$L220)*VLOOKUP($B198&amp;$AF$187&amp;AH$187,'App6 - Stage-Route-Surv Data'!$L$5:$N$52,3,FALSE))</f>
        <v>2981.8607088677591</v>
      </c>
      <c r="O220" s="946">
        <f>(($H198*$I220)*VLOOKUP($B198&amp;$AC$187&amp;AI$187,'App6 - Stage-Route-Surv Data'!$L$5:$N$52,3,FALSE))+(($H198*$J220)*VLOOKUP($B198&amp;$AD$187&amp;AI$187,'App6 - Stage-Route-Surv Data'!$L$5:$N$52,3,FALSE))+(($H198*$K220)*VLOOKUP($B198&amp;$AE$187&amp;AI$187,'App6 - Stage-Route-Surv Data'!$L$5:$N$52,3,FALSE))+(($H198*$L220)*VLOOKUP($B198&amp;$AF$187&amp;AI$187,'App6 - Stage-Route-Surv Data'!$L$5:$N$52,3,FALSE))</f>
        <v>3964.1790893542866</v>
      </c>
      <c r="P220" s="946">
        <f>(($H198*$I220)*VLOOKUP($B198&amp;$AC$187&amp;AJ$187,'App6 - Stage-Route-Surv Data'!$L$5:$N$52,3,FALSE))+(($H198*$J220)*VLOOKUP($B198&amp;$AD$187&amp;AJ$187,'App6 - Stage-Route-Surv Data'!$L$5:$N$52,3,FALSE))+(($H198*$K220)*VLOOKUP($B198&amp;$AE$187&amp;AJ$187,'App6 - Stage-Route-Surv Data'!$L$5:$N$52,3,FALSE))+(($H198*$L220)*VLOOKUP($B198&amp;$AF$187&amp;AJ$187,'App6 - Stage-Route-Surv Data'!$L$5:$N$52,3,FALSE))</f>
        <v>2569.8762716623792</v>
      </c>
      <c r="Q220" s="946">
        <f>M220*VLOOKUP($B198&amp;$D198&amp;AK$187,'App6 - Stage-Route-Surv Data'!$S$5:$T$40,2,FALSE)</f>
        <v>7410.4547694167277</v>
      </c>
      <c r="R220" s="946">
        <f>N220*VLOOKUP($B198&amp;$D198&amp;AL$187,'App6 - Stage-Route-Surv Data'!$S$5:$T$40,2,FALSE)</f>
        <v>2981.8607088677591</v>
      </c>
      <c r="S220" s="946">
        <f>O220*VLOOKUP($B198&amp;$D198&amp;AM$187,'App6 - Stage-Route-Surv Data'!$S$5:$T$40,2,FALSE)</f>
        <v>3924.5372984607438</v>
      </c>
      <c r="T220" s="946">
        <f>P220*VLOOKUP($B198&amp;$D198&amp;AN$187,'App6 - Stage-Route-Surv Data'!$S$5:$T$40,2,FALSE)</f>
        <v>1464.829474847556</v>
      </c>
      <c r="U220" s="944">
        <f>SUM(Q220:T220)</f>
        <v>15781.682251592787</v>
      </c>
      <c r="V220" s="947">
        <f>U220/H198</f>
        <v>0.93643162947800318</v>
      </c>
    </row>
    <row r="221" spans="1:44" ht="17" hidden="1" thickBot="1" x14ac:dyDescent="0.25">
      <c r="A221" s="1405"/>
      <c r="B221" s="956" t="s">
        <v>10</v>
      </c>
      <c r="C221" s="957"/>
      <c r="D221" s="977"/>
      <c r="E221" s="986"/>
      <c r="F221" s="987"/>
      <c r="G221" s="994"/>
      <c r="H221" s="962"/>
      <c r="I221" s="963"/>
      <c r="J221" s="963"/>
      <c r="K221" s="963"/>
      <c r="L221" s="963"/>
      <c r="M221" s="963"/>
      <c r="N221" s="963"/>
      <c r="O221" s="963"/>
      <c r="P221" s="963"/>
      <c r="Q221" s="963"/>
      <c r="R221" s="963"/>
      <c r="S221" s="963"/>
      <c r="T221" s="963"/>
      <c r="U221" s="964"/>
      <c r="V221" s="943"/>
    </row>
    <row r="222" spans="1:44" hidden="1" x14ac:dyDescent="0.2">
      <c r="A222" s="1405"/>
      <c r="B222" s="700" t="s">
        <v>10</v>
      </c>
      <c r="C222" s="720" t="s">
        <v>172</v>
      </c>
      <c r="D222" s="975" t="s">
        <v>194</v>
      </c>
      <c r="E222" s="980">
        <f>VLOOKUP($B222&amp;"_"&amp;$D222,'App5 - CRUK Inci Rates'!C:H,6,FALSE)</f>
        <v>75.7</v>
      </c>
      <c r="F222" s="981">
        <f>VLOOKUP($B222&amp;"_"&amp;$D222,'App5 - CRUK Inci Rates'!C:H,3,FALSE)</f>
        <v>0</v>
      </c>
      <c r="G222" s="992">
        <f>VLOOKUP($B222&amp;"_"&amp;$D222,'App5 - CRUK Inci Rates'!C:J,8,FALSE)</f>
        <v>2293472.6666666665</v>
      </c>
      <c r="H222" s="709">
        <f>VLOOKUP($B222&amp;"_"&amp;$D222,'App5 - CRUK Inci Rates'!C:K,9,FALSE)</f>
        <v>1737</v>
      </c>
      <c r="I222" s="935"/>
      <c r="J222" s="935"/>
      <c r="K222" s="935"/>
      <c r="L222" s="935"/>
      <c r="M222" s="935"/>
      <c r="N222" s="935"/>
      <c r="O222" s="935"/>
      <c r="P222" s="935"/>
      <c r="Q222" s="935"/>
      <c r="R222" s="935"/>
      <c r="S222" s="935"/>
      <c r="T222" s="935"/>
      <c r="U222" s="936"/>
      <c r="V222" s="937"/>
    </row>
    <row r="223" spans="1:44" hidden="1" x14ac:dyDescent="0.2">
      <c r="A223" s="1405"/>
      <c r="B223" s="700" t="s">
        <v>10</v>
      </c>
      <c r="C223" s="721" t="str">
        <f>C222</f>
        <v>PSA_3ng/mL cut-off</v>
      </c>
      <c r="D223" s="975" t="s">
        <v>195</v>
      </c>
      <c r="E223" s="980">
        <f>VLOOKUP($B223&amp;"_"&amp;$D223,'App5 - CRUK Inci Rates'!C:H,6,FALSE)</f>
        <v>201.8</v>
      </c>
      <c r="F223" s="981">
        <f>VLOOKUP($B223&amp;"_"&amp;$D223,'App5 - CRUK Inci Rates'!C:H,3,FALSE)</f>
        <v>0</v>
      </c>
      <c r="G223" s="992">
        <f>VLOOKUP($B223&amp;"_"&amp;$D223,'App5 - CRUK Inci Rates'!C:J,8,FALSE)</f>
        <v>2061918.6666666667</v>
      </c>
      <c r="H223" s="709">
        <f>VLOOKUP($B223&amp;"_"&amp;$D223,'App5 - CRUK Inci Rates'!C:K,9,FALSE)</f>
        <v>4160</v>
      </c>
      <c r="I223" s="935"/>
      <c r="J223" s="935"/>
      <c r="K223" s="935"/>
      <c r="L223" s="935"/>
      <c r="M223" s="935"/>
      <c r="N223" s="935"/>
      <c r="O223" s="935"/>
      <c r="P223" s="935"/>
      <c r="Q223" s="935"/>
      <c r="R223" s="935"/>
      <c r="S223" s="935"/>
      <c r="T223" s="935"/>
      <c r="U223" s="936"/>
      <c r="V223" s="937"/>
    </row>
    <row r="224" spans="1:44" x14ac:dyDescent="0.2">
      <c r="A224" s="1405"/>
      <c r="B224" s="958" t="s">
        <v>10</v>
      </c>
      <c r="C224" s="959" t="str">
        <f t="shared" ref="C224:C227" si="47">C223</f>
        <v>PSA_3ng/mL cut-off</v>
      </c>
      <c r="D224" s="976" t="s">
        <v>230</v>
      </c>
      <c r="E224" s="982">
        <f>VLOOKUP($B224&amp;"_"&amp;$D224,'App5 - CRUK Inci Rates'!C:H,6,FALSE)</f>
        <v>135.39541108208113</v>
      </c>
      <c r="F224" s="983">
        <f>VLOOKUP($B224&amp;"_"&amp;$D224,'App5 - CRUK Inci Rates'!C:H,3,FALSE)</f>
        <v>0</v>
      </c>
      <c r="G224" s="993">
        <f>VLOOKUP($B224&amp;"_"&amp;$D224,'App5 - CRUK Inci Rates'!C:J,8,FALSE)</f>
        <v>4355391.333333333</v>
      </c>
      <c r="H224" s="944">
        <f>VLOOKUP($B224&amp;"_"&amp;$D224,'App5 - CRUK Inci Rates'!C:K,9,FALSE)</f>
        <v>5897</v>
      </c>
      <c r="I224" s="945">
        <f>(1-J224)*($I202/SUM($I202,$K202,$L202))</f>
        <v>0.55455748031496055</v>
      </c>
      <c r="J224" s="945">
        <f>AA202/$H202</f>
        <v>6.4000000000000001E-2</v>
      </c>
      <c r="K224" s="945">
        <f>(1-J224)*($K202/SUM($I202,$K202,$L202))</f>
        <v>2.4075590551181102E-2</v>
      </c>
      <c r="L224" s="945">
        <f>(1-J224)*($L202/SUM($I202,$K202,$L202))</f>
        <v>0.35736692913385826</v>
      </c>
      <c r="M224" s="946">
        <f>(($H202*$I224)*VLOOKUP($B202&amp;$AC$187&amp;AG$187,'App6 - Stage-Route-Surv Data'!$L$5:$N$52,3,FALSE))+(($H202*$J224)*VLOOKUP($B202&amp;$AD$187&amp;AG$187,'App6 - Stage-Route-Surv Data'!$L$5:$N$52,3,FALSE))+(($H202*$K224)*VLOOKUP($B202&amp;$AE$187&amp;AG$187,'App6 - Stage-Route-Surv Data'!$L$5:$N$52,3,FALSE))+(($H202*$L224)*VLOOKUP($B202&amp;$AF$187&amp;AG$187,'App6 - Stage-Route-Surv Data'!$L$5:$N$52,3,FALSE))</f>
        <v>2456.261446266612</v>
      </c>
      <c r="N224" s="946">
        <f>(($H202*$I224)*VLOOKUP($B202&amp;$AC$187&amp;AH$187,'App6 - Stage-Route-Surv Data'!$L$5:$N$52,3,FALSE))+(($H202*$J224)*VLOOKUP($B202&amp;$AD$187&amp;AH$187,'App6 - Stage-Route-Surv Data'!$L$5:$N$52,3,FALSE))+(($H202*$K224)*VLOOKUP($B202&amp;$AE$187&amp;AH$187,'App6 - Stage-Route-Surv Data'!$L$5:$N$52,3,FALSE))+(($H202*$L224)*VLOOKUP($B202&amp;$AF$187&amp;AH$187,'App6 - Stage-Route-Surv Data'!$L$5:$N$52,3,FALSE))</f>
        <v>959.84208129542355</v>
      </c>
      <c r="O224" s="946">
        <f>(($H202*$I224)*VLOOKUP($B202&amp;$AC$187&amp;AI$187,'App6 - Stage-Route-Surv Data'!$L$5:$N$52,3,FALSE))+(($H202*$J224)*VLOOKUP($B202&amp;$AD$187&amp;AI$187,'App6 - Stage-Route-Surv Data'!$L$5:$N$52,3,FALSE))+(($H202*$K224)*VLOOKUP($B202&amp;$AE$187&amp;AI$187,'App6 - Stage-Route-Surv Data'!$L$5:$N$52,3,FALSE))+(($H202*$L224)*VLOOKUP($B202&amp;$AF$187&amp;AI$187,'App6 - Stage-Route-Surv Data'!$L$5:$N$52,3,FALSE))</f>
        <v>1509.8797564354031</v>
      </c>
      <c r="P224" s="946">
        <f>(($H202*$I224)*VLOOKUP($B202&amp;$AC$187&amp;AJ$187,'App6 - Stage-Route-Surv Data'!$L$5:$N$52,3,FALSE))+(($H202*$J224)*VLOOKUP($B202&amp;$AD$187&amp;AJ$187,'App6 - Stage-Route-Surv Data'!$L$5:$N$52,3,FALSE))+(($H202*$K224)*VLOOKUP($B202&amp;$AE$187&amp;AJ$187,'App6 - Stage-Route-Surv Data'!$L$5:$N$52,3,FALSE))+(($H202*$L224)*VLOOKUP($B202&amp;$AF$187&amp;AJ$187,'App6 - Stage-Route-Surv Data'!$L$5:$N$52,3,FALSE))</f>
        <v>971.01671600256145</v>
      </c>
      <c r="Q224" s="946">
        <f>M224*VLOOKUP($B202&amp;$D202&amp;AK$187,'App6 - Stage-Route-Surv Data'!$S$5:$T$40,2,FALSE)</f>
        <v>2456.261446266612</v>
      </c>
      <c r="R224" s="946">
        <f>N224*VLOOKUP($B202&amp;$D202&amp;AL$187,'App6 - Stage-Route-Surv Data'!$S$5:$T$40,2,FALSE)</f>
        <v>959.84208129542355</v>
      </c>
      <c r="S224" s="946">
        <f>O224*VLOOKUP($B202&amp;$D202&amp;AM$187,'App6 - Stage-Route-Surv Data'!$S$5:$T$40,2,FALSE)</f>
        <v>1479.682161306695</v>
      </c>
      <c r="T224" s="946">
        <f>P224*VLOOKUP($B202&amp;$D202&amp;AN$187,'App6 - Stage-Route-Surv Data'!$S$5:$T$40,2,FALSE)</f>
        <v>514.6388594813576</v>
      </c>
      <c r="U224" s="944">
        <f>SUM(Q224:T224)</f>
        <v>5410.424548350089</v>
      </c>
      <c r="V224" s="947">
        <f>U224/H202</f>
        <v>0.91748762902324721</v>
      </c>
    </row>
    <row r="225" spans="1:22" hidden="1" x14ac:dyDescent="0.2">
      <c r="A225" s="1405"/>
      <c r="B225" s="700" t="s">
        <v>10</v>
      </c>
      <c r="C225" s="721" t="str">
        <f t="shared" si="47"/>
        <v>PSA_3ng/mL cut-off</v>
      </c>
      <c r="D225" s="975" t="s">
        <v>196</v>
      </c>
      <c r="E225" s="984">
        <f>VLOOKUP($B225&amp;"_"&amp;$D225,'App5 - CRUK Inci Rates'!C:H,6,FALSE)</f>
        <v>356.1</v>
      </c>
      <c r="F225" s="981">
        <f>VLOOKUP($B225&amp;"_"&amp;$D225,'App5 - CRUK Inci Rates'!C:H,3,FALSE)</f>
        <v>0</v>
      </c>
      <c r="G225" s="992">
        <f>VLOOKUP($B225&amp;"_"&amp;$D225,'App5 - CRUK Inci Rates'!C:J,8,FALSE)</f>
        <v>1764828</v>
      </c>
      <c r="H225" s="709">
        <f>VLOOKUP($B225&amp;"_"&amp;$D225,'App5 - CRUK Inci Rates'!C:K,9,FALSE)</f>
        <v>6285</v>
      </c>
      <c r="I225" s="935"/>
      <c r="J225" s="935"/>
      <c r="K225" s="935"/>
      <c r="L225" s="935"/>
      <c r="M225" s="935"/>
      <c r="N225" s="935"/>
      <c r="O225" s="935"/>
      <c r="P225" s="935"/>
      <c r="Q225" s="935"/>
      <c r="R225" s="935"/>
      <c r="S225" s="935"/>
      <c r="T225" s="935"/>
      <c r="U225" s="936"/>
      <c r="V225" s="937"/>
    </row>
    <row r="226" spans="1:22" hidden="1" x14ac:dyDescent="0.2">
      <c r="A226" s="1405"/>
      <c r="B226" s="700" t="s">
        <v>10</v>
      </c>
      <c r="C226" s="721" t="str">
        <f t="shared" si="47"/>
        <v>PSA_3ng/mL cut-off</v>
      </c>
      <c r="D226" s="975" t="s">
        <v>197</v>
      </c>
      <c r="E226" s="985">
        <f>VLOOKUP($B226&amp;"_"&amp;$D226,'App5 - CRUK Inci Rates'!C:H,6,FALSE)</f>
        <v>622.70000000000005</v>
      </c>
      <c r="F226" s="981">
        <f>VLOOKUP($B226&amp;"_"&amp;$D226,'App5 - CRUK Inci Rates'!C:H,3,FALSE)</f>
        <v>0</v>
      </c>
      <c r="G226" s="992">
        <f>VLOOKUP($B226&amp;"_"&amp;$D226,'App5 - CRUK Inci Rates'!C:J,8,FALSE)</f>
        <v>1696993.3333333333</v>
      </c>
      <c r="H226" s="709">
        <f>VLOOKUP($B226&amp;"_"&amp;$D226,'App5 - CRUK Inci Rates'!C:K,9,FALSE)</f>
        <v>10568</v>
      </c>
      <c r="I226" s="935"/>
      <c r="J226" s="935"/>
      <c r="K226" s="935"/>
      <c r="L226" s="935"/>
      <c r="M226" s="935"/>
      <c r="N226" s="935"/>
      <c r="O226" s="935"/>
      <c r="P226" s="935"/>
      <c r="Q226" s="935"/>
      <c r="R226" s="935"/>
      <c r="S226" s="935"/>
      <c r="T226" s="935"/>
      <c r="U226" s="936"/>
      <c r="V226" s="937"/>
    </row>
    <row r="227" spans="1:22" x14ac:dyDescent="0.2">
      <c r="A227" s="1405"/>
      <c r="B227" s="700" t="s">
        <v>10</v>
      </c>
      <c r="C227" s="721" t="str">
        <f t="shared" si="47"/>
        <v>PSA_3ng/mL cut-off</v>
      </c>
      <c r="D227" s="976" t="s">
        <v>239</v>
      </c>
      <c r="E227" s="982">
        <f>VLOOKUP($B227&amp;"_"&amp;$D227,'App5 - CRUK Inci Rates'!C:H,6,FALSE)</f>
        <v>486.82466185429951</v>
      </c>
      <c r="F227" s="983">
        <f>VLOOKUP($B227&amp;"_"&amp;$D227,'App5 - CRUK Inci Rates'!C:H,3,FALSE)</f>
        <v>0</v>
      </c>
      <c r="G227" s="993">
        <f>VLOOKUP($B227&amp;"_"&amp;$D227,'App5 - CRUK Inci Rates'!C:J,8,FALSE)</f>
        <v>3461821.333333333</v>
      </c>
      <c r="H227" s="944">
        <f>VLOOKUP($B227&amp;"_"&amp;$D227,'App5 - CRUK Inci Rates'!C:K,9,FALSE)</f>
        <v>16853</v>
      </c>
      <c r="I227" s="945">
        <f>(1-J227)*($I205/SUM($I205,$K205,$L205))</f>
        <v>0.5662760112764702</v>
      </c>
      <c r="J227" s="945">
        <f>AA205/$H205</f>
        <v>6.4000000000000001E-2</v>
      </c>
      <c r="K227" s="945">
        <f>(1-J227)*($K205/SUM($I205,$K205,$L205))</f>
        <v>2.9148364256211892E-2</v>
      </c>
      <c r="L227" s="945">
        <f>(1-J227)*($L205/SUM($I205,$K205,$L205))</f>
        <v>0.34057562446731787</v>
      </c>
      <c r="M227" s="946">
        <f>(($H205*$I227)*VLOOKUP($B205&amp;$AC$187&amp;AG$187,'App6 - Stage-Route-Surv Data'!$L$5:$N$52,3,FALSE))+(($H205*$J227)*VLOOKUP($B205&amp;$AD$187&amp;AG$187,'App6 - Stage-Route-Surv Data'!$L$5:$N$52,3,FALSE))+(($H205*$K227)*VLOOKUP($B205&amp;$AE$187&amp;AG$187,'App6 - Stage-Route-Surv Data'!$L$5:$N$52,3,FALSE))+(($H205*$L227)*VLOOKUP($B205&amp;$AF$187&amp;AG$187,'App6 - Stage-Route-Surv Data'!$L$5:$N$52,3,FALSE))</f>
        <v>6965.4991646048147</v>
      </c>
      <c r="N227" s="946">
        <f>(($H205*$I227)*VLOOKUP($B205&amp;$AC$187&amp;AH$187,'App6 - Stage-Route-Surv Data'!$L$5:$N$52,3,FALSE))+(($H205*$J227)*VLOOKUP($B205&amp;$AD$187&amp;AH$187,'App6 - Stage-Route-Surv Data'!$L$5:$N$52,3,FALSE))+(($H205*$K227)*VLOOKUP($B205&amp;$AE$187&amp;AH$187,'App6 - Stage-Route-Surv Data'!$L$5:$N$52,3,FALSE))+(($H205*$L227)*VLOOKUP($B205&amp;$AF$187&amp;AH$187,'App6 - Stage-Route-Surv Data'!$L$5:$N$52,3,FALSE))</f>
        <v>2729.2454610717136</v>
      </c>
      <c r="O227" s="946">
        <f>(($H205*$I227)*VLOOKUP($B205&amp;$AC$187&amp;AI$187,'App6 - Stage-Route-Surv Data'!$L$5:$N$52,3,FALSE))+(($H205*$J227)*VLOOKUP($B205&amp;$AD$187&amp;AI$187,'App6 - Stage-Route-Surv Data'!$L$5:$N$52,3,FALSE))+(($H205*$K227)*VLOOKUP($B205&amp;$AE$187&amp;AI$187,'App6 - Stage-Route-Surv Data'!$L$5:$N$52,3,FALSE))+(($H205*$L227)*VLOOKUP($B205&amp;$AF$187&amp;AI$187,'App6 - Stage-Route-Surv Data'!$L$5:$N$52,3,FALSE))</f>
        <v>4320.5960848808299</v>
      </c>
      <c r="P227" s="946">
        <f>(($H205*$I227)*VLOOKUP($B205&amp;$AC$187&amp;AJ$187,'App6 - Stage-Route-Surv Data'!$L$5:$N$52,3,FALSE))+(($H205*$J227)*VLOOKUP($B205&amp;$AD$187&amp;AJ$187,'App6 - Stage-Route-Surv Data'!$L$5:$N$52,3,FALSE))+(($H205*$K227)*VLOOKUP($B205&amp;$AE$187&amp;AJ$187,'App6 - Stage-Route-Surv Data'!$L$5:$N$52,3,FALSE))+(($H205*$L227)*VLOOKUP($B205&amp;$AF$187&amp;AJ$187,'App6 - Stage-Route-Surv Data'!$L$5:$N$52,3,FALSE))</f>
        <v>2837.6592894426412</v>
      </c>
      <c r="Q227" s="946">
        <f>M227*VLOOKUP($B205&amp;$D205&amp;AK$187,'App6 - Stage-Route-Surv Data'!$S$5:$T$40,2,FALSE)</f>
        <v>7035.1541562508628</v>
      </c>
      <c r="R227" s="946">
        <f>N227*VLOOKUP($B205&amp;$D205&amp;AL$187,'App6 - Stage-Route-Surv Data'!$S$5:$T$40,2,FALSE)</f>
        <v>2729.2454610717136</v>
      </c>
      <c r="S227" s="946">
        <f>O227*VLOOKUP($B205&amp;$D205&amp;AM$187,'App6 - Stage-Route-Surv Data'!$S$5:$T$40,2,FALSE)</f>
        <v>4277.390124032022</v>
      </c>
      <c r="T227" s="946">
        <f>P227*VLOOKUP($B205&amp;$D205&amp;AN$187,'App6 - Stage-Route-Surv Data'!$S$5:$T$40,2,FALSE)</f>
        <v>1617.4657949823054</v>
      </c>
      <c r="U227" s="944">
        <f>SUM(Q227:T227)</f>
        <v>15659.255536336903</v>
      </c>
      <c r="V227" s="947">
        <f>U227/H205</f>
        <v>0.92916724241006965</v>
      </c>
    </row>
    <row r="228" spans="1:22" x14ac:dyDescent="0.2">
      <c r="A228" s="1405"/>
      <c r="B228" s="953" t="s">
        <v>11</v>
      </c>
      <c r="C228" s="954"/>
      <c r="D228" s="966"/>
      <c r="E228" s="966"/>
      <c r="F228" s="967"/>
      <c r="G228" s="968"/>
      <c r="H228" s="969"/>
      <c r="I228" s="970"/>
      <c r="J228" s="970"/>
      <c r="K228" s="970"/>
      <c r="L228" s="970"/>
      <c r="M228" s="971"/>
      <c r="N228" s="971"/>
      <c r="O228" s="971"/>
      <c r="P228" s="971"/>
      <c r="Q228" s="971"/>
      <c r="R228" s="971"/>
      <c r="S228" s="971"/>
      <c r="T228" s="971"/>
      <c r="U228" s="971"/>
      <c r="V228" s="955"/>
    </row>
    <row r="229" spans="1:22" hidden="1" x14ac:dyDescent="0.2">
      <c r="A229" s="1405"/>
      <c r="B229" s="728" t="s">
        <v>11</v>
      </c>
      <c r="C229" s="742" t="s">
        <v>143</v>
      </c>
      <c r="D229" s="978" t="s">
        <v>194</v>
      </c>
      <c r="E229" s="988">
        <f>VLOOKUP($B229&amp;"_"&amp;$D229,'App5 - CRUK Inci Rates'!C:H,6,FALSE)</f>
        <v>47.1</v>
      </c>
      <c r="F229" s="989">
        <f>VLOOKUP($B229&amp;"_"&amp;$D229,'App5 - CRUK Inci Rates'!C:H,3,FALSE)</f>
        <v>37.1</v>
      </c>
      <c r="G229" s="995">
        <f>VLOOKUP($B229&amp;"_"&amp;$D229,'App5 - CRUK Inci Rates'!C:J,8,FALSE)</f>
        <v>4658110.666666666</v>
      </c>
      <c r="H229" s="705">
        <f>VLOOKUP($B229&amp;"_"&amp;$D229,'App5 - CRUK Inci Rates'!C:K,9,FALSE)</f>
        <v>1958</v>
      </c>
      <c r="I229" s="931"/>
      <c r="J229" s="931"/>
      <c r="K229" s="931"/>
      <c r="L229" s="931"/>
      <c r="M229" s="931"/>
      <c r="N229" s="931"/>
      <c r="O229" s="931"/>
      <c r="P229" s="931"/>
      <c r="Q229" s="931"/>
      <c r="R229" s="931"/>
      <c r="S229" s="931"/>
      <c r="T229" s="931"/>
      <c r="U229" s="932"/>
      <c r="V229" s="933"/>
    </row>
    <row r="230" spans="1:22" hidden="1" x14ac:dyDescent="0.2">
      <c r="A230" s="1405"/>
      <c r="B230" s="700" t="s">
        <v>11</v>
      </c>
      <c r="C230" s="934" t="str">
        <f>C229</f>
        <v>FIT 20-50 µg/g threshold (CRC)</v>
      </c>
      <c r="D230" s="975" t="s">
        <v>195</v>
      </c>
      <c r="E230" s="980">
        <f>VLOOKUP($B230&amp;"_"&amp;$D230,'App5 - CRUK Inci Rates'!C:H,6,FALSE)</f>
        <v>87.7</v>
      </c>
      <c r="F230" s="981">
        <f>VLOOKUP($B230&amp;"_"&amp;$D230,'App5 - CRUK Inci Rates'!C:H,3,FALSE)</f>
        <v>60.6</v>
      </c>
      <c r="G230" s="992">
        <f>VLOOKUP($B230&amp;"_"&amp;$D230,'App5 - CRUK Inci Rates'!C:J,8,FALSE)</f>
        <v>4181606</v>
      </c>
      <c r="H230" s="709">
        <f>VLOOKUP($B230&amp;"_"&amp;$D230,'App5 - CRUK Inci Rates'!C:K,9,FALSE)</f>
        <v>3094</v>
      </c>
      <c r="I230" s="935"/>
      <c r="J230" s="935"/>
      <c r="K230" s="935"/>
      <c r="L230" s="935"/>
      <c r="M230" s="935"/>
      <c r="N230" s="935"/>
      <c r="O230" s="935"/>
      <c r="P230" s="935"/>
      <c r="Q230" s="935"/>
      <c r="R230" s="935"/>
      <c r="S230" s="935"/>
      <c r="T230" s="935"/>
      <c r="U230" s="936"/>
      <c r="V230" s="937"/>
    </row>
    <row r="231" spans="1:22" ht="17" thickBot="1" x14ac:dyDescent="0.25">
      <c r="A231" s="1406"/>
      <c r="B231" s="731" t="s">
        <v>11</v>
      </c>
      <c r="C231" s="938" t="str">
        <f>C230</f>
        <v>FIT 20-50 µg/g threshold (CRC)</v>
      </c>
      <c r="D231" s="979" t="s">
        <v>230</v>
      </c>
      <c r="E231" s="990">
        <f>VLOOKUP($B231&amp;"_"&amp;$D231,'App5 - CRUK Inci Rates'!C:H,6,FALSE)</f>
        <v>66.354542653419429</v>
      </c>
      <c r="F231" s="991">
        <f>VLOOKUP($B231&amp;"_"&amp;$D231,'App5 - CRUK Inci Rates'!C:H,3,FALSE)</f>
        <v>48.212380665809548</v>
      </c>
      <c r="G231" s="996">
        <f>VLOOKUP($B231&amp;"_"&amp;$D231,'App5 - CRUK Inci Rates'!C:J,8,FALSE)</f>
        <v>8839716.6666666679</v>
      </c>
      <c r="H231" s="939">
        <f>VLOOKUP($B231&amp;"_"&amp;$D231,'App5 - CRUK Inci Rates'!C:K,9,FALSE)</f>
        <v>5052</v>
      </c>
      <c r="I231" s="940">
        <f>(1-J231)*($I209/SUM($I209,$K209,$L209))</f>
        <v>0.37378869276029669</v>
      </c>
      <c r="J231" s="940">
        <f>AA209/$H209</f>
        <v>0.13999999999999999</v>
      </c>
      <c r="K231" s="940">
        <f>(1-J231)*($K209/SUM($I209,$K209,$L209))</f>
        <v>0.18502430289076491</v>
      </c>
      <c r="L231" s="940">
        <f>(1-J231)*($L209/SUM($I209,$K209,$L209))</f>
        <v>0.30118700434893836</v>
      </c>
      <c r="M231" s="941">
        <f>(($H209*$I231)*VLOOKUP($B209&amp;$AC$187&amp;AG$187,'App6 - Stage-Route-Surv Data'!$L$5:$N$52,3,FALSE))+(($H209*$J231)*VLOOKUP($B209&amp;$AD$187&amp;AG$187,'App6 - Stage-Route-Surv Data'!$L$5:$N$52,3,FALSE))+(($H209*$K231)*VLOOKUP($B209&amp;$AE$187&amp;AG$187,'App6 - Stage-Route-Surv Data'!$L$5:$N$52,3,FALSE))+(($H209*$L231)*VLOOKUP($B209&amp;$AF$187&amp;AG$187,'App6 - Stage-Route-Surv Data'!$L$5:$N$52,3,FALSE))</f>
        <v>1009.6687919461433</v>
      </c>
      <c r="N231" s="941">
        <f>(($H209*$I231)*VLOOKUP($B209&amp;$AC$187&amp;AH$187,'App6 - Stage-Route-Surv Data'!$L$5:$N$52,3,FALSE))+(($H209*$J231)*VLOOKUP($B209&amp;$AD$187&amp;AH$187,'App6 - Stage-Route-Surv Data'!$L$5:$N$52,3,FALSE))+(($H209*$K231)*VLOOKUP($B209&amp;$AE$187&amp;AH$187,'App6 - Stage-Route-Surv Data'!$L$5:$N$52,3,FALSE))+(($H209*$L231)*VLOOKUP($B209&amp;$AF$187&amp;AH$187,'App6 - Stage-Route-Surv Data'!$L$5:$N$52,3,FALSE))</f>
        <v>1288.2469332723138</v>
      </c>
      <c r="O231" s="941">
        <f>(($H209*$I231)*VLOOKUP($B209&amp;$AC$187&amp;AI$187,'App6 - Stage-Route-Surv Data'!$L$5:$N$52,3,FALSE))+(($H209*$J231)*VLOOKUP($B209&amp;$AD$187&amp;AI$187,'App6 - Stage-Route-Surv Data'!$L$5:$N$52,3,FALSE))+(($H209*$K231)*VLOOKUP($B209&amp;$AE$187&amp;AI$187,'App6 - Stage-Route-Surv Data'!$L$5:$N$52,3,FALSE))+(($H209*$L231)*VLOOKUP($B209&amp;$AF$187&amp;AI$187,'App6 - Stage-Route-Surv Data'!$L$5:$N$52,3,FALSE))</f>
        <v>1531.5184572194939</v>
      </c>
      <c r="P231" s="941">
        <f>(($H209*$I231)*VLOOKUP($B209&amp;$AC$187&amp;AJ$187,'App6 - Stage-Route-Surv Data'!$L$5:$N$52,3,FALSE))+(($H209*$J231)*VLOOKUP($B209&amp;$AD$187&amp;AJ$187,'App6 - Stage-Route-Surv Data'!$L$5:$N$52,3,FALSE))+(($H209*$K231)*VLOOKUP($B209&amp;$AE$187&amp;AJ$187,'App6 - Stage-Route-Surv Data'!$L$5:$N$52,3,FALSE))+(($H209*$L231)*VLOOKUP($B209&amp;$AF$187&amp;AJ$187,'App6 - Stage-Route-Surv Data'!$L$5:$N$52,3,FALSE))</f>
        <v>1222.5658175620486</v>
      </c>
      <c r="Q231" s="941">
        <f>M231*VLOOKUP($B209&amp;$D209&amp;AK$187,'App6 - Stage-Route-Surv Data'!$S$5:$T$40,2,FALSE)</f>
        <v>971.72957782683432</v>
      </c>
      <c r="R231" s="941">
        <f>N231*VLOOKUP($B209&amp;$D209&amp;AL$187,'App6 - Stage-Route-Surv Data'!$S$5:$T$40,2,FALSE)</f>
        <v>1145.5047604180074</v>
      </c>
      <c r="S231" s="941">
        <f>O231*VLOOKUP($B209&amp;$D209&amp;AM$187,'App6 - Stage-Route-Surv Data'!$S$5:$T$40,2,FALSE)</f>
        <v>1148.8430488322649</v>
      </c>
      <c r="T231" s="941">
        <f>P231*VLOOKUP($B209&amp;$D209&amp;AN$187,'App6 - Stage-Route-Surv Data'!$S$5:$T$40,2,FALSE)</f>
        <v>182.47614708822587</v>
      </c>
      <c r="U231" s="939">
        <f>SUM(Q231:T231)</f>
        <v>3448.5535341653322</v>
      </c>
      <c r="V231" s="942">
        <f>U231/H209</f>
        <v>0.68261154674689872</v>
      </c>
    </row>
  </sheetData>
  <mergeCells count="189">
    <mergeCell ref="AG186:AJ186"/>
    <mergeCell ref="AK186:AO186"/>
    <mergeCell ref="AQ186:AQ187"/>
    <mergeCell ref="AR186:AR187"/>
    <mergeCell ref="A210:A231"/>
    <mergeCell ref="H186:H187"/>
    <mergeCell ref="I186:L186"/>
    <mergeCell ref="M186:P186"/>
    <mergeCell ref="Q186:U186"/>
    <mergeCell ref="W186:W187"/>
    <mergeCell ref="X186:X187"/>
    <mergeCell ref="Y186:Y187"/>
    <mergeCell ref="Z186:Z187"/>
    <mergeCell ref="AA186:AA187"/>
    <mergeCell ref="B183:B187"/>
    <mergeCell ref="C183:C187"/>
    <mergeCell ref="D183:D187"/>
    <mergeCell ref="E183:F185"/>
    <mergeCell ref="G183:H185"/>
    <mergeCell ref="I183:U185"/>
    <mergeCell ref="W183:AB183"/>
    <mergeCell ref="AC183:AR185"/>
    <mergeCell ref="A173:A182"/>
    <mergeCell ref="I158:U160"/>
    <mergeCell ref="I161:L161"/>
    <mergeCell ref="M161:P161"/>
    <mergeCell ref="Q161:U161"/>
    <mergeCell ref="AB161:AB162"/>
    <mergeCell ref="W158:AB158"/>
    <mergeCell ref="AB186:AB187"/>
    <mergeCell ref="AC186:AF186"/>
    <mergeCell ref="E186:E187"/>
    <mergeCell ref="F186:F187"/>
    <mergeCell ref="G186:G187"/>
    <mergeCell ref="H161:H162"/>
    <mergeCell ref="B158:B162"/>
    <mergeCell ref="C158:C162"/>
    <mergeCell ref="D158:D162"/>
    <mergeCell ref="E158:F160"/>
    <mergeCell ref="G158:H160"/>
    <mergeCell ref="E161:E162"/>
    <mergeCell ref="F161:F162"/>
    <mergeCell ref="G161:G162"/>
    <mergeCell ref="W184:AB184"/>
    <mergeCell ref="W185:AB185"/>
    <mergeCell ref="AB105:AB106"/>
    <mergeCell ref="W102:AB102"/>
    <mergeCell ref="AC102:AR104"/>
    <mergeCell ref="W103:AB103"/>
    <mergeCell ref="W104:AB104"/>
    <mergeCell ref="W105:W106"/>
    <mergeCell ref="X105:X106"/>
    <mergeCell ref="Y105:Y106"/>
    <mergeCell ref="Z105:Z106"/>
    <mergeCell ref="AA105:AA106"/>
    <mergeCell ref="AC158:AR160"/>
    <mergeCell ref="W159:AB159"/>
    <mergeCell ref="W160:AB160"/>
    <mergeCell ref="W161:W162"/>
    <mergeCell ref="X161:X162"/>
    <mergeCell ref="Y161:Y162"/>
    <mergeCell ref="Z161:Z162"/>
    <mergeCell ref="AA161:AA162"/>
    <mergeCell ref="B133:B137"/>
    <mergeCell ref="C133:C137"/>
    <mergeCell ref="D133:D137"/>
    <mergeCell ref="E133:F135"/>
    <mergeCell ref="G133:H135"/>
    <mergeCell ref="W133:AB133"/>
    <mergeCell ref="W134:AB134"/>
    <mergeCell ref="W135:AB135"/>
    <mergeCell ref="E136:E137"/>
    <mergeCell ref="F136:F137"/>
    <mergeCell ref="G136:G137"/>
    <mergeCell ref="H136:H137"/>
    <mergeCell ref="I136:L136"/>
    <mergeCell ref="I133:U135"/>
    <mergeCell ref="M136:P136"/>
    <mergeCell ref="Q136:U136"/>
    <mergeCell ref="X136:X137"/>
    <mergeCell ref="Y136:Y137"/>
    <mergeCell ref="Z136:Z137"/>
    <mergeCell ref="AA136:AA137"/>
    <mergeCell ref="AB136:AB137"/>
    <mergeCell ref="W136:W137"/>
    <mergeCell ref="A58:A79"/>
    <mergeCell ref="A80:A101"/>
    <mergeCell ref="I102:U104"/>
    <mergeCell ref="I105:L105"/>
    <mergeCell ref="M105:P105"/>
    <mergeCell ref="Q105:U105"/>
    <mergeCell ref="X56:X57"/>
    <mergeCell ref="Y56:Y57"/>
    <mergeCell ref="I56:L56"/>
    <mergeCell ref="M56:P56"/>
    <mergeCell ref="Q56:U56"/>
    <mergeCell ref="W56:W57"/>
    <mergeCell ref="G56:G57"/>
    <mergeCell ref="H56:H57"/>
    <mergeCell ref="H105:H106"/>
    <mergeCell ref="B102:B106"/>
    <mergeCell ref="C102:C106"/>
    <mergeCell ref="D102:D106"/>
    <mergeCell ref="E102:F104"/>
    <mergeCell ref="G102:H104"/>
    <mergeCell ref="E105:E106"/>
    <mergeCell ref="F105:F106"/>
    <mergeCell ref="G105:G106"/>
    <mergeCell ref="BA53:BB55"/>
    <mergeCell ref="BC53:BR55"/>
    <mergeCell ref="W54:AB54"/>
    <mergeCell ref="AU54:AZ54"/>
    <mergeCell ref="W55:AB55"/>
    <mergeCell ref="AU55:AZ55"/>
    <mergeCell ref="BR56:BR57"/>
    <mergeCell ref="BC56:BF56"/>
    <mergeCell ref="BG56:BJ56"/>
    <mergeCell ref="BK56:BO56"/>
    <mergeCell ref="BQ56:BQ57"/>
    <mergeCell ref="AU56:AU57"/>
    <mergeCell ref="AE56:AH56"/>
    <mergeCell ref="AI56:AL56"/>
    <mergeCell ref="AM56:AQ56"/>
    <mergeCell ref="BA56:BA57"/>
    <mergeCell ref="BB56:BB57"/>
    <mergeCell ref="AS56:AS57"/>
    <mergeCell ref="AV56:AV57"/>
    <mergeCell ref="AW56:AW57"/>
    <mergeCell ref="AA56:AA57"/>
    <mergeCell ref="AB56:AB57"/>
    <mergeCell ref="AC56:AC57"/>
    <mergeCell ref="AD56:AD57"/>
    <mergeCell ref="AT56:AT57"/>
    <mergeCell ref="AU4:AZ4"/>
    <mergeCell ref="I7:L7"/>
    <mergeCell ref="AZ7:AZ8"/>
    <mergeCell ref="A7:A8"/>
    <mergeCell ref="A9:A30"/>
    <mergeCell ref="A31:A52"/>
    <mergeCell ref="B53:B57"/>
    <mergeCell ref="C53:C57"/>
    <mergeCell ref="D53:D57"/>
    <mergeCell ref="E53:F55"/>
    <mergeCell ref="E56:E57"/>
    <mergeCell ref="F56:F57"/>
    <mergeCell ref="Z56:Z57"/>
    <mergeCell ref="AX56:AX57"/>
    <mergeCell ref="AY56:AY57"/>
    <mergeCell ref="AZ56:AZ57"/>
    <mergeCell ref="G53:H55"/>
    <mergeCell ref="I53:U55"/>
    <mergeCell ref="W53:AB53"/>
    <mergeCell ref="AC53:AD55"/>
    <mergeCell ref="AE53:AT55"/>
    <mergeCell ref="AU53:AZ53"/>
    <mergeCell ref="G7:H7"/>
    <mergeCell ref="E7:F7"/>
    <mergeCell ref="B7:B8"/>
    <mergeCell ref="C7:C8"/>
    <mergeCell ref="D7:D8"/>
    <mergeCell ref="M7:P7"/>
    <mergeCell ref="Q7:U7"/>
    <mergeCell ref="W7:W8"/>
    <mergeCell ref="BC7:BF7"/>
    <mergeCell ref="V7:V8"/>
    <mergeCell ref="BC4:BR6"/>
    <mergeCell ref="W5:AB5"/>
    <mergeCell ref="AU5:AZ5"/>
    <mergeCell ref="W6:AB6"/>
    <mergeCell ref="AU6:AZ6"/>
    <mergeCell ref="AW7:AW8"/>
    <mergeCell ref="AX7:AX8"/>
    <mergeCell ref="AI7:AL7"/>
    <mergeCell ref="AM7:AQ7"/>
    <mergeCell ref="AS7:AS8"/>
    <mergeCell ref="AT7:AT8"/>
    <mergeCell ref="AU7:AU8"/>
    <mergeCell ref="AV7:AV8"/>
    <mergeCell ref="X7:X8"/>
    <mergeCell ref="Y7:Y8"/>
    <mergeCell ref="Z7:Z8"/>
    <mergeCell ref="AA7:AA8"/>
    <mergeCell ref="AB7:AB8"/>
    <mergeCell ref="AE7:AH7"/>
    <mergeCell ref="BK7:BO7"/>
    <mergeCell ref="BQ7:BQ8"/>
    <mergeCell ref="BR7:BR8"/>
    <mergeCell ref="AY7:AY8"/>
    <mergeCell ref="BG7:BJ7"/>
  </mergeCells>
  <conditionalFormatting sqref="AS12:AT12">
    <cfRule type="cellIs" dxfId="153" priority="187" operator="lessThan">
      <formula>0</formula>
    </cfRule>
    <cfRule type="cellIs" dxfId="152" priority="188" operator="greaterThan">
      <formula>0</formula>
    </cfRule>
  </conditionalFormatting>
  <conditionalFormatting sqref="AS26">
    <cfRule type="cellIs" dxfId="151" priority="185" operator="lessThan">
      <formula>0</formula>
    </cfRule>
    <cfRule type="cellIs" dxfId="150" priority="186" operator="greaterThan">
      <formula>0</formula>
    </cfRule>
  </conditionalFormatting>
  <conditionalFormatting sqref="AT26">
    <cfRule type="cellIs" dxfId="149" priority="183" operator="lessThan">
      <formula>0</formula>
    </cfRule>
    <cfRule type="cellIs" dxfId="148" priority="184" operator="greaterThan">
      <formula>0</formula>
    </cfRule>
  </conditionalFormatting>
  <conditionalFormatting sqref="BQ12:BR12">
    <cfRule type="cellIs" dxfId="147" priority="181" operator="lessThan">
      <formula>0</formula>
    </cfRule>
    <cfRule type="cellIs" dxfId="146" priority="182" operator="greaterThan">
      <formula>0</formula>
    </cfRule>
  </conditionalFormatting>
  <conditionalFormatting sqref="BQ26:BR26">
    <cfRule type="cellIs" dxfId="145" priority="179" operator="lessThan">
      <formula>0</formula>
    </cfRule>
    <cfRule type="cellIs" dxfId="144" priority="180" operator="greaterThan">
      <formula>0</formula>
    </cfRule>
  </conditionalFormatting>
  <conditionalFormatting sqref="AS23">
    <cfRule type="cellIs" dxfId="143" priority="177" operator="lessThan">
      <formula>0</formula>
    </cfRule>
    <cfRule type="cellIs" dxfId="142" priority="178" operator="greaterThan">
      <formula>0</formula>
    </cfRule>
  </conditionalFormatting>
  <conditionalFormatting sqref="AT23">
    <cfRule type="cellIs" dxfId="141" priority="175" operator="lessThan">
      <formula>0</formula>
    </cfRule>
    <cfRule type="cellIs" dxfId="140" priority="176" operator="greaterThan">
      <formula>0</formula>
    </cfRule>
  </conditionalFormatting>
  <conditionalFormatting sqref="BQ23:BR23">
    <cfRule type="cellIs" dxfId="139" priority="173" operator="lessThan">
      <formula>0</formula>
    </cfRule>
    <cfRule type="cellIs" dxfId="138" priority="174" operator="greaterThan">
      <formula>0</formula>
    </cfRule>
  </conditionalFormatting>
  <conditionalFormatting sqref="AS30">
    <cfRule type="cellIs" dxfId="137" priority="171" operator="lessThan">
      <formula>0</formula>
    </cfRule>
    <cfRule type="cellIs" dxfId="136" priority="172" operator="greaterThan">
      <formula>0</formula>
    </cfRule>
  </conditionalFormatting>
  <conditionalFormatting sqref="AT30">
    <cfRule type="cellIs" dxfId="135" priority="169" operator="lessThan">
      <formula>0</formula>
    </cfRule>
    <cfRule type="cellIs" dxfId="134" priority="170" operator="greaterThan">
      <formula>0</formula>
    </cfRule>
  </conditionalFormatting>
  <conditionalFormatting sqref="BQ30:BR30">
    <cfRule type="cellIs" dxfId="133" priority="167" operator="lessThan">
      <formula>0</formula>
    </cfRule>
    <cfRule type="cellIs" dxfId="132" priority="168" operator="greaterThan">
      <formula>0</formula>
    </cfRule>
  </conditionalFormatting>
  <conditionalFormatting sqref="AS19">
    <cfRule type="cellIs" dxfId="131" priority="165" operator="lessThan">
      <formula>0</formula>
    </cfRule>
    <cfRule type="cellIs" dxfId="130" priority="166" operator="greaterThan">
      <formula>0</formula>
    </cfRule>
  </conditionalFormatting>
  <conditionalFormatting sqref="AT19">
    <cfRule type="cellIs" dxfId="129" priority="163" operator="lessThan">
      <formula>0</formula>
    </cfRule>
    <cfRule type="cellIs" dxfId="128" priority="164" operator="greaterThan">
      <formula>0</formula>
    </cfRule>
  </conditionalFormatting>
  <conditionalFormatting sqref="BQ19:BR19">
    <cfRule type="cellIs" dxfId="127" priority="161" operator="lessThan">
      <formula>0</formula>
    </cfRule>
    <cfRule type="cellIs" dxfId="126" priority="162" operator="greaterThan">
      <formula>0</formula>
    </cfRule>
  </conditionalFormatting>
  <conditionalFormatting sqref="AS16">
    <cfRule type="cellIs" dxfId="125" priority="159" operator="lessThan">
      <formula>0</formula>
    </cfRule>
    <cfRule type="cellIs" dxfId="124" priority="160" operator="greaterThan">
      <formula>0</formula>
    </cfRule>
  </conditionalFormatting>
  <conditionalFormatting sqref="AT16">
    <cfRule type="cellIs" dxfId="123" priority="157" operator="lessThan">
      <formula>0</formula>
    </cfRule>
    <cfRule type="cellIs" dxfId="122" priority="158" operator="greaterThan">
      <formula>0</formula>
    </cfRule>
  </conditionalFormatting>
  <conditionalFormatting sqref="BQ16:BR16">
    <cfRule type="cellIs" dxfId="121" priority="155" operator="lessThan">
      <formula>0</formula>
    </cfRule>
    <cfRule type="cellIs" dxfId="120" priority="156" operator="greaterThan">
      <formula>0</formula>
    </cfRule>
  </conditionalFormatting>
  <conditionalFormatting sqref="AS61:AT61">
    <cfRule type="cellIs" dxfId="119" priority="119" operator="lessThan">
      <formula>0</formula>
    </cfRule>
    <cfRule type="cellIs" dxfId="118" priority="120" operator="greaterThan">
      <formula>0</formula>
    </cfRule>
  </conditionalFormatting>
  <conditionalFormatting sqref="AS75">
    <cfRule type="cellIs" dxfId="117" priority="117" operator="lessThan">
      <formula>0</formula>
    </cfRule>
    <cfRule type="cellIs" dxfId="116" priority="118" operator="greaterThan">
      <formula>0</formula>
    </cfRule>
  </conditionalFormatting>
  <conditionalFormatting sqref="AT75">
    <cfRule type="cellIs" dxfId="115" priority="115" operator="lessThan">
      <formula>0</formula>
    </cfRule>
    <cfRule type="cellIs" dxfId="114" priority="116" operator="greaterThan">
      <formula>0</formula>
    </cfRule>
  </conditionalFormatting>
  <conditionalFormatting sqref="BQ61:BR61">
    <cfRule type="cellIs" dxfId="113" priority="113" operator="lessThan">
      <formula>0</formula>
    </cfRule>
    <cfRule type="cellIs" dxfId="112" priority="114" operator="greaterThan">
      <formula>0</formula>
    </cfRule>
  </conditionalFormatting>
  <conditionalFormatting sqref="BQ75:BR75">
    <cfRule type="cellIs" dxfId="111" priority="111" operator="lessThan">
      <formula>0</formula>
    </cfRule>
    <cfRule type="cellIs" dxfId="110" priority="112" operator="greaterThan">
      <formula>0</formula>
    </cfRule>
  </conditionalFormatting>
  <conditionalFormatting sqref="AS72">
    <cfRule type="cellIs" dxfId="109" priority="109" operator="lessThan">
      <formula>0</formula>
    </cfRule>
    <cfRule type="cellIs" dxfId="108" priority="110" operator="greaterThan">
      <formula>0</formula>
    </cfRule>
  </conditionalFormatting>
  <conditionalFormatting sqref="AT72">
    <cfRule type="cellIs" dxfId="107" priority="107" operator="lessThan">
      <formula>0</formula>
    </cfRule>
    <cfRule type="cellIs" dxfId="106" priority="108" operator="greaterThan">
      <formula>0</formula>
    </cfRule>
  </conditionalFormatting>
  <conditionalFormatting sqref="BQ72:BR72">
    <cfRule type="cellIs" dxfId="105" priority="105" operator="lessThan">
      <formula>0</formula>
    </cfRule>
    <cfRule type="cellIs" dxfId="104" priority="106" operator="greaterThan">
      <formula>0</formula>
    </cfRule>
  </conditionalFormatting>
  <conditionalFormatting sqref="AS79">
    <cfRule type="cellIs" dxfId="103" priority="103" operator="lessThan">
      <formula>0</formula>
    </cfRule>
    <cfRule type="cellIs" dxfId="102" priority="104" operator="greaterThan">
      <formula>0</formula>
    </cfRule>
  </conditionalFormatting>
  <conditionalFormatting sqref="AT79">
    <cfRule type="cellIs" dxfId="101" priority="101" operator="lessThan">
      <formula>0</formula>
    </cfRule>
    <cfRule type="cellIs" dxfId="100" priority="102" operator="greaterThan">
      <formula>0</formula>
    </cfRule>
  </conditionalFormatting>
  <conditionalFormatting sqref="BQ79:BR79">
    <cfRule type="cellIs" dxfId="99" priority="99" operator="lessThan">
      <formula>0</formula>
    </cfRule>
    <cfRule type="cellIs" dxfId="98" priority="100" operator="greaterThan">
      <formula>0</formula>
    </cfRule>
  </conditionalFormatting>
  <conditionalFormatting sqref="AS68">
    <cfRule type="cellIs" dxfId="97" priority="97" operator="lessThan">
      <formula>0</formula>
    </cfRule>
    <cfRule type="cellIs" dxfId="96" priority="98" operator="greaterThan">
      <formula>0</formula>
    </cfRule>
  </conditionalFormatting>
  <conditionalFormatting sqref="AT68">
    <cfRule type="cellIs" dxfId="95" priority="95" operator="lessThan">
      <formula>0</formula>
    </cfRule>
    <cfRule type="cellIs" dxfId="94" priority="96" operator="greaterThan">
      <formula>0</formula>
    </cfRule>
  </conditionalFormatting>
  <conditionalFormatting sqref="BQ68:BR68">
    <cfRule type="cellIs" dxfId="93" priority="93" operator="lessThan">
      <formula>0</formula>
    </cfRule>
    <cfRule type="cellIs" dxfId="92" priority="94" operator="greaterThan">
      <formula>0</formula>
    </cfRule>
  </conditionalFormatting>
  <conditionalFormatting sqref="AS65">
    <cfRule type="cellIs" dxfId="91" priority="91" operator="lessThan">
      <formula>0</formula>
    </cfRule>
    <cfRule type="cellIs" dxfId="90" priority="92" operator="greaterThan">
      <formula>0</formula>
    </cfRule>
  </conditionalFormatting>
  <conditionalFormatting sqref="AT65">
    <cfRule type="cellIs" dxfId="89" priority="89" operator="lessThan">
      <formula>0</formula>
    </cfRule>
    <cfRule type="cellIs" dxfId="88" priority="90" operator="greaterThan">
      <formula>0</formula>
    </cfRule>
  </conditionalFormatting>
  <conditionalFormatting sqref="BQ65:BR65">
    <cfRule type="cellIs" dxfId="87" priority="87" operator="lessThan">
      <formula>0</formula>
    </cfRule>
    <cfRule type="cellIs" dxfId="86" priority="88" operator="greaterThan">
      <formula>0</formula>
    </cfRule>
  </conditionalFormatting>
  <conditionalFormatting sqref="AQ141:AR141">
    <cfRule type="cellIs" dxfId="85" priority="85" operator="lessThan">
      <formula>0</formula>
    </cfRule>
    <cfRule type="cellIs" dxfId="84" priority="86" operator="greaterThan">
      <formula>0</formula>
    </cfRule>
  </conditionalFormatting>
  <conditionalFormatting sqref="AQ148">
    <cfRule type="cellIs" dxfId="83" priority="83" operator="lessThan">
      <formula>0</formula>
    </cfRule>
    <cfRule type="cellIs" dxfId="82" priority="84" operator="greaterThan">
      <formula>0</formula>
    </cfRule>
  </conditionalFormatting>
  <conditionalFormatting sqref="AR148">
    <cfRule type="cellIs" dxfId="81" priority="81" operator="lessThan">
      <formula>0</formula>
    </cfRule>
    <cfRule type="cellIs" dxfId="80" priority="82" operator="greaterThan">
      <formula>0</formula>
    </cfRule>
  </conditionalFormatting>
  <conditionalFormatting sqref="AQ153:AR153">
    <cfRule type="cellIs" dxfId="79" priority="79" operator="lessThan">
      <formula>0</formula>
    </cfRule>
    <cfRule type="cellIs" dxfId="78" priority="80" operator="greaterThan">
      <formula>0</formula>
    </cfRule>
  </conditionalFormatting>
  <conditionalFormatting sqref="AQ145">
    <cfRule type="cellIs" dxfId="77" priority="77" operator="lessThan">
      <formula>0</formula>
    </cfRule>
    <cfRule type="cellIs" dxfId="76" priority="78" operator="greaterThan">
      <formula>0</formula>
    </cfRule>
  </conditionalFormatting>
  <conditionalFormatting sqref="AR145">
    <cfRule type="cellIs" dxfId="75" priority="75" operator="lessThan">
      <formula>0</formula>
    </cfRule>
    <cfRule type="cellIs" dxfId="74" priority="76" operator="greaterThan">
      <formula>0</formula>
    </cfRule>
  </conditionalFormatting>
  <conditionalFormatting sqref="AQ152">
    <cfRule type="cellIs" dxfId="73" priority="73" operator="lessThan">
      <formula>0</formula>
    </cfRule>
    <cfRule type="cellIs" dxfId="72" priority="74" operator="greaterThan">
      <formula>0</formula>
    </cfRule>
  </conditionalFormatting>
  <conditionalFormatting sqref="AR152">
    <cfRule type="cellIs" dxfId="71" priority="71" operator="lessThan">
      <formula>0</formula>
    </cfRule>
    <cfRule type="cellIs" dxfId="70" priority="72" operator="greaterThan">
      <formula>0</formula>
    </cfRule>
  </conditionalFormatting>
  <conditionalFormatting sqref="AQ156">
    <cfRule type="cellIs" dxfId="69" priority="69" operator="lessThan">
      <formula>0</formula>
    </cfRule>
    <cfRule type="cellIs" dxfId="68" priority="70" operator="greaterThan">
      <formula>0</formula>
    </cfRule>
  </conditionalFormatting>
  <conditionalFormatting sqref="AR156">
    <cfRule type="cellIs" dxfId="67" priority="67" operator="lessThan">
      <formula>0</formula>
    </cfRule>
    <cfRule type="cellIs" dxfId="66" priority="68" operator="greaterThan">
      <formula>0</formula>
    </cfRule>
  </conditionalFormatting>
  <conditionalFormatting sqref="AQ110:AR110">
    <cfRule type="cellIs" dxfId="65" priority="65" operator="lessThan">
      <formula>0</formula>
    </cfRule>
    <cfRule type="cellIs" dxfId="64" priority="66" operator="greaterThan">
      <formula>0</formula>
    </cfRule>
  </conditionalFormatting>
  <conditionalFormatting sqref="AQ124">
    <cfRule type="cellIs" dxfId="63" priority="63" operator="lessThan">
      <formula>0</formula>
    </cfRule>
    <cfRule type="cellIs" dxfId="62" priority="64" operator="greaterThan">
      <formula>0</formula>
    </cfRule>
  </conditionalFormatting>
  <conditionalFormatting sqref="AR124">
    <cfRule type="cellIs" dxfId="61" priority="61" operator="lessThan">
      <formula>0</formula>
    </cfRule>
    <cfRule type="cellIs" dxfId="60" priority="62" operator="greaterThan">
      <formula>0</formula>
    </cfRule>
  </conditionalFormatting>
  <conditionalFormatting sqref="AQ121">
    <cfRule type="cellIs" dxfId="59" priority="59" operator="lessThan">
      <formula>0</formula>
    </cfRule>
    <cfRule type="cellIs" dxfId="58" priority="60" operator="greaterThan">
      <formula>0</formula>
    </cfRule>
  </conditionalFormatting>
  <conditionalFormatting sqref="AR121">
    <cfRule type="cellIs" dxfId="57" priority="57" operator="lessThan">
      <formula>0</formula>
    </cfRule>
    <cfRule type="cellIs" dxfId="56" priority="58" operator="greaterThan">
      <formula>0</formula>
    </cfRule>
  </conditionalFormatting>
  <conditionalFormatting sqref="AQ128">
    <cfRule type="cellIs" dxfId="55" priority="55" operator="lessThan">
      <formula>0</formula>
    </cfRule>
    <cfRule type="cellIs" dxfId="54" priority="56" operator="greaterThan">
      <formula>0</formula>
    </cfRule>
  </conditionalFormatting>
  <conditionalFormatting sqref="AR128">
    <cfRule type="cellIs" dxfId="53" priority="53" operator="lessThan">
      <formula>0</formula>
    </cfRule>
    <cfRule type="cellIs" dxfId="52" priority="54" operator="greaterThan">
      <formula>0</formula>
    </cfRule>
  </conditionalFormatting>
  <conditionalFormatting sqref="AQ117">
    <cfRule type="cellIs" dxfId="51" priority="51" operator="lessThan">
      <formula>0</formula>
    </cfRule>
    <cfRule type="cellIs" dxfId="50" priority="52" operator="greaterThan">
      <formula>0</formula>
    </cfRule>
  </conditionalFormatting>
  <conditionalFormatting sqref="AR117">
    <cfRule type="cellIs" dxfId="49" priority="49" operator="lessThan">
      <formula>0</formula>
    </cfRule>
    <cfRule type="cellIs" dxfId="48" priority="50" operator="greaterThan">
      <formula>0</formula>
    </cfRule>
  </conditionalFormatting>
  <conditionalFormatting sqref="AQ114">
    <cfRule type="cellIs" dxfId="47" priority="47" operator="lessThan">
      <formula>0</formula>
    </cfRule>
    <cfRule type="cellIs" dxfId="46" priority="48" operator="greaterThan">
      <formula>0</formula>
    </cfRule>
  </conditionalFormatting>
  <conditionalFormatting sqref="AR114">
    <cfRule type="cellIs" dxfId="45" priority="45" operator="lessThan">
      <formula>0</formula>
    </cfRule>
    <cfRule type="cellIs" dxfId="44" priority="46" operator="greaterThan">
      <formula>0</formula>
    </cfRule>
  </conditionalFormatting>
  <conditionalFormatting sqref="AQ164:AR164">
    <cfRule type="cellIs" dxfId="43" priority="43" operator="lessThan">
      <formula>0</formula>
    </cfRule>
    <cfRule type="cellIs" dxfId="42" priority="44" operator="greaterThan">
      <formula>0</formula>
    </cfRule>
  </conditionalFormatting>
  <conditionalFormatting sqref="AQ170">
    <cfRule type="cellIs" dxfId="41" priority="41" operator="lessThan">
      <formula>0</formula>
    </cfRule>
    <cfRule type="cellIs" dxfId="40" priority="42" operator="greaterThan">
      <formula>0</formula>
    </cfRule>
  </conditionalFormatting>
  <conditionalFormatting sqref="AR170">
    <cfRule type="cellIs" dxfId="39" priority="39" operator="lessThan">
      <formula>0</formula>
    </cfRule>
    <cfRule type="cellIs" dxfId="38" priority="40" operator="greaterThan">
      <formula>0</formula>
    </cfRule>
  </conditionalFormatting>
  <conditionalFormatting sqref="AQ169">
    <cfRule type="cellIs" dxfId="37" priority="37" operator="lessThan">
      <formula>0</formula>
    </cfRule>
    <cfRule type="cellIs" dxfId="36" priority="38" operator="greaterThan">
      <formula>0</formula>
    </cfRule>
  </conditionalFormatting>
  <conditionalFormatting sqref="AR169">
    <cfRule type="cellIs" dxfId="35" priority="35" operator="lessThan">
      <formula>0</formula>
    </cfRule>
    <cfRule type="cellIs" dxfId="34" priority="36" operator="greaterThan">
      <formula>0</formula>
    </cfRule>
  </conditionalFormatting>
  <conditionalFormatting sqref="AQ172">
    <cfRule type="cellIs" dxfId="33" priority="33" operator="lessThan">
      <formula>0</formula>
    </cfRule>
    <cfRule type="cellIs" dxfId="32" priority="34" operator="greaterThan">
      <formula>0</formula>
    </cfRule>
  </conditionalFormatting>
  <conditionalFormatting sqref="AR172">
    <cfRule type="cellIs" dxfId="31" priority="31" operator="lessThan">
      <formula>0</formula>
    </cfRule>
    <cfRule type="cellIs" dxfId="30" priority="32" operator="greaterThan">
      <formula>0</formula>
    </cfRule>
  </conditionalFormatting>
  <conditionalFormatting sqref="AQ167">
    <cfRule type="cellIs" dxfId="29" priority="29" operator="lessThan">
      <formula>0</formula>
    </cfRule>
    <cfRule type="cellIs" dxfId="28" priority="30" operator="greaterThan">
      <formula>0</formula>
    </cfRule>
  </conditionalFormatting>
  <conditionalFormatting sqref="AR167">
    <cfRule type="cellIs" dxfId="27" priority="27" operator="lessThan">
      <formula>0</formula>
    </cfRule>
    <cfRule type="cellIs" dxfId="26" priority="28" operator="greaterThan">
      <formula>0</formula>
    </cfRule>
  </conditionalFormatting>
  <conditionalFormatting sqref="AQ166">
    <cfRule type="cellIs" dxfId="25" priority="25" operator="lessThan">
      <formula>0</formula>
    </cfRule>
    <cfRule type="cellIs" dxfId="24" priority="26" operator="greaterThan">
      <formula>0</formula>
    </cfRule>
  </conditionalFormatting>
  <conditionalFormatting sqref="AR166">
    <cfRule type="cellIs" dxfId="23" priority="23" operator="lessThan">
      <formula>0</formula>
    </cfRule>
    <cfRule type="cellIs" dxfId="22" priority="24" operator="greaterThan">
      <formula>0</formula>
    </cfRule>
  </conditionalFormatting>
  <conditionalFormatting sqref="AQ191:AR191">
    <cfRule type="cellIs" dxfId="21" priority="21" operator="lessThan">
      <formula>0</formula>
    </cfRule>
    <cfRule type="cellIs" dxfId="20" priority="22" operator="greaterThan">
      <formula>0</formula>
    </cfRule>
  </conditionalFormatting>
  <conditionalFormatting sqref="AQ205">
    <cfRule type="cellIs" dxfId="19" priority="19" operator="lessThan">
      <formula>0</formula>
    </cfRule>
    <cfRule type="cellIs" dxfId="18" priority="20" operator="greaterThan">
      <formula>0</formula>
    </cfRule>
  </conditionalFormatting>
  <conditionalFormatting sqref="AR205">
    <cfRule type="cellIs" dxfId="17" priority="17" operator="lessThan">
      <formula>0</formula>
    </cfRule>
    <cfRule type="cellIs" dxfId="16" priority="18" operator="greaterThan">
      <formula>0</formula>
    </cfRule>
  </conditionalFormatting>
  <conditionalFormatting sqref="AQ202">
    <cfRule type="cellIs" dxfId="15" priority="15" operator="lessThan">
      <formula>0</formula>
    </cfRule>
    <cfRule type="cellIs" dxfId="14" priority="16" operator="greaterThan">
      <formula>0</formula>
    </cfRule>
  </conditionalFormatting>
  <conditionalFormatting sqref="AR202">
    <cfRule type="cellIs" dxfId="13" priority="13" operator="lessThan">
      <formula>0</formula>
    </cfRule>
    <cfRule type="cellIs" dxfId="12" priority="14" operator="greaterThan">
      <formula>0</formula>
    </cfRule>
  </conditionalFormatting>
  <conditionalFormatting sqref="AQ209">
    <cfRule type="cellIs" dxfId="11" priority="11" operator="lessThan">
      <formula>0</formula>
    </cfRule>
    <cfRule type="cellIs" dxfId="10" priority="12" operator="greaterThan">
      <formula>0</formula>
    </cfRule>
  </conditionalFormatting>
  <conditionalFormatting sqref="AR209">
    <cfRule type="cellIs" dxfId="9" priority="9" operator="lessThan">
      <formula>0</formula>
    </cfRule>
    <cfRule type="cellIs" dxfId="8" priority="10" operator="greaterThan">
      <formula>0</formula>
    </cfRule>
  </conditionalFormatting>
  <conditionalFormatting sqref="AQ198">
    <cfRule type="cellIs" dxfId="7" priority="7" operator="lessThan">
      <formula>0</formula>
    </cfRule>
    <cfRule type="cellIs" dxfId="6" priority="8" operator="greaterThan">
      <formula>0</formula>
    </cfRule>
  </conditionalFormatting>
  <conditionalFormatting sqref="AR198">
    <cfRule type="cellIs" dxfId="5" priority="5" operator="lessThan">
      <formula>0</formula>
    </cfRule>
    <cfRule type="cellIs" dxfId="4" priority="6" operator="greaterThan">
      <formula>0</formula>
    </cfRule>
  </conditionalFormatting>
  <conditionalFormatting sqref="AQ195">
    <cfRule type="cellIs" dxfId="3" priority="3" operator="lessThan">
      <formula>0</formula>
    </cfRule>
    <cfRule type="cellIs" dxfId="2" priority="4" operator="greaterThan">
      <formula>0</formula>
    </cfRule>
  </conditionalFormatting>
  <conditionalFormatting sqref="AR195">
    <cfRule type="cellIs" dxfId="1" priority="1" operator="lessThan">
      <formula>0</formula>
    </cfRule>
    <cfRule type="cellIs" dxfId="0" priority="2" operator="greaterThan">
      <formula>0</formula>
    </cfRule>
  </conditionalFormatting>
  <dataValidations count="6">
    <dataValidation allowBlank="1" showInputMessage="1" showErrorMessage="1" promptTitle="Colorectal screening sensitivity" prompt="Select 'other' below and input screening sensitivity here. _x000a_" sqref="C27 C49 C76 C98 C149 C125 C171 C181 C206 C228" xr:uid="{B49F3165-BA4A-3D41-B778-4C2A8B4DAB96}"/>
    <dataValidation allowBlank="1" showInputMessage="1" showErrorMessage="1" promptTitle="Prostate screening sensitivity" prompt="Select 'other' below and input screening sensitivity here. _x000a_" sqref="C20 C13 C42 C35 C69 C62 C91 C84 C142 C118 C111 C168 C165 C178 C175 C199 C192 C221 C214" xr:uid="{D3D350FD-1CE1-D443-B54D-D0DC6DD0FAE5}"/>
    <dataValidation type="list" allowBlank="1" showInputMessage="1" showErrorMessage="1" sqref="C28 C50 C77 C99 C150 C126 C172 C182 C207 C229" xr:uid="{40E80CA5-C1D2-B34B-9906-0331E8C69A3E}">
      <formula1>Colorectal_Sensitivity</formula1>
    </dataValidation>
    <dataValidation type="list" allowBlank="1" showInputMessage="1" showErrorMessage="1" sqref="C21 C14 C43 C36 C70 C63 C92 C85 C143 C119 C112 C169 C166 C179 C176 C200 C193 C222 C215" xr:uid="{027E493E-9853-6C46-814D-A18B863FF827}">
      <formula1>Prostate_sensitivity</formula1>
    </dataValidation>
    <dataValidation allowBlank="1" showInputMessage="1" showErrorMessage="1" promptTitle="Breast screening sensitivity" prompt="Select 'other' below and input screening sensitivity here. _x000a_" sqref="C9 C31 C58 C80 C138 C107 C163 C173 C188 C210" xr:uid="{48DA8C6C-7458-9942-A85A-6436F5C01CE0}"/>
    <dataValidation type="list" allowBlank="1" showInputMessage="1" showErrorMessage="1" sqref="C10 C32 C59 C81 C139 C108 C164 C174 C189 C211" xr:uid="{E434A3A8-580A-4742-A385-49FA184DEFFD}">
      <formula1>Breast_sensitivity</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30EB9-0563-9B4B-B80A-256BA86FC13D}">
  <dimension ref="B1:L13"/>
  <sheetViews>
    <sheetView tabSelected="1" workbookViewId="0">
      <selection activeCell="G5" sqref="G5"/>
    </sheetView>
  </sheetViews>
  <sheetFormatPr baseColWidth="10" defaultColWidth="10.83203125" defaultRowHeight="13" x14ac:dyDescent="0.15"/>
  <cols>
    <col min="1" max="1" width="3.83203125" style="546" customWidth="1"/>
    <col min="2" max="16384" width="10.83203125" style="546"/>
  </cols>
  <sheetData>
    <row r="1" spans="2:12" ht="14" thickBot="1" x14ac:dyDescent="0.2"/>
    <row r="2" spans="2:12" ht="14" thickBot="1" x14ac:dyDescent="0.2">
      <c r="B2" s="1407" t="s">
        <v>358</v>
      </c>
      <c r="C2" s="1407" t="s">
        <v>359</v>
      </c>
      <c r="D2" s="1407" t="s">
        <v>360</v>
      </c>
      <c r="E2" s="1409" t="s">
        <v>361</v>
      </c>
      <c r="F2" s="1410"/>
      <c r="G2" s="1410"/>
      <c r="H2" s="1410"/>
      <c r="I2" s="1410"/>
      <c r="J2" s="1410"/>
      <c r="K2" s="1410"/>
      <c r="L2" s="1411"/>
    </row>
    <row r="3" spans="2:12" ht="255" thickBot="1" x14ac:dyDescent="0.2">
      <c r="B3" s="1408"/>
      <c r="C3" s="1408"/>
      <c r="D3" s="1408"/>
      <c r="E3" s="807" t="s">
        <v>362</v>
      </c>
      <c r="F3" s="808" t="s">
        <v>363</v>
      </c>
      <c r="G3" s="808" t="s">
        <v>364</v>
      </c>
      <c r="H3" s="808" t="s">
        <v>365</v>
      </c>
      <c r="I3" s="808" t="s">
        <v>366</v>
      </c>
      <c r="J3" s="808" t="s">
        <v>385</v>
      </c>
      <c r="K3" s="808" t="s">
        <v>386</v>
      </c>
      <c r="L3" s="809" t="s">
        <v>387</v>
      </c>
    </row>
    <row r="4" spans="2:12" x14ac:dyDescent="0.15">
      <c r="B4" s="804" t="s">
        <v>10</v>
      </c>
      <c r="C4" s="810">
        <v>4740</v>
      </c>
      <c r="D4" s="811">
        <v>161</v>
      </c>
      <c r="E4" s="812">
        <v>0.71299999999999997</v>
      </c>
      <c r="F4" s="813">
        <v>0.72</v>
      </c>
      <c r="G4" s="813">
        <v>0.76600000000000001</v>
      </c>
      <c r="H4" s="813"/>
      <c r="I4" s="813"/>
      <c r="J4" s="813">
        <v>0.76900000000000002</v>
      </c>
      <c r="K4" s="557"/>
      <c r="L4" s="571"/>
    </row>
    <row r="5" spans="2:12" x14ac:dyDescent="0.15">
      <c r="B5" s="805" t="s">
        <v>17</v>
      </c>
      <c r="C5" s="814">
        <v>52</v>
      </c>
      <c r="D5" s="815">
        <v>52</v>
      </c>
      <c r="E5" s="816">
        <v>0.65800000000000003</v>
      </c>
      <c r="F5" s="817"/>
      <c r="G5" s="817">
        <v>0.78700000000000003</v>
      </c>
      <c r="H5" s="817"/>
      <c r="I5" s="817"/>
      <c r="J5" s="817"/>
      <c r="K5" s="561"/>
      <c r="L5" s="564"/>
    </row>
    <row r="6" spans="2:12" x14ac:dyDescent="0.15">
      <c r="B6" s="805" t="s">
        <v>8</v>
      </c>
      <c r="C6" s="814">
        <v>4760</v>
      </c>
      <c r="D6" s="815">
        <v>162</v>
      </c>
      <c r="E6" s="816">
        <v>0.54800000000000004</v>
      </c>
      <c r="F6" s="817">
        <v>0.56200000000000006</v>
      </c>
      <c r="G6" s="817">
        <v>0.626</v>
      </c>
      <c r="H6" s="817"/>
      <c r="I6" s="817">
        <v>0.57299999999999995</v>
      </c>
      <c r="J6" s="561"/>
      <c r="K6" s="561"/>
      <c r="L6" s="818">
        <v>0.63700000000000001</v>
      </c>
    </row>
    <row r="7" spans="2:12" x14ac:dyDescent="0.15">
      <c r="B7" s="805" t="s">
        <v>13</v>
      </c>
      <c r="C7" s="814">
        <v>445</v>
      </c>
      <c r="D7" s="815">
        <v>36</v>
      </c>
      <c r="E7" s="816">
        <v>0.62</v>
      </c>
      <c r="F7" s="817">
        <v>0.622</v>
      </c>
      <c r="G7" s="817"/>
      <c r="H7" s="817"/>
      <c r="I7" s="817">
        <v>0.64300000000000002</v>
      </c>
      <c r="J7" s="561"/>
      <c r="K7" s="561"/>
      <c r="L7" s="818">
        <v>0.66</v>
      </c>
    </row>
    <row r="8" spans="2:12" x14ac:dyDescent="0.15">
      <c r="B8" s="805" t="s">
        <v>368</v>
      </c>
      <c r="C8" s="814">
        <v>2725</v>
      </c>
      <c r="D8" s="815">
        <v>103</v>
      </c>
      <c r="E8" s="816">
        <v>0.68</v>
      </c>
      <c r="F8" s="817">
        <v>0.68100000000000005</v>
      </c>
      <c r="G8" s="817">
        <v>0.70799999999999996</v>
      </c>
      <c r="H8" s="817"/>
      <c r="I8" s="817">
        <v>0.68799999999999994</v>
      </c>
      <c r="J8" s="561"/>
      <c r="K8" s="561"/>
      <c r="L8" s="818">
        <v>0.71599999999999997</v>
      </c>
    </row>
    <row r="9" spans="2:12" x14ac:dyDescent="0.15">
      <c r="B9" s="805" t="s">
        <v>367</v>
      </c>
      <c r="C9" s="814">
        <v>1541</v>
      </c>
      <c r="D9" s="815">
        <v>109</v>
      </c>
      <c r="E9" s="816">
        <v>0.70399999999999996</v>
      </c>
      <c r="F9" s="817">
        <v>0.71399999999999997</v>
      </c>
      <c r="G9" s="817">
        <v>0.71</v>
      </c>
      <c r="H9" s="817"/>
      <c r="I9" s="817">
        <v>0.84299999999999997</v>
      </c>
      <c r="J9" s="561"/>
      <c r="K9" s="561"/>
      <c r="L9" s="818">
        <v>0.84599999999999997</v>
      </c>
    </row>
    <row r="10" spans="2:12" x14ac:dyDescent="0.15">
      <c r="B10" s="805" t="s">
        <v>14</v>
      </c>
      <c r="C10" s="814">
        <v>612</v>
      </c>
      <c r="D10" s="815">
        <v>19</v>
      </c>
      <c r="E10" s="816">
        <v>0.68700000000000006</v>
      </c>
      <c r="F10" s="817"/>
      <c r="G10" s="817"/>
      <c r="H10" s="817">
        <v>0.71299999999999997</v>
      </c>
      <c r="I10" s="817"/>
      <c r="J10" s="561"/>
      <c r="K10" s="817">
        <v>0.72199999999999998</v>
      </c>
      <c r="L10" s="564"/>
    </row>
    <row r="11" spans="2:12" ht="14" thickBot="1" x14ac:dyDescent="0.2">
      <c r="B11" s="806" t="s">
        <v>12</v>
      </c>
      <c r="C11" s="819">
        <v>493</v>
      </c>
      <c r="D11" s="820">
        <v>22</v>
      </c>
      <c r="E11" s="821">
        <v>0.69499999999999995</v>
      </c>
      <c r="F11" s="822"/>
      <c r="G11" s="822"/>
      <c r="H11" s="822"/>
      <c r="I11" s="822">
        <v>0.71499999999999997</v>
      </c>
      <c r="J11" s="822">
        <v>0.745</v>
      </c>
      <c r="K11" s="573"/>
      <c r="L11" s="823"/>
    </row>
    <row r="12" spans="2:12" x14ac:dyDescent="0.15">
      <c r="B12" s="826"/>
      <c r="C12" s="824"/>
      <c r="D12" s="824"/>
      <c r="E12" s="825"/>
      <c r="F12" s="825"/>
      <c r="G12" s="825"/>
      <c r="H12" s="825"/>
      <c r="I12" s="825"/>
      <c r="J12" s="825"/>
    </row>
    <row r="13" spans="2:12" ht="60" customHeight="1" x14ac:dyDescent="0.15">
      <c r="B13" s="1412" t="s">
        <v>388</v>
      </c>
      <c r="C13" s="1412"/>
      <c r="D13" s="1412"/>
      <c r="E13" s="1412"/>
      <c r="F13" s="1412"/>
      <c r="G13" s="1412"/>
      <c r="H13" s="1412"/>
      <c r="I13" s="1412"/>
      <c r="J13" s="1412"/>
      <c r="K13" s="1412"/>
      <c r="L13" s="1412"/>
    </row>
  </sheetData>
  <mergeCells count="5">
    <mergeCell ref="B2:B3"/>
    <mergeCell ref="C2:C3"/>
    <mergeCell ref="D2:D3"/>
    <mergeCell ref="E2:L2"/>
    <mergeCell ref="B13:L13"/>
  </mergeCell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0B556-59F7-8B41-8147-CA6DCF4C7267}">
  <sheetPr>
    <tabColor theme="2"/>
  </sheetPr>
  <dimension ref="B2:AG125"/>
  <sheetViews>
    <sheetView zoomScale="90" zoomScaleNormal="90" workbookViewId="0">
      <selection activeCell="X4" sqref="X4:AG4"/>
    </sheetView>
  </sheetViews>
  <sheetFormatPr baseColWidth="10" defaultColWidth="10.6640625" defaultRowHeight="16" x14ac:dyDescent="0.2"/>
  <cols>
    <col min="1" max="1" width="3.83203125" customWidth="1"/>
    <col min="10" max="10" width="12.83203125" customWidth="1"/>
    <col min="12" max="12" width="3.83203125" customWidth="1"/>
    <col min="21" max="21" width="12.83203125" customWidth="1"/>
    <col min="23" max="23" width="3.83203125" customWidth="1"/>
    <col min="32" max="32" width="12.83203125" customWidth="1"/>
  </cols>
  <sheetData>
    <row r="2" spans="2:33" x14ac:dyDescent="0.2">
      <c r="B2" s="1" t="s">
        <v>19</v>
      </c>
    </row>
    <row r="3" spans="2:33" ht="17" thickBot="1" x14ac:dyDescent="0.25"/>
    <row r="4" spans="2:33" ht="17" thickBot="1" x14ac:dyDescent="0.25">
      <c r="B4" s="1416" t="s">
        <v>20</v>
      </c>
      <c r="C4" s="1417"/>
      <c r="D4" s="1417"/>
      <c r="E4" s="1417"/>
      <c r="F4" s="1417"/>
      <c r="G4" s="1417"/>
      <c r="H4" s="1417"/>
      <c r="I4" s="1417"/>
      <c r="J4" s="1417"/>
      <c r="K4" s="1418"/>
      <c r="M4" s="1416" t="s">
        <v>21</v>
      </c>
      <c r="N4" s="1417"/>
      <c r="O4" s="1417"/>
      <c r="P4" s="1417"/>
      <c r="Q4" s="1417"/>
      <c r="R4" s="1417"/>
      <c r="S4" s="1417"/>
      <c r="T4" s="1417"/>
      <c r="U4" s="1417"/>
      <c r="V4" s="1418"/>
      <c r="X4" s="1416" t="s">
        <v>22</v>
      </c>
      <c r="Y4" s="1417"/>
      <c r="Z4" s="1417"/>
      <c r="AA4" s="1417"/>
      <c r="AB4" s="1417"/>
      <c r="AC4" s="1417"/>
      <c r="AD4" s="1417"/>
      <c r="AE4" s="1417"/>
      <c r="AF4" s="1417"/>
      <c r="AG4" s="1418"/>
    </row>
    <row r="5" spans="2:33" ht="69" thickBot="1" x14ac:dyDescent="0.25">
      <c r="B5" s="234" t="s">
        <v>23</v>
      </c>
      <c r="C5" s="235" t="s">
        <v>5</v>
      </c>
      <c r="D5" s="235" t="s">
        <v>24</v>
      </c>
      <c r="E5" s="235" t="s">
        <v>25</v>
      </c>
      <c r="F5" s="236" t="s">
        <v>26</v>
      </c>
      <c r="G5" s="237" t="s">
        <v>27</v>
      </c>
      <c r="H5" s="235" t="s">
        <v>28</v>
      </c>
      <c r="I5" s="235" t="s">
        <v>29</v>
      </c>
      <c r="J5" s="235" t="s">
        <v>30</v>
      </c>
      <c r="K5" s="238" t="s">
        <v>31</v>
      </c>
      <c r="M5" s="234" t="s">
        <v>23</v>
      </c>
      <c r="N5" s="235" t="s">
        <v>5</v>
      </c>
      <c r="O5" s="235" t="s">
        <v>24</v>
      </c>
      <c r="P5" s="235" t="s">
        <v>25</v>
      </c>
      <c r="Q5" s="236" t="s">
        <v>26</v>
      </c>
      <c r="R5" s="259" t="s">
        <v>27</v>
      </c>
      <c r="S5" s="256" t="s">
        <v>28</v>
      </c>
      <c r="T5" s="256" t="s">
        <v>29</v>
      </c>
      <c r="U5" s="256" t="s">
        <v>30</v>
      </c>
      <c r="V5" s="260" t="s">
        <v>31</v>
      </c>
      <c r="X5" s="234" t="s">
        <v>23</v>
      </c>
      <c r="Y5" s="235" t="s">
        <v>5</v>
      </c>
      <c r="Z5" s="235" t="s">
        <v>24</v>
      </c>
      <c r="AA5" s="235" t="s">
        <v>25</v>
      </c>
      <c r="AB5" s="236" t="s">
        <v>26</v>
      </c>
      <c r="AC5" s="237" t="s">
        <v>27</v>
      </c>
      <c r="AD5" s="235" t="s">
        <v>28</v>
      </c>
      <c r="AE5" s="235" t="s">
        <v>29</v>
      </c>
      <c r="AF5" s="235" t="s">
        <v>30</v>
      </c>
      <c r="AG5" s="238" t="s">
        <v>31</v>
      </c>
    </row>
    <row r="6" spans="2:33" ht="17" customHeight="1" thickTop="1" x14ac:dyDescent="0.2">
      <c r="B6" s="1419" t="s">
        <v>8</v>
      </c>
      <c r="C6" s="239">
        <v>0.64300000000000002</v>
      </c>
      <c r="D6" s="243">
        <f>_xlfn.NORM.S.INV(C6)</f>
        <v>0.36648929388943369</v>
      </c>
      <c r="E6" s="243">
        <f>(D6*SQRT(2))</f>
        <v>0.51829412988297618</v>
      </c>
      <c r="F6" s="241">
        <v>1</v>
      </c>
      <c r="G6" s="242">
        <v>1</v>
      </c>
      <c r="H6" s="243">
        <v>0.99</v>
      </c>
      <c r="I6" s="243">
        <f>_xlfn.NORM.S.INV(H6)</f>
        <v>2.3263478740408408</v>
      </c>
      <c r="J6" s="243">
        <f t="shared" ref="J6:J37" si="0">1-_xlfn.NORM.DIST(I6,E6,F6,TRUE)</f>
        <v>3.5299068180741799E-2</v>
      </c>
      <c r="K6" s="244">
        <f>J6*100</f>
        <v>3.5299068180741799</v>
      </c>
      <c r="M6" s="1419" t="s">
        <v>8</v>
      </c>
      <c r="N6" s="239">
        <v>0.69</v>
      </c>
      <c r="O6" s="240">
        <f>_xlfn.NORM.S.INV(N6)</f>
        <v>0.49585034734745331</v>
      </c>
      <c r="P6" s="240">
        <f>(O6*SQRT(2))</f>
        <v>0.70123828612617856</v>
      </c>
      <c r="Q6" s="241">
        <v>1</v>
      </c>
      <c r="R6" s="255">
        <v>1</v>
      </c>
      <c r="S6" s="256">
        <v>0.99</v>
      </c>
      <c r="T6" s="256">
        <f>_xlfn.NORM.S.INV(S6)</f>
        <v>2.3263478740408408</v>
      </c>
      <c r="U6" s="256">
        <f>1-_xlfn.NORM.DIST(T6,P6,Q6,TRUE)</f>
        <v>5.2069605148116427E-2</v>
      </c>
      <c r="V6" s="257">
        <f>U6*100</f>
        <v>5.2069605148116427</v>
      </c>
      <c r="X6" s="1419" t="s">
        <v>8</v>
      </c>
      <c r="Y6" s="239">
        <v>0.71</v>
      </c>
      <c r="Z6" s="240">
        <f>_xlfn.NORM.S.INV(Y6)</f>
        <v>0.5533847195556727</v>
      </c>
      <c r="AA6" s="240">
        <f>(Z6*SQRT(2))</f>
        <v>0.78260417560566409</v>
      </c>
      <c r="AB6" s="241">
        <v>1</v>
      </c>
      <c r="AC6" s="242">
        <v>1</v>
      </c>
      <c r="AD6" s="243">
        <v>0.99</v>
      </c>
      <c r="AE6" s="243">
        <f>_xlfn.NORM.S.INV(AD6)</f>
        <v>2.3263478740408408</v>
      </c>
      <c r="AF6" s="243">
        <f>1-_xlfn.NORM.DIST(AE6,AA6,AB6,TRUE)</f>
        <v>6.1325217777951857E-2</v>
      </c>
      <c r="AG6" s="244">
        <f>AF6*100</f>
        <v>6.1325217777951853</v>
      </c>
    </row>
    <row r="7" spans="2:33" x14ac:dyDescent="0.2">
      <c r="B7" s="1414"/>
      <c r="C7" s="243">
        <f>C6</f>
        <v>0.64300000000000002</v>
      </c>
      <c r="D7" s="243">
        <f t="shared" ref="D7:D70" si="1">_xlfn.NORM.S.INV(C7)</f>
        <v>0.36648929388943369</v>
      </c>
      <c r="E7" s="243">
        <f t="shared" ref="E7:E70" si="2">(D7*SQRT(2))</f>
        <v>0.51829412988297618</v>
      </c>
      <c r="F7" s="241">
        <v>1</v>
      </c>
      <c r="G7" s="242">
        <v>5</v>
      </c>
      <c r="H7" s="243">
        <v>0.95</v>
      </c>
      <c r="I7" s="243">
        <f>_xlfn.NORM.S.INV(H7)</f>
        <v>1.6448536269514715</v>
      </c>
      <c r="J7" s="243">
        <f t="shared" si="0"/>
        <v>0.12996438594412008</v>
      </c>
      <c r="K7" s="244">
        <f>J7*100</f>
        <v>12.996438594412007</v>
      </c>
      <c r="M7" s="1414"/>
      <c r="N7" s="243">
        <f>N6</f>
        <v>0.69</v>
      </c>
      <c r="O7" s="240">
        <f t="shared" ref="O7:O70" si="3">_xlfn.NORM.S.INV(N7)</f>
        <v>0.49585034734745331</v>
      </c>
      <c r="P7" s="240">
        <f t="shared" ref="P7:P70" si="4">(O7*SQRT(2))</f>
        <v>0.70123828612617856</v>
      </c>
      <c r="Q7" s="241">
        <v>1</v>
      </c>
      <c r="R7" s="242">
        <v>5</v>
      </c>
      <c r="S7" s="243">
        <v>0.95</v>
      </c>
      <c r="T7" s="243">
        <f>_xlfn.NORM.S.INV(S7)</f>
        <v>1.6448536269514715</v>
      </c>
      <c r="U7" s="243">
        <f t="shared" ref="U7:U70" si="5">1-_xlfn.NORM.DIST(T7,P7,Q7,TRUE)</f>
        <v>0.17268312498946292</v>
      </c>
      <c r="V7" s="244">
        <f>U7*100</f>
        <v>17.268312498946294</v>
      </c>
      <c r="X7" s="1414"/>
      <c r="Y7" s="243">
        <f>Y6</f>
        <v>0.71</v>
      </c>
      <c r="Z7" s="240">
        <f t="shared" ref="Z7:Z70" si="6">_xlfn.NORM.S.INV(Y7)</f>
        <v>0.5533847195556727</v>
      </c>
      <c r="AA7" s="240">
        <f t="shared" ref="AA7:AA70" si="7">(Z7*SQRT(2))</f>
        <v>0.78260417560566409</v>
      </c>
      <c r="AB7" s="241">
        <v>1</v>
      </c>
      <c r="AC7" s="242">
        <v>5</v>
      </c>
      <c r="AD7" s="243">
        <v>0.95</v>
      </c>
      <c r="AE7" s="243">
        <f>_xlfn.NORM.S.INV(AD7)</f>
        <v>1.6448536269514715</v>
      </c>
      <c r="AF7" s="243">
        <f t="shared" ref="AF7:AF70" si="8">1-_xlfn.NORM.DIST(AE7,AA7,AB7,TRUE)</f>
        <v>0.19427513124430007</v>
      </c>
      <c r="AG7" s="244">
        <f>AF7*100</f>
        <v>19.427513124430007</v>
      </c>
    </row>
    <row r="8" spans="2:33" x14ac:dyDescent="0.2">
      <c r="B8" s="1414"/>
      <c r="C8" s="243">
        <f t="shared" ref="C8:C18" si="9">C7</f>
        <v>0.64300000000000002</v>
      </c>
      <c r="D8" s="243">
        <f t="shared" si="1"/>
        <v>0.36648929388943369</v>
      </c>
      <c r="E8" s="243">
        <f t="shared" si="2"/>
        <v>0.51829412988297618</v>
      </c>
      <c r="F8" s="241">
        <v>1</v>
      </c>
      <c r="G8" s="242">
        <v>10</v>
      </c>
      <c r="H8" s="243">
        <v>0.9</v>
      </c>
      <c r="I8" s="243">
        <f t="shared" ref="I8:I31" si="10">_xlfn.NORM.S.INV(H8)</f>
        <v>1.2815515655446006</v>
      </c>
      <c r="J8" s="243">
        <f t="shared" si="0"/>
        <v>0.22265494062393565</v>
      </c>
      <c r="K8" s="244">
        <f>J8*100</f>
        <v>22.265494062393564</v>
      </c>
      <c r="M8" s="1414"/>
      <c r="N8" s="243">
        <f t="shared" ref="N8:N18" si="11">N7</f>
        <v>0.69</v>
      </c>
      <c r="O8" s="240">
        <f t="shared" si="3"/>
        <v>0.49585034734745331</v>
      </c>
      <c r="P8" s="240">
        <f t="shared" si="4"/>
        <v>0.70123828612617856</v>
      </c>
      <c r="Q8" s="241">
        <v>1</v>
      </c>
      <c r="R8" s="242">
        <v>10</v>
      </c>
      <c r="S8" s="243">
        <v>0.9</v>
      </c>
      <c r="T8" s="243">
        <f t="shared" ref="T8:T31" si="12">_xlfn.NORM.S.INV(S8)</f>
        <v>1.2815515655446006</v>
      </c>
      <c r="U8" s="243">
        <f t="shared" si="5"/>
        <v>0.2808516869597405</v>
      </c>
      <c r="V8" s="244">
        <f>U8*100</f>
        <v>28.085168695974051</v>
      </c>
      <c r="X8" s="1414"/>
      <c r="Y8" s="243">
        <f t="shared" ref="Y8:Y18" si="13">Y7</f>
        <v>0.71</v>
      </c>
      <c r="Z8" s="240">
        <f t="shared" si="6"/>
        <v>0.5533847195556727</v>
      </c>
      <c r="AA8" s="240">
        <f t="shared" si="7"/>
        <v>0.78260417560566409</v>
      </c>
      <c r="AB8" s="241">
        <v>1</v>
      </c>
      <c r="AC8" s="242">
        <v>10</v>
      </c>
      <c r="AD8" s="243">
        <v>0.9</v>
      </c>
      <c r="AE8" s="243">
        <f t="shared" ref="AE8:AE31" si="14">_xlfn.NORM.S.INV(AD8)</f>
        <v>1.2815515655446006</v>
      </c>
      <c r="AF8" s="243">
        <f t="shared" si="8"/>
        <v>0.30890822370077409</v>
      </c>
      <c r="AG8" s="244">
        <f>AF8*100</f>
        <v>30.890822370077409</v>
      </c>
    </row>
    <row r="9" spans="2:33" ht="17" thickBot="1" x14ac:dyDescent="0.25">
      <c r="B9" s="1414"/>
      <c r="C9" s="243">
        <f t="shared" si="9"/>
        <v>0.64300000000000002</v>
      </c>
      <c r="D9" s="243">
        <f t="shared" si="1"/>
        <v>0.36648929388943369</v>
      </c>
      <c r="E9" s="243">
        <f t="shared" si="2"/>
        <v>0.51829412988297618</v>
      </c>
      <c r="F9" s="241">
        <v>1</v>
      </c>
      <c r="G9" s="242">
        <v>20</v>
      </c>
      <c r="H9" s="243">
        <v>0.8</v>
      </c>
      <c r="I9" s="243">
        <f t="shared" si="10"/>
        <v>0.84162123357291474</v>
      </c>
      <c r="J9" s="243">
        <f t="shared" si="0"/>
        <v>0.37322376481683772</v>
      </c>
      <c r="K9" s="244">
        <f t="shared" ref="K9:K18" si="15">J9*100</f>
        <v>37.322376481683776</v>
      </c>
      <c r="M9" s="1414"/>
      <c r="N9" s="243">
        <f t="shared" si="11"/>
        <v>0.69</v>
      </c>
      <c r="O9" s="240">
        <f t="shared" si="3"/>
        <v>0.49585034734745331</v>
      </c>
      <c r="P9" s="240">
        <f t="shared" si="4"/>
        <v>0.70123828612617856</v>
      </c>
      <c r="Q9" s="241">
        <v>1</v>
      </c>
      <c r="R9" s="248">
        <v>20</v>
      </c>
      <c r="S9" s="249">
        <v>0.8</v>
      </c>
      <c r="T9" s="249">
        <f t="shared" si="12"/>
        <v>0.84162123357291474</v>
      </c>
      <c r="U9" s="249">
        <f t="shared" si="5"/>
        <v>0.44417871519760621</v>
      </c>
      <c r="V9" s="258">
        <f t="shared" ref="V9:V18" si="16">U9*100</f>
        <v>44.417871519760624</v>
      </c>
      <c r="X9" s="1414"/>
      <c r="Y9" s="243">
        <f t="shared" si="13"/>
        <v>0.71</v>
      </c>
      <c r="Z9" s="240">
        <f t="shared" si="6"/>
        <v>0.5533847195556727</v>
      </c>
      <c r="AA9" s="240">
        <f t="shared" si="7"/>
        <v>0.78260417560566409</v>
      </c>
      <c r="AB9" s="241">
        <v>1</v>
      </c>
      <c r="AC9" s="242">
        <v>20</v>
      </c>
      <c r="AD9" s="243">
        <v>0.8</v>
      </c>
      <c r="AE9" s="243">
        <f t="shared" si="14"/>
        <v>0.84162123357291474</v>
      </c>
      <c r="AF9" s="243">
        <f t="shared" si="8"/>
        <v>0.47646926074981577</v>
      </c>
      <c r="AG9" s="244">
        <f t="shared" ref="AG9:AG18" si="17">AF9*100</f>
        <v>47.646926074981579</v>
      </c>
    </row>
    <row r="10" spans="2:33" hidden="1" x14ac:dyDescent="0.2">
      <c r="B10" s="1414"/>
      <c r="C10" s="243">
        <f t="shared" si="9"/>
        <v>0.64300000000000002</v>
      </c>
      <c r="D10" s="243">
        <f t="shared" si="1"/>
        <v>0.36648929388943369</v>
      </c>
      <c r="E10" s="243">
        <f t="shared" si="2"/>
        <v>0.51829412988297618</v>
      </c>
      <c r="F10" s="241">
        <v>1</v>
      </c>
      <c r="G10" s="242">
        <v>30</v>
      </c>
      <c r="H10" s="243">
        <v>0.7</v>
      </c>
      <c r="I10" s="243">
        <f t="shared" si="10"/>
        <v>0.52440051270804078</v>
      </c>
      <c r="J10" s="243">
        <f t="shared" si="0"/>
        <v>0.49756392085015788</v>
      </c>
      <c r="K10" s="245">
        <f t="shared" si="15"/>
        <v>49.75639208501579</v>
      </c>
      <c r="M10" s="1414"/>
      <c r="N10" s="243">
        <f t="shared" si="11"/>
        <v>0.69</v>
      </c>
      <c r="O10" s="240">
        <f t="shared" si="3"/>
        <v>0.49585034734745331</v>
      </c>
      <c r="P10" s="240">
        <f t="shared" si="4"/>
        <v>0.70123828612617856</v>
      </c>
      <c r="Q10" s="241">
        <v>1</v>
      </c>
      <c r="R10" s="242">
        <v>30</v>
      </c>
      <c r="S10" s="243">
        <v>0.7</v>
      </c>
      <c r="T10" s="243">
        <f t="shared" si="12"/>
        <v>0.52440051270804078</v>
      </c>
      <c r="U10" s="243">
        <f t="shared" si="5"/>
        <v>0.57018209114640361</v>
      </c>
      <c r="V10" s="245">
        <f t="shared" si="16"/>
        <v>57.018209114640364</v>
      </c>
      <c r="X10" s="1414"/>
      <c r="Y10" s="243">
        <f t="shared" si="13"/>
        <v>0.71</v>
      </c>
      <c r="Z10" s="240">
        <f t="shared" si="6"/>
        <v>0.5533847195556727</v>
      </c>
      <c r="AA10" s="240">
        <f t="shared" si="7"/>
        <v>0.78260417560566409</v>
      </c>
      <c r="AB10" s="241">
        <v>1</v>
      </c>
      <c r="AC10" s="242">
        <v>30</v>
      </c>
      <c r="AD10" s="243">
        <v>0.7</v>
      </c>
      <c r="AE10" s="243">
        <f t="shared" si="14"/>
        <v>0.52440051270804078</v>
      </c>
      <c r="AF10" s="243">
        <f t="shared" si="8"/>
        <v>0.60187513441409601</v>
      </c>
      <c r="AG10" s="245">
        <f t="shared" si="17"/>
        <v>60.1875134414096</v>
      </c>
    </row>
    <row r="11" spans="2:33" hidden="1" x14ac:dyDescent="0.2">
      <c r="B11" s="1414"/>
      <c r="C11" s="243">
        <f t="shared" si="9"/>
        <v>0.64300000000000002</v>
      </c>
      <c r="D11" s="243">
        <f t="shared" si="1"/>
        <v>0.36648929388943369</v>
      </c>
      <c r="E11" s="243">
        <f t="shared" si="2"/>
        <v>0.51829412988297618</v>
      </c>
      <c r="F11" s="241">
        <v>1</v>
      </c>
      <c r="G11" s="242">
        <v>40</v>
      </c>
      <c r="H11" s="243">
        <v>0.6</v>
      </c>
      <c r="I11" s="243">
        <f t="shared" si="10"/>
        <v>0.25334710313579978</v>
      </c>
      <c r="J11" s="243">
        <f t="shared" si="0"/>
        <v>0.60447486484469093</v>
      </c>
      <c r="K11" s="245">
        <f t="shared" si="15"/>
        <v>60.447486484469096</v>
      </c>
      <c r="M11" s="1414"/>
      <c r="N11" s="243">
        <f t="shared" si="11"/>
        <v>0.69</v>
      </c>
      <c r="O11" s="240">
        <f t="shared" si="3"/>
        <v>0.49585034734745331</v>
      </c>
      <c r="P11" s="240">
        <f t="shared" si="4"/>
        <v>0.70123828612617856</v>
      </c>
      <c r="Q11" s="241">
        <v>1</v>
      </c>
      <c r="R11" s="242">
        <v>40</v>
      </c>
      <c r="S11" s="243">
        <v>0.6</v>
      </c>
      <c r="T11" s="243">
        <f t="shared" si="12"/>
        <v>0.25334710313579978</v>
      </c>
      <c r="U11" s="243">
        <f t="shared" si="5"/>
        <v>0.6728841340278664</v>
      </c>
      <c r="V11" s="245">
        <f t="shared" si="16"/>
        <v>67.288413402786645</v>
      </c>
      <c r="X11" s="1414"/>
      <c r="Y11" s="243">
        <f t="shared" si="13"/>
        <v>0.71</v>
      </c>
      <c r="Z11" s="240">
        <f t="shared" si="6"/>
        <v>0.5533847195556727</v>
      </c>
      <c r="AA11" s="240">
        <f t="shared" si="7"/>
        <v>0.78260417560566409</v>
      </c>
      <c r="AB11" s="241">
        <v>1</v>
      </c>
      <c r="AC11" s="242">
        <v>40</v>
      </c>
      <c r="AD11" s="243">
        <v>0.6</v>
      </c>
      <c r="AE11" s="243">
        <f t="shared" si="14"/>
        <v>0.25334710313579978</v>
      </c>
      <c r="AF11" s="243">
        <f t="shared" si="8"/>
        <v>0.70168643492301408</v>
      </c>
      <c r="AG11" s="245">
        <f t="shared" si="17"/>
        <v>70.168643492301413</v>
      </c>
    </row>
    <row r="12" spans="2:33" hidden="1" x14ac:dyDescent="0.2">
      <c r="B12" s="1414"/>
      <c r="C12" s="243">
        <f t="shared" si="9"/>
        <v>0.64300000000000002</v>
      </c>
      <c r="D12" s="243">
        <f t="shared" si="1"/>
        <v>0.36648929388943369</v>
      </c>
      <c r="E12" s="243">
        <f t="shared" si="2"/>
        <v>0.51829412988297618</v>
      </c>
      <c r="F12" s="241">
        <v>1</v>
      </c>
      <c r="G12" s="242">
        <v>50</v>
      </c>
      <c r="H12" s="243">
        <v>0.5</v>
      </c>
      <c r="I12" s="243">
        <f t="shared" si="10"/>
        <v>0</v>
      </c>
      <c r="J12" s="243">
        <f t="shared" si="0"/>
        <v>0.69787346603125922</v>
      </c>
      <c r="K12" s="245">
        <f t="shared" si="15"/>
        <v>69.787346603125926</v>
      </c>
      <c r="M12" s="1414"/>
      <c r="N12" s="243">
        <f t="shared" si="11"/>
        <v>0.69</v>
      </c>
      <c r="O12" s="240">
        <f t="shared" si="3"/>
        <v>0.49585034734745331</v>
      </c>
      <c r="P12" s="240">
        <f t="shared" si="4"/>
        <v>0.70123828612617856</v>
      </c>
      <c r="Q12" s="241">
        <v>1</v>
      </c>
      <c r="R12" s="242">
        <v>50</v>
      </c>
      <c r="S12" s="243">
        <v>0.5</v>
      </c>
      <c r="T12" s="243">
        <f t="shared" si="12"/>
        <v>0</v>
      </c>
      <c r="U12" s="243">
        <f t="shared" si="5"/>
        <v>0.75842283986174275</v>
      </c>
      <c r="V12" s="245">
        <f t="shared" si="16"/>
        <v>75.84228398617428</v>
      </c>
      <c r="X12" s="1414"/>
      <c r="Y12" s="243">
        <f t="shared" si="13"/>
        <v>0.71</v>
      </c>
      <c r="Z12" s="240">
        <f t="shared" si="6"/>
        <v>0.5533847195556727</v>
      </c>
      <c r="AA12" s="240">
        <f t="shared" si="7"/>
        <v>0.78260417560566409</v>
      </c>
      <c r="AB12" s="241">
        <v>1</v>
      </c>
      <c r="AC12" s="242">
        <v>50</v>
      </c>
      <c r="AD12" s="243">
        <v>0.5</v>
      </c>
      <c r="AE12" s="243">
        <f t="shared" si="14"/>
        <v>0</v>
      </c>
      <c r="AF12" s="243">
        <f t="shared" si="8"/>
        <v>0.78307020565528895</v>
      </c>
      <c r="AG12" s="245">
        <f t="shared" si="17"/>
        <v>78.307020565528902</v>
      </c>
    </row>
    <row r="13" spans="2:33" hidden="1" x14ac:dyDescent="0.2">
      <c r="B13" s="1414"/>
      <c r="C13" s="243">
        <f t="shared" si="9"/>
        <v>0.64300000000000002</v>
      </c>
      <c r="D13" s="243">
        <f t="shared" si="1"/>
        <v>0.36648929388943369</v>
      </c>
      <c r="E13" s="243">
        <f t="shared" si="2"/>
        <v>0.51829412988297618</v>
      </c>
      <c r="F13" s="241">
        <v>1</v>
      </c>
      <c r="G13" s="242">
        <v>60</v>
      </c>
      <c r="H13" s="243">
        <v>0.4</v>
      </c>
      <c r="I13" s="243">
        <f t="shared" si="10"/>
        <v>-0.25334710313579978</v>
      </c>
      <c r="J13" s="243">
        <f t="shared" si="0"/>
        <v>0.77983652708897155</v>
      </c>
      <c r="K13" s="245">
        <f t="shared" si="15"/>
        <v>77.983652708897154</v>
      </c>
      <c r="M13" s="1414"/>
      <c r="N13" s="243">
        <f t="shared" si="11"/>
        <v>0.69</v>
      </c>
      <c r="O13" s="240">
        <f t="shared" si="3"/>
        <v>0.49585034734745331</v>
      </c>
      <c r="P13" s="240">
        <f t="shared" si="4"/>
        <v>0.70123828612617856</v>
      </c>
      <c r="Q13" s="241">
        <v>1</v>
      </c>
      <c r="R13" s="242">
        <v>60</v>
      </c>
      <c r="S13" s="243">
        <v>0.4</v>
      </c>
      <c r="T13" s="243">
        <f t="shared" si="12"/>
        <v>-0.25334710313579978</v>
      </c>
      <c r="U13" s="243">
        <f t="shared" si="5"/>
        <v>0.83010629562030736</v>
      </c>
      <c r="V13" s="245">
        <f t="shared" si="16"/>
        <v>83.010629562030729</v>
      </c>
      <c r="X13" s="1414"/>
      <c r="Y13" s="243">
        <f t="shared" si="13"/>
        <v>0.71</v>
      </c>
      <c r="Z13" s="240">
        <f t="shared" si="6"/>
        <v>0.5533847195556727</v>
      </c>
      <c r="AA13" s="240">
        <f t="shared" si="7"/>
        <v>0.78260417560566409</v>
      </c>
      <c r="AB13" s="241">
        <v>1</v>
      </c>
      <c r="AC13" s="242">
        <v>60</v>
      </c>
      <c r="AD13" s="243">
        <v>0.4</v>
      </c>
      <c r="AE13" s="243">
        <f t="shared" si="14"/>
        <v>-0.25334710313579978</v>
      </c>
      <c r="AF13" s="243">
        <f t="shared" si="8"/>
        <v>0.84988756356326911</v>
      </c>
      <c r="AG13" s="245">
        <f t="shared" si="17"/>
        <v>84.988756356326917</v>
      </c>
    </row>
    <row r="14" spans="2:33" hidden="1" x14ac:dyDescent="0.2">
      <c r="B14" s="1414"/>
      <c r="C14" s="243">
        <f t="shared" si="9"/>
        <v>0.64300000000000002</v>
      </c>
      <c r="D14" s="243">
        <f t="shared" si="1"/>
        <v>0.36648929388943369</v>
      </c>
      <c r="E14" s="243">
        <f t="shared" si="2"/>
        <v>0.51829412988297618</v>
      </c>
      <c r="F14" s="241">
        <v>1</v>
      </c>
      <c r="G14" s="242">
        <v>70</v>
      </c>
      <c r="H14" s="243">
        <v>0.3</v>
      </c>
      <c r="I14" s="243">
        <f t="shared" si="10"/>
        <v>-0.52440051270804089</v>
      </c>
      <c r="J14" s="243">
        <f t="shared" si="0"/>
        <v>0.85145513003422879</v>
      </c>
      <c r="K14" s="245">
        <f t="shared" si="15"/>
        <v>85.145513003422877</v>
      </c>
      <c r="M14" s="1414"/>
      <c r="N14" s="243">
        <f t="shared" si="11"/>
        <v>0.69</v>
      </c>
      <c r="O14" s="240">
        <f t="shared" si="3"/>
        <v>0.49585034734745331</v>
      </c>
      <c r="P14" s="240">
        <f t="shared" si="4"/>
        <v>0.70123828612617856</v>
      </c>
      <c r="Q14" s="241">
        <v>1</v>
      </c>
      <c r="R14" s="242">
        <v>70</v>
      </c>
      <c r="S14" s="243">
        <v>0.3</v>
      </c>
      <c r="T14" s="243">
        <f t="shared" si="12"/>
        <v>-0.52440051270804089</v>
      </c>
      <c r="U14" s="243">
        <f t="shared" si="5"/>
        <v>0.88983268477025201</v>
      </c>
      <c r="V14" s="245">
        <f t="shared" si="16"/>
        <v>88.983268477025206</v>
      </c>
      <c r="X14" s="1414"/>
      <c r="Y14" s="243">
        <f t="shared" si="13"/>
        <v>0.71</v>
      </c>
      <c r="Z14" s="240">
        <f t="shared" si="6"/>
        <v>0.5533847195556727</v>
      </c>
      <c r="AA14" s="240">
        <f t="shared" si="7"/>
        <v>0.78260417560566409</v>
      </c>
      <c r="AB14" s="241">
        <v>1</v>
      </c>
      <c r="AC14" s="242">
        <v>70</v>
      </c>
      <c r="AD14" s="243">
        <v>0.3</v>
      </c>
      <c r="AE14" s="243">
        <f t="shared" si="14"/>
        <v>-0.52440051270804089</v>
      </c>
      <c r="AF14" s="243">
        <f t="shared" si="8"/>
        <v>0.90439444038752403</v>
      </c>
      <c r="AG14" s="245">
        <f t="shared" si="17"/>
        <v>90.439444038752399</v>
      </c>
    </row>
    <row r="15" spans="2:33" hidden="1" x14ac:dyDescent="0.2">
      <c r="B15" s="1414"/>
      <c r="C15" s="243">
        <f t="shared" si="9"/>
        <v>0.64300000000000002</v>
      </c>
      <c r="D15" s="243">
        <f t="shared" si="1"/>
        <v>0.36648929388943369</v>
      </c>
      <c r="E15" s="243">
        <f t="shared" si="2"/>
        <v>0.51829412988297618</v>
      </c>
      <c r="F15" s="241">
        <v>1</v>
      </c>
      <c r="G15" s="242">
        <v>80</v>
      </c>
      <c r="H15" s="243">
        <v>0.2</v>
      </c>
      <c r="I15" s="243">
        <f t="shared" si="10"/>
        <v>-0.84162123357291452</v>
      </c>
      <c r="J15" s="243">
        <f t="shared" si="0"/>
        <v>0.91307164568272736</v>
      </c>
      <c r="K15" s="245">
        <f t="shared" si="15"/>
        <v>91.307164568272739</v>
      </c>
      <c r="M15" s="1414"/>
      <c r="N15" s="243">
        <f t="shared" si="11"/>
        <v>0.69</v>
      </c>
      <c r="O15" s="240">
        <f t="shared" si="3"/>
        <v>0.49585034734745331</v>
      </c>
      <c r="P15" s="240">
        <f t="shared" si="4"/>
        <v>0.70123828612617856</v>
      </c>
      <c r="Q15" s="241">
        <v>1</v>
      </c>
      <c r="R15" s="242">
        <v>80</v>
      </c>
      <c r="S15" s="243">
        <v>0.2</v>
      </c>
      <c r="T15" s="243">
        <f t="shared" si="12"/>
        <v>-0.84162123357291452</v>
      </c>
      <c r="U15" s="243">
        <f t="shared" si="5"/>
        <v>0.93856756779547001</v>
      </c>
      <c r="V15" s="245">
        <f t="shared" si="16"/>
        <v>93.856756779546998</v>
      </c>
      <c r="X15" s="1414"/>
      <c r="Y15" s="243">
        <f t="shared" si="13"/>
        <v>0.71</v>
      </c>
      <c r="Z15" s="240">
        <f t="shared" si="6"/>
        <v>0.5533847195556727</v>
      </c>
      <c r="AA15" s="240">
        <f t="shared" si="7"/>
        <v>0.78260417560566409</v>
      </c>
      <c r="AB15" s="241">
        <v>1</v>
      </c>
      <c r="AC15" s="242">
        <v>80</v>
      </c>
      <c r="AD15" s="243">
        <v>0.2</v>
      </c>
      <c r="AE15" s="243">
        <f t="shared" si="14"/>
        <v>-0.84162123357291452</v>
      </c>
      <c r="AF15" s="243">
        <f t="shared" si="8"/>
        <v>0.94783614506999703</v>
      </c>
      <c r="AG15" s="245">
        <f t="shared" si="17"/>
        <v>94.783614506999697</v>
      </c>
    </row>
    <row r="16" spans="2:33" hidden="1" x14ac:dyDescent="0.2">
      <c r="B16" s="1414"/>
      <c r="C16" s="243">
        <f t="shared" si="9"/>
        <v>0.64300000000000002</v>
      </c>
      <c r="D16" s="243">
        <f t="shared" si="1"/>
        <v>0.36648929388943369</v>
      </c>
      <c r="E16" s="243">
        <f t="shared" si="2"/>
        <v>0.51829412988297618</v>
      </c>
      <c r="F16" s="241">
        <v>1</v>
      </c>
      <c r="G16" s="242">
        <v>90</v>
      </c>
      <c r="H16" s="243">
        <v>0.1</v>
      </c>
      <c r="I16" s="243">
        <f t="shared" si="10"/>
        <v>-1.2815515655446006</v>
      </c>
      <c r="J16" s="243">
        <f t="shared" si="0"/>
        <v>0.96405749682473063</v>
      </c>
      <c r="K16" s="245">
        <f t="shared" si="15"/>
        <v>96.405749682473058</v>
      </c>
      <c r="M16" s="1414"/>
      <c r="N16" s="243">
        <f t="shared" si="11"/>
        <v>0.69</v>
      </c>
      <c r="O16" s="240">
        <f t="shared" si="3"/>
        <v>0.49585034734745331</v>
      </c>
      <c r="P16" s="240">
        <f t="shared" si="4"/>
        <v>0.70123828612617856</v>
      </c>
      <c r="Q16" s="241">
        <v>1</v>
      </c>
      <c r="R16" s="242">
        <v>90</v>
      </c>
      <c r="S16" s="243">
        <v>0.1</v>
      </c>
      <c r="T16" s="243">
        <f t="shared" si="12"/>
        <v>-1.2815515655446006</v>
      </c>
      <c r="U16" s="243">
        <f t="shared" si="5"/>
        <v>0.97630454596853544</v>
      </c>
      <c r="V16" s="245">
        <f t="shared" si="16"/>
        <v>97.630454596853539</v>
      </c>
      <c r="X16" s="1414"/>
      <c r="Y16" s="243">
        <f t="shared" si="13"/>
        <v>0.71</v>
      </c>
      <c r="Z16" s="240">
        <f t="shared" si="6"/>
        <v>0.5533847195556727</v>
      </c>
      <c r="AA16" s="240">
        <f t="shared" si="7"/>
        <v>0.78260417560566409</v>
      </c>
      <c r="AB16" s="241">
        <v>1</v>
      </c>
      <c r="AC16" s="242">
        <v>90</v>
      </c>
      <c r="AD16" s="243">
        <v>0.1</v>
      </c>
      <c r="AE16" s="243">
        <f t="shared" si="14"/>
        <v>-1.2815515655446006</v>
      </c>
      <c r="AF16" s="243">
        <f t="shared" si="8"/>
        <v>0.98049852383127967</v>
      </c>
      <c r="AG16" s="245">
        <f t="shared" si="17"/>
        <v>98.04985238312797</v>
      </c>
    </row>
    <row r="17" spans="2:33" hidden="1" x14ac:dyDescent="0.2">
      <c r="B17" s="1414"/>
      <c r="C17" s="243">
        <f t="shared" si="9"/>
        <v>0.64300000000000002</v>
      </c>
      <c r="D17" s="243">
        <f t="shared" si="1"/>
        <v>0.36648929388943369</v>
      </c>
      <c r="E17" s="243">
        <f t="shared" si="2"/>
        <v>0.51829412988297618</v>
      </c>
      <c r="F17" s="241">
        <v>1</v>
      </c>
      <c r="G17" s="242">
        <v>95</v>
      </c>
      <c r="H17" s="243">
        <v>0.05</v>
      </c>
      <c r="I17" s="243">
        <f t="shared" si="10"/>
        <v>-1.6448536269514726</v>
      </c>
      <c r="J17" s="243">
        <f t="shared" si="0"/>
        <v>0.9847350915202927</v>
      </c>
      <c r="K17" s="245">
        <f t="shared" si="15"/>
        <v>98.473509152029266</v>
      </c>
      <c r="M17" s="1414"/>
      <c r="N17" s="243">
        <f t="shared" si="11"/>
        <v>0.69</v>
      </c>
      <c r="O17" s="240">
        <f t="shared" si="3"/>
        <v>0.49585034734745331</v>
      </c>
      <c r="P17" s="240">
        <f t="shared" si="4"/>
        <v>0.70123828612617856</v>
      </c>
      <c r="Q17" s="241">
        <v>1</v>
      </c>
      <c r="R17" s="242">
        <v>95</v>
      </c>
      <c r="S17" s="243">
        <v>0.05</v>
      </c>
      <c r="T17" s="243">
        <f t="shared" si="12"/>
        <v>-1.6448536269514726</v>
      </c>
      <c r="U17" s="243">
        <f t="shared" si="5"/>
        <v>0.99051428576892542</v>
      </c>
      <c r="V17" s="245">
        <f t="shared" si="16"/>
        <v>99.051428576892548</v>
      </c>
      <c r="X17" s="1414"/>
      <c r="Y17" s="243">
        <f t="shared" si="13"/>
        <v>0.71</v>
      </c>
      <c r="Z17" s="240">
        <f t="shared" si="6"/>
        <v>0.5533847195556727</v>
      </c>
      <c r="AA17" s="240">
        <f t="shared" si="7"/>
        <v>0.78260417560566409</v>
      </c>
      <c r="AB17" s="241">
        <v>1</v>
      </c>
      <c r="AC17" s="242">
        <v>95</v>
      </c>
      <c r="AD17" s="243">
        <v>0.05</v>
      </c>
      <c r="AE17" s="243">
        <f t="shared" si="14"/>
        <v>-1.6448536269514726</v>
      </c>
      <c r="AF17" s="243">
        <f t="shared" si="8"/>
        <v>0.99239747222952079</v>
      </c>
      <c r="AG17" s="245">
        <f t="shared" si="17"/>
        <v>99.239747222952076</v>
      </c>
    </row>
    <row r="18" spans="2:33" ht="17" hidden="1" customHeight="1" thickBot="1" x14ac:dyDescent="0.25">
      <c r="B18" s="1415"/>
      <c r="C18" s="243">
        <f t="shared" si="9"/>
        <v>0.64300000000000002</v>
      </c>
      <c r="D18" s="243">
        <f t="shared" si="1"/>
        <v>0.36648929388943369</v>
      </c>
      <c r="E18" s="243">
        <f t="shared" si="2"/>
        <v>0.51829412988297618</v>
      </c>
      <c r="F18" s="247">
        <v>1</v>
      </c>
      <c r="G18" s="248">
        <v>99</v>
      </c>
      <c r="H18" s="249">
        <v>0.01</v>
      </c>
      <c r="I18" s="249">
        <f t="shared" si="10"/>
        <v>-2.3263478740408408</v>
      </c>
      <c r="J18" s="249">
        <f t="shared" si="0"/>
        <v>0.99777693187122429</v>
      </c>
      <c r="K18" s="250">
        <f t="shared" si="15"/>
        <v>99.777693187122424</v>
      </c>
      <c r="M18" s="1415"/>
      <c r="N18" s="243">
        <f t="shared" si="11"/>
        <v>0.69</v>
      </c>
      <c r="O18" s="246">
        <f t="shared" si="3"/>
        <v>0.49585034734745331</v>
      </c>
      <c r="P18" s="246">
        <f t="shared" si="4"/>
        <v>0.70123828612617856</v>
      </c>
      <c r="Q18" s="247">
        <v>1</v>
      </c>
      <c r="R18" s="248">
        <v>99</v>
      </c>
      <c r="S18" s="249">
        <v>0.01</v>
      </c>
      <c r="T18" s="249">
        <f t="shared" si="12"/>
        <v>-2.3263478740408408</v>
      </c>
      <c r="U18" s="249">
        <f t="shared" si="5"/>
        <v>0.998767422861495</v>
      </c>
      <c r="V18" s="250">
        <f t="shared" si="16"/>
        <v>99.876742286149494</v>
      </c>
      <c r="X18" s="1415"/>
      <c r="Y18" s="243">
        <f t="shared" si="13"/>
        <v>0.71</v>
      </c>
      <c r="Z18" s="246">
        <f t="shared" si="6"/>
        <v>0.5533847195556727</v>
      </c>
      <c r="AA18" s="246">
        <f t="shared" si="7"/>
        <v>0.78260417560566409</v>
      </c>
      <c r="AB18" s="247">
        <v>1</v>
      </c>
      <c r="AC18" s="248">
        <v>99</v>
      </c>
      <c r="AD18" s="249">
        <v>0.01</v>
      </c>
      <c r="AE18" s="249">
        <f t="shared" si="14"/>
        <v>-2.3263478740408408</v>
      </c>
      <c r="AF18" s="249">
        <f t="shared" si="8"/>
        <v>0.9990612390680651</v>
      </c>
      <c r="AG18" s="250">
        <f t="shared" si="17"/>
        <v>99.906123906806513</v>
      </c>
    </row>
    <row r="19" spans="2:33" ht="16" customHeight="1" x14ac:dyDescent="0.2">
      <c r="B19" s="1413" t="s">
        <v>10</v>
      </c>
      <c r="C19" s="251">
        <v>0.69899999999999995</v>
      </c>
      <c r="D19" s="256">
        <f t="shared" si="1"/>
        <v>0.52152657182893203</v>
      </c>
      <c r="E19" s="256">
        <f t="shared" si="2"/>
        <v>0.7375499510184218</v>
      </c>
      <c r="F19" s="253">
        <v>1</v>
      </c>
      <c r="G19" s="255">
        <v>1</v>
      </c>
      <c r="H19" s="256">
        <v>0.99</v>
      </c>
      <c r="I19" s="256">
        <f>_xlfn.NORM.S.INV(H19)</f>
        <v>2.3263478740408408</v>
      </c>
      <c r="J19" s="256">
        <f t="shared" si="0"/>
        <v>5.6053011172116363E-2</v>
      </c>
      <c r="K19" s="257">
        <f>J19*100</f>
        <v>5.6053011172116367</v>
      </c>
      <c r="M19" s="1413" t="s">
        <v>10</v>
      </c>
      <c r="N19" s="251">
        <v>0.72</v>
      </c>
      <c r="O19" s="252">
        <f t="shared" si="3"/>
        <v>0.58284150727121631</v>
      </c>
      <c r="P19" s="252">
        <f t="shared" si="4"/>
        <v>0.824262364296931</v>
      </c>
      <c r="Q19" s="253">
        <v>1</v>
      </c>
      <c r="R19" s="255">
        <v>1</v>
      </c>
      <c r="S19" s="256">
        <v>0.99</v>
      </c>
      <c r="T19" s="256">
        <f>_xlfn.NORM.S.INV(S19)</f>
        <v>2.3263478740408408</v>
      </c>
      <c r="U19" s="256">
        <f>1-_xlfn.NORM.DIST(T19,P19,Q19,TRUE)</f>
        <v>6.6537513304326223E-2</v>
      </c>
      <c r="V19" s="257">
        <f>U19*100</f>
        <v>6.6537513304326223</v>
      </c>
      <c r="X19" s="1413" t="s">
        <v>10</v>
      </c>
      <c r="Y19" s="251">
        <v>0.73</v>
      </c>
      <c r="Z19" s="252">
        <f t="shared" si="6"/>
        <v>0.61281299101662734</v>
      </c>
      <c r="AA19" s="252">
        <f t="shared" si="7"/>
        <v>0.86664844309413613</v>
      </c>
      <c r="AB19" s="253">
        <v>1</v>
      </c>
      <c r="AC19" s="255">
        <v>1</v>
      </c>
      <c r="AD19" s="256">
        <v>0.99</v>
      </c>
      <c r="AE19" s="256">
        <f>_xlfn.NORM.S.INV(AD19)</f>
        <v>2.3263478740408408</v>
      </c>
      <c r="AF19" s="256">
        <f>1-_xlfn.NORM.DIST(AE19,AA19,AB19,TRUE)</f>
        <v>7.2186349188266163E-2</v>
      </c>
      <c r="AG19" s="257">
        <f>AF19*100</f>
        <v>7.2186349188266163</v>
      </c>
    </row>
    <row r="20" spans="2:33" x14ac:dyDescent="0.2">
      <c r="B20" s="1414"/>
      <c r="C20" s="243">
        <f>C19</f>
        <v>0.69899999999999995</v>
      </c>
      <c r="D20" s="243">
        <f t="shared" si="1"/>
        <v>0.52152657182893203</v>
      </c>
      <c r="E20" s="243">
        <f t="shared" si="2"/>
        <v>0.7375499510184218</v>
      </c>
      <c r="F20" s="241">
        <v>1</v>
      </c>
      <c r="G20" s="242">
        <v>5</v>
      </c>
      <c r="H20" s="243">
        <v>0.95</v>
      </c>
      <c r="I20" s="243">
        <f>_xlfn.NORM.S.INV(H20)</f>
        <v>1.6448536269514715</v>
      </c>
      <c r="J20" s="243">
        <f t="shared" si="0"/>
        <v>0.18212311541677906</v>
      </c>
      <c r="K20" s="244">
        <f>J20*100</f>
        <v>18.212311541677906</v>
      </c>
      <c r="M20" s="1414"/>
      <c r="N20" s="243">
        <f>N19</f>
        <v>0.72</v>
      </c>
      <c r="O20" s="240">
        <f t="shared" si="3"/>
        <v>0.58284150727121631</v>
      </c>
      <c r="P20" s="240">
        <f t="shared" si="4"/>
        <v>0.824262364296931</v>
      </c>
      <c r="Q20" s="241">
        <v>1</v>
      </c>
      <c r="R20" s="242">
        <v>5</v>
      </c>
      <c r="S20" s="243">
        <v>0.95</v>
      </c>
      <c r="T20" s="243">
        <f>_xlfn.NORM.S.INV(S20)</f>
        <v>1.6448536269514715</v>
      </c>
      <c r="U20" s="243">
        <f t="shared" si="5"/>
        <v>0.20593956309004768</v>
      </c>
      <c r="V20" s="244">
        <f>U20*100</f>
        <v>20.593956309004767</v>
      </c>
      <c r="X20" s="1414"/>
      <c r="Y20" s="243">
        <f>Y19</f>
        <v>0.73</v>
      </c>
      <c r="Z20" s="240">
        <f t="shared" si="6"/>
        <v>0.61281299101662734</v>
      </c>
      <c r="AA20" s="240">
        <f t="shared" si="7"/>
        <v>0.86664844309413613</v>
      </c>
      <c r="AB20" s="241">
        <v>1</v>
      </c>
      <c r="AC20" s="242">
        <v>5</v>
      </c>
      <c r="AD20" s="243">
        <v>0.95</v>
      </c>
      <c r="AE20" s="243">
        <f>_xlfn.NORM.S.INV(AD20)</f>
        <v>1.6448536269514715</v>
      </c>
      <c r="AF20" s="243">
        <f t="shared" si="8"/>
        <v>0.21822403063769746</v>
      </c>
      <c r="AG20" s="244">
        <f>AF20*100</f>
        <v>21.822403063769748</v>
      </c>
    </row>
    <row r="21" spans="2:33" x14ac:dyDescent="0.2">
      <c r="B21" s="1414"/>
      <c r="C21" s="243">
        <f t="shared" ref="C21:C31" si="18">C20</f>
        <v>0.69899999999999995</v>
      </c>
      <c r="D21" s="243">
        <f t="shared" si="1"/>
        <v>0.52152657182893203</v>
      </c>
      <c r="E21" s="243">
        <f t="shared" si="2"/>
        <v>0.7375499510184218</v>
      </c>
      <c r="F21" s="241">
        <v>1</v>
      </c>
      <c r="G21" s="242">
        <v>10</v>
      </c>
      <c r="H21" s="243">
        <v>0.9</v>
      </c>
      <c r="I21" s="243">
        <f t="shared" si="10"/>
        <v>1.2815515655446006</v>
      </c>
      <c r="J21" s="243">
        <f t="shared" si="0"/>
        <v>0.29322018091207069</v>
      </c>
      <c r="K21" s="244">
        <f>J21*100</f>
        <v>29.32201809120707</v>
      </c>
      <c r="M21" s="1414"/>
      <c r="N21" s="243">
        <f t="shared" ref="N21:N31" si="19">N20</f>
        <v>0.72</v>
      </c>
      <c r="O21" s="240">
        <f t="shared" si="3"/>
        <v>0.58284150727121631</v>
      </c>
      <c r="P21" s="240">
        <f t="shared" si="4"/>
        <v>0.824262364296931</v>
      </c>
      <c r="Q21" s="241">
        <v>1</v>
      </c>
      <c r="R21" s="242">
        <v>10</v>
      </c>
      <c r="S21" s="243">
        <v>0.9</v>
      </c>
      <c r="T21" s="243">
        <f t="shared" si="12"/>
        <v>1.2815515655446006</v>
      </c>
      <c r="U21" s="243">
        <f t="shared" si="5"/>
        <v>0.32373159523750494</v>
      </c>
      <c r="V21" s="244">
        <f>U21*100</f>
        <v>32.373159523750495</v>
      </c>
      <c r="X21" s="1414"/>
      <c r="Y21" s="243">
        <f t="shared" ref="Y21:Y31" si="20">Y20</f>
        <v>0.73</v>
      </c>
      <c r="Z21" s="240">
        <f t="shared" si="6"/>
        <v>0.61281299101662734</v>
      </c>
      <c r="AA21" s="240">
        <f t="shared" si="7"/>
        <v>0.86664844309413613</v>
      </c>
      <c r="AB21" s="241">
        <v>1</v>
      </c>
      <c r="AC21" s="242">
        <v>10</v>
      </c>
      <c r="AD21" s="243">
        <v>0.9</v>
      </c>
      <c r="AE21" s="243">
        <f t="shared" si="14"/>
        <v>1.2815515655446006</v>
      </c>
      <c r="AF21" s="243">
        <f t="shared" si="8"/>
        <v>0.33910641197217162</v>
      </c>
      <c r="AG21" s="244">
        <f>AF21*100</f>
        <v>33.91064119721716</v>
      </c>
    </row>
    <row r="22" spans="2:33" ht="17" thickBot="1" x14ac:dyDescent="0.25">
      <c r="B22" s="1414"/>
      <c r="C22" s="243">
        <f t="shared" si="18"/>
        <v>0.69899999999999995</v>
      </c>
      <c r="D22" s="243">
        <f t="shared" si="1"/>
        <v>0.52152657182893203</v>
      </c>
      <c r="E22" s="243">
        <f t="shared" si="2"/>
        <v>0.7375499510184218</v>
      </c>
      <c r="F22" s="241">
        <v>1</v>
      </c>
      <c r="G22" s="248">
        <v>20</v>
      </c>
      <c r="H22" s="249">
        <v>0.8</v>
      </c>
      <c r="I22" s="249">
        <f t="shared" si="10"/>
        <v>0.84162123357291474</v>
      </c>
      <c r="J22" s="249">
        <f t="shared" si="0"/>
        <v>0.45855639014124017</v>
      </c>
      <c r="K22" s="258">
        <f t="shared" ref="K22:K31" si="21">J22*100</f>
        <v>45.855639014124016</v>
      </c>
      <c r="M22" s="1414"/>
      <c r="N22" s="243">
        <f t="shared" si="19"/>
        <v>0.72</v>
      </c>
      <c r="O22" s="240">
        <f t="shared" si="3"/>
        <v>0.58284150727121631</v>
      </c>
      <c r="P22" s="240">
        <f t="shared" si="4"/>
        <v>0.824262364296931</v>
      </c>
      <c r="Q22" s="241">
        <v>1</v>
      </c>
      <c r="R22" s="248">
        <v>20</v>
      </c>
      <c r="S22" s="249">
        <v>0.8</v>
      </c>
      <c r="T22" s="249">
        <f t="shared" si="12"/>
        <v>0.84162123357291474</v>
      </c>
      <c r="U22" s="249">
        <f t="shared" si="5"/>
        <v>0.49307516088495218</v>
      </c>
      <c r="V22" s="258">
        <f t="shared" ref="V22:V31" si="22">U22*100</f>
        <v>49.30751608849522</v>
      </c>
      <c r="X22" s="1414"/>
      <c r="Y22" s="243">
        <f t="shared" si="20"/>
        <v>0.73</v>
      </c>
      <c r="Z22" s="240">
        <f t="shared" si="6"/>
        <v>0.61281299101662734</v>
      </c>
      <c r="AA22" s="240">
        <f t="shared" si="7"/>
        <v>0.86664844309413613</v>
      </c>
      <c r="AB22" s="241">
        <v>1</v>
      </c>
      <c r="AC22" s="248">
        <v>20</v>
      </c>
      <c r="AD22" s="249">
        <v>0.8</v>
      </c>
      <c r="AE22" s="249">
        <f t="shared" si="14"/>
        <v>0.84162123357291474</v>
      </c>
      <c r="AF22" s="249">
        <f t="shared" si="8"/>
        <v>0.50998336982832415</v>
      </c>
      <c r="AG22" s="258">
        <f t="shared" ref="AG22:AG31" si="23">AF22*100</f>
        <v>50.998336982832413</v>
      </c>
    </row>
    <row r="23" spans="2:33" ht="17" hidden="1" thickBot="1" x14ac:dyDescent="0.25">
      <c r="B23" s="1414"/>
      <c r="C23" s="243">
        <f t="shared" si="18"/>
        <v>0.69899999999999995</v>
      </c>
      <c r="D23" s="243">
        <f t="shared" si="1"/>
        <v>0.52152657182893203</v>
      </c>
      <c r="E23" s="243">
        <f t="shared" si="2"/>
        <v>0.7375499510184218</v>
      </c>
      <c r="F23" s="241">
        <v>1</v>
      </c>
      <c r="G23" s="242">
        <v>30</v>
      </c>
      <c r="H23" s="243">
        <v>0.7</v>
      </c>
      <c r="I23" s="243">
        <f t="shared" si="10"/>
        <v>0.52440051270804078</v>
      </c>
      <c r="J23" s="243">
        <f t="shared" si="0"/>
        <v>0.58439479782737658</v>
      </c>
      <c r="K23" s="245">
        <f t="shared" si="21"/>
        <v>58.439479782737656</v>
      </c>
      <c r="M23" s="1414"/>
      <c r="N23" s="243">
        <f t="shared" si="19"/>
        <v>0.72</v>
      </c>
      <c r="O23" s="240">
        <f t="shared" si="3"/>
        <v>0.58284150727121631</v>
      </c>
      <c r="P23" s="240">
        <f t="shared" si="4"/>
        <v>0.824262364296931</v>
      </c>
      <c r="Q23" s="241">
        <v>1</v>
      </c>
      <c r="R23" s="242">
        <v>30</v>
      </c>
      <c r="S23" s="243">
        <v>0.7</v>
      </c>
      <c r="T23" s="243">
        <f t="shared" si="12"/>
        <v>0.52440051270804078</v>
      </c>
      <c r="U23" s="243">
        <f t="shared" si="5"/>
        <v>0.61785873297656568</v>
      </c>
      <c r="V23" s="245">
        <f t="shared" si="22"/>
        <v>61.785873297656565</v>
      </c>
      <c r="X23" s="1414"/>
      <c r="Y23" s="243">
        <f t="shared" si="20"/>
        <v>0.73</v>
      </c>
      <c r="Z23" s="240">
        <f t="shared" si="6"/>
        <v>0.61281299101662734</v>
      </c>
      <c r="AA23" s="240">
        <f t="shared" si="7"/>
        <v>0.86664844309413613</v>
      </c>
      <c r="AB23" s="241">
        <v>1</v>
      </c>
      <c r="AC23" s="242">
        <v>30</v>
      </c>
      <c r="AD23" s="243">
        <v>0.7</v>
      </c>
      <c r="AE23" s="243">
        <f t="shared" si="14"/>
        <v>0.52440051270804078</v>
      </c>
      <c r="AF23" s="243">
        <f t="shared" si="8"/>
        <v>0.63391784127213091</v>
      </c>
      <c r="AG23" s="245">
        <f t="shared" si="23"/>
        <v>63.391784127213093</v>
      </c>
    </row>
    <row r="24" spans="2:33" ht="17" hidden="1" thickBot="1" x14ac:dyDescent="0.25">
      <c r="B24" s="1414"/>
      <c r="C24" s="243">
        <f t="shared" si="18"/>
        <v>0.69899999999999995</v>
      </c>
      <c r="D24" s="243">
        <f t="shared" si="1"/>
        <v>0.52152657182893203</v>
      </c>
      <c r="E24" s="243">
        <f t="shared" si="2"/>
        <v>0.7375499510184218</v>
      </c>
      <c r="F24" s="241">
        <v>1</v>
      </c>
      <c r="G24" s="242">
        <v>40</v>
      </c>
      <c r="H24" s="243">
        <v>0.6</v>
      </c>
      <c r="I24" s="243">
        <f t="shared" si="10"/>
        <v>0.25334710313579978</v>
      </c>
      <c r="J24" s="243">
        <f t="shared" si="0"/>
        <v>0.68587904201461802</v>
      </c>
      <c r="K24" s="245">
        <f t="shared" si="21"/>
        <v>68.587904201461797</v>
      </c>
      <c r="M24" s="1414"/>
      <c r="N24" s="243">
        <f t="shared" si="19"/>
        <v>0.72</v>
      </c>
      <c r="O24" s="240">
        <f t="shared" si="3"/>
        <v>0.58284150727121631</v>
      </c>
      <c r="P24" s="240">
        <f t="shared" si="4"/>
        <v>0.824262364296931</v>
      </c>
      <c r="Q24" s="241">
        <v>1</v>
      </c>
      <c r="R24" s="242">
        <v>40</v>
      </c>
      <c r="S24" s="243">
        <v>0.6</v>
      </c>
      <c r="T24" s="243">
        <f t="shared" si="12"/>
        <v>0.25334710313579978</v>
      </c>
      <c r="U24" s="243">
        <f t="shared" si="5"/>
        <v>0.71597145727275247</v>
      </c>
      <c r="V24" s="245">
        <f t="shared" si="22"/>
        <v>71.597145727275247</v>
      </c>
      <c r="X24" s="1414"/>
      <c r="Y24" s="243">
        <f t="shared" si="20"/>
        <v>0.73</v>
      </c>
      <c r="Z24" s="240">
        <f t="shared" si="6"/>
        <v>0.61281299101662734</v>
      </c>
      <c r="AA24" s="240">
        <f t="shared" si="7"/>
        <v>0.86664844309413613</v>
      </c>
      <c r="AB24" s="241">
        <v>1</v>
      </c>
      <c r="AC24" s="242">
        <v>40</v>
      </c>
      <c r="AD24" s="243">
        <v>0.6</v>
      </c>
      <c r="AE24" s="243">
        <f t="shared" si="14"/>
        <v>0.25334710313579978</v>
      </c>
      <c r="AF24" s="243">
        <f t="shared" si="8"/>
        <v>0.73016144622439516</v>
      </c>
      <c r="AG24" s="245">
        <f t="shared" si="23"/>
        <v>73.016144622439512</v>
      </c>
    </row>
    <row r="25" spans="2:33" ht="17" hidden="1" thickBot="1" x14ac:dyDescent="0.25">
      <c r="B25" s="1414"/>
      <c r="C25" s="243">
        <f t="shared" si="18"/>
        <v>0.69899999999999995</v>
      </c>
      <c r="D25" s="243">
        <f t="shared" si="1"/>
        <v>0.52152657182893203</v>
      </c>
      <c r="E25" s="243">
        <f t="shared" si="2"/>
        <v>0.7375499510184218</v>
      </c>
      <c r="F25" s="241">
        <v>1</v>
      </c>
      <c r="G25" s="242">
        <v>50</v>
      </c>
      <c r="H25" s="243">
        <v>0.5</v>
      </c>
      <c r="I25" s="243">
        <f t="shared" si="10"/>
        <v>0</v>
      </c>
      <c r="J25" s="243">
        <f t="shared" si="0"/>
        <v>0.76960601073499069</v>
      </c>
      <c r="K25" s="245">
        <f t="shared" si="21"/>
        <v>76.960601073499063</v>
      </c>
      <c r="M25" s="1414"/>
      <c r="N25" s="243">
        <f t="shared" si="19"/>
        <v>0.72</v>
      </c>
      <c r="O25" s="240">
        <f t="shared" si="3"/>
        <v>0.58284150727121631</v>
      </c>
      <c r="P25" s="240">
        <f t="shared" si="4"/>
        <v>0.824262364296931</v>
      </c>
      <c r="Q25" s="241">
        <v>1</v>
      </c>
      <c r="R25" s="242">
        <v>50</v>
      </c>
      <c r="S25" s="243">
        <v>0.5</v>
      </c>
      <c r="T25" s="243">
        <f t="shared" si="12"/>
        <v>0</v>
      </c>
      <c r="U25" s="243">
        <f t="shared" si="5"/>
        <v>0.79510475084191434</v>
      </c>
      <c r="V25" s="245">
        <f t="shared" si="22"/>
        <v>79.510475084191441</v>
      </c>
      <c r="X25" s="1414"/>
      <c r="Y25" s="243">
        <f t="shared" si="20"/>
        <v>0.73</v>
      </c>
      <c r="Z25" s="240">
        <f t="shared" si="6"/>
        <v>0.61281299101662734</v>
      </c>
      <c r="AA25" s="240">
        <f t="shared" si="7"/>
        <v>0.86664844309413613</v>
      </c>
      <c r="AB25" s="241">
        <v>1</v>
      </c>
      <c r="AC25" s="242">
        <v>50</v>
      </c>
      <c r="AD25" s="243">
        <v>0.5</v>
      </c>
      <c r="AE25" s="243">
        <f t="shared" si="14"/>
        <v>0</v>
      </c>
      <c r="AF25" s="243">
        <f t="shared" si="8"/>
        <v>0.80693266889521709</v>
      </c>
      <c r="AG25" s="245">
        <f t="shared" si="23"/>
        <v>80.693266889521709</v>
      </c>
    </row>
    <row r="26" spans="2:33" ht="17" hidden="1" thickBot="1" x14ac:dyDescent="0.25">
      <c r="B26" s="1414"/>
      <c r="C26" s="243">
        <f t="shared" si="18"/>
        <v>0.69899999999999995</v>
      </c>
      <c r="D26" s="243">
        <f t="shared" si="1"/>
        <v>0.52152657182893203</v>
      </c>
      <c r="E26" s="243">
        <f t="shared" si="2"/>
        <v>0.7375499510184218</v>
      </c>
      <c r="F26" s="241">
        <v>1</v>
      </c>
      <c r="G26" s="242">
        <v>60</v>
      </c>
      <c r="H26" s="243">
        <v>0.4</v>
      </c>
      <c r="I26" s="243">
        <f t="shared" si="10"/>
        <v>-0.25334710313579978</v>
      </c>
      <c r="J26" s="243">
        <f t="shared" si="0"/>
        <v>0.8391320745202322</v>
      </c>
      <c r="K26" s="245">
        <f t="shared" si="21"/>
        <v>83.913207452023215</v>
      </c>
      <c r="M26" s="1414"/>
      <c r="N26" s="243">
        <f t="shared" si="19"/>
        <v>0.72</v>
      </c>
      <c r="O26" s="240">
        <f t="shared" si="3"/>
        <v>0.58284150727121631</v>
      </c>
      <c r="P26" s="240">
        <f t="shared" si="4"/>
        <v>0.824262364296931</v>
      </c>
      <c r="Q26" s="241">
        <v>1</v>
      </c>
      <c r="R26" s="242">
        <v>60</v>
      </c>
      <c r="S26" s="243">
        <v>0.4</v>
      </c>
      <c r="T26" s="243">
        <f t="shared" si="12"/>
        <v>-0.25334710313579978</v>
      </c>
      <c r="U26" s="243">
        <f t="shared" si="5"/>
        <v>0.8593959622990982</v>
      </c>
      <c r="V26" s="245">
        <f t="shared" si="22"/>
        <v>85.939596229909824</v>
      </c>
      <c r="X26" s="1414"/>
      <c r="Y26" s="243">
        <f t="shared" si="20"/>
        <v>0.73</v>
      </c>
      <c r="Z26" s="240">
        <f t="shared" si="6"/>
        <v>0.61281299101662734</v>
      </c>
      <c r="AA26" s="240">
        <f t="shared" si="7"/>
        <v>0.86664844309413613</v>
      </c>
      <c r="AB26" s="241">
        <v>1</v>
      </c>
      <c r="AC26" s="242">
        <v>60</v>
      </c>
      <c r="AD26" s="243">
        <v>0.4</v>
      </c>
      <c r="AE26" s="243">
        <f t="shared" si="14"/>
        <v>-0.25334710313579978</v>
      </c>
      <c r="AF26" s="243">
        <f t="shared" si="8"/>
        <v>0.86864216999391497</v>
      </c>
      <c r="AG26" s="245">
        <f t="shared" si="23"/>
        <v>86.864216999391502</v>
      </c>
    </row>
    <row r="27" spans="2:33" ht="17" hidden="1" thickBot="1" x14ac:dyDescent="0.25">
      <c r="B27" s="1414"/>
      <c r="C27" s="243">
        <f t="shared" si="18"/>
        <v>0.69899999999999995</v>
      </c>
      <c r="D27" s="243">
        <f t="shared" si="1"/>
        <v>0.52152657182893203</v>
      </c>
      <c r="E27" s="243">
        <f t="shared" si="2"/>
        <v>0.7375499510184218</v>
      </c>
      <c r="F27" s="241">
        <v>1</v>
      </c>
      <c r="G27" s="242">
        <v>70</v>
      </c>
      <c r="H27" s="243">
        <v>0.3</v>
      </c>
      <c r="I27" s="243">
        <f t="shared" si="10"/>
        <v>-0.52440051270804089</v>
      </c>
      <c r="J27" s="243">
        <f t="shared" si="0"/>
        <v>0.89651669412295543</v>
      </c>
      <c r="K27" s="245">
        <f t="shared" si="21"/>
        <v>89.651669412295547</v>
      </c>
      <c r="M27" s="1414"/>
      <c r="N27" s="243">
        <f t="shared" si="19"/>
        <v>0.72</v>
      </c>
      <c r="O27" s="240">
        <f t="shared" si="3"/>
        <v>0.58284150727121631</v>
      </c>
      <c r="P27" s="240">
        <f t="shared" si="4"/>
        <v>0.824262364296931</v>
      </c>
      <c r="Q27" s="241">
        <v>1</v>
      </c>
      <c r="R27" s="242">
        <v>70</v>
      </c>
      <c r="S27" s="243">
        <v>0.3</v>
      </c>
      <c r="T27" s="243">
        <f t="shared" si="12"/>
        <v>-0.52440051270804089</v>
      </c>
      <c r="U27" s="243">
        <f t="shared" si="5"/>
        <v>0.91127736271947868</v>
      </c>
      <c r="V27" s="245">
        <f t="shared" si="22"/>
        <v>91.127736271947867</v>
      </c>
      <c r="X27" s="1414"/>
      <c r="Y27" s="243">
        <f t="shared" si="20"/>
        <v>0.73</v>
      </c>
      <c r="Z27" s="240">
        <f t="shared" si="6"/>
        <v>0.61281299101662734</v>
      </c>
      <c r="AA27" s="240">
        <f t="shared" si="7"/>
        <v>0.86664844309413613</v>
      </c>
      <c r="AB27" s="241">
        <v>1</v>
      </c>
      <c r="AC27" s="242">
        <v>70</v>
      </c>
      <c r="AD27" s="243">
        <v>0.3</v>
      </c>
      <c r="AE27" s="243">
        <f t="shared" si="14"/>
        <v>-0.52440051270804089</v>
      </c>
      <c r="AF27" s="243">
        <f t="shared" si="8"/>
        <v>0.91789470904145154</v>
      </c>
      <c r="AG27" s="245">
        <f t="shared" si="23"/>
        <v>91.789470904145148</v>
      </c>
    </row>
    <row r="28" spans="2:33" ht="17" hidden="1" thickBot="1" x14ac:dyDescent="0.25">
      <c r="B28" s="1414"/>
      <c r="C28" s="243">
        <f t="shared" si="18"/>
        <v>0.69899999999999995</v>
      </c>
      <c r="D28" s="243">
        <f t="shared" si="1"/>
        <v>0.52152657182893203</v>
      </c>
      <c r="E28" s="243">
        <f t="shared" si="2"/>
        <v>0.7375499510184218</v>
      </c>
      <c r="F28" s="241">
        <v>1</v>
      </c>
      <c r="G28" s="242">
        <v>80</v>
      </c>
      <c r="H28" s="243">
        <v>0.2</v>
      </c>
      <c r="I28" s="243">
        <f t="shared" si="10"/>
        <v>-0.84162123357291452</v>
      </c>
      <c r="J28" s="243">
        <f t="shared" si="0"/>
        <v>0.94285160126385892</v>
      </c>
      <c r="K28" s="245">
        <f t="shared" si="21"/>
        <v>94.28516012638589</v>
      </c>
      <c r="M28" s="1414"/>
      <c r="N28" s="243">
        <f t="shared" si="19"/>
        <v>0.72</v>
      </c>
      <c r="O28" s="240">
        <f t="shared" si="3"/>
        <v>0.58284150727121631</v>
      </c>
      <c r="P28" s="240">
        <f t="shared" si="4"/>
        <v>0.824262364296931</v>
      </c>
      <c r="Q28" s="241">
        <v>1</v>
      </c>
      <c r="R28" s="242">
        <v>80</v>
      </c>
      <c r="S28" s="243">
        <v>0.2</v>
      </c>
      <c r="T28" s="243">
        <f t="shared" si="12"/>
        <v>-0.84162123357291452</v>
      </c>
      <c r="U28" s="243">
        <f t="shared" si="5"/>
        <v>0.95213169943709952</v>
      </c>
      <c r="V28" s="245">
        <f t="shared" si="22"/>
        <v>95.213169943709957</v>
      </c>
      <c r="X28" s="1414"/>
      <c r="Y28" s="243">
        <f t="shared" si="20"/>
        <v>0.73</v>
      </c>
      <c r="Z28" s="240">
        <f t="shared" si="6"/>
        <v>0.61281299101662734</v>
      </c>
      <c r="AA28" s="240">
        <f t="shared" si="7"/>
        <v>0.86664844309413613</v>
      </c>
      <c r="AB28" s="241">
        <v>1</v>
      </c>
      <c r="AC28" s="242">
        <v>80</v>
      </c>
      <c r="AD28" s="243">
        <v>0.2</v>
      </c>
      <c r="AE28" s="243">
        <f t="shared" si="14"/>
        <v>-0.84162123357291452</v>
      </c>
      <c r="AF28" s="243">
        <f t="shared" si="8"/>
        <v>0.95620684244165544</v>
      </c>
      <c r="AG28" s="245">
        <f t="shared" si="23"/>
        <v>95.620684244165545</v>
      </c>
    </row>
    <row r="29" spans="2:33" ht="17" hidden="1" thickBot="1" x14ac:dyDescent="0.25">
      <c r="B29" s="1414"/>
      <c r="C29" s="243">
        <f t="shared" si="18"/>
        <v>0.69899999999999995</v>
      </c>
      <c r="D29" s="243">
        <f t="shared" si="1"/>
        <v>0.52152657182893203</v>
      </c>
      <c r="E29" s="243">
        <f t="shared" si="2"/>
        <v>0.7375499510184218</v>
      </c>
      <c r="F29" s="241">
        <v>1</v>
      </c>
      <c r="G29" s="242">
        <v>90</v>
      </c>
      <c r="H29" s="243">
        <v>0.1</v>
      </c>
      <c r="I29" s="243">
        <f t="shared" si="10"/>
        <v>-1.2815515655446006</v>
      </c>
      <c r="J29" s="243">
        <f t="shared" si="0"/>
        <v>0.97826166536168635</v>
      </c>
      <c r="K29" s="245">
        <f t="shared" si="21"/>
        <v>97.826166536168628</v>
      </c>
      <c r="M29" s="1414"/>
      <c r="N29" s="243">
        <f t="shared" si="19"/>
        <v>0.72</v>
      </c>
      <c r="O29" s="240">
        <f t="shared" si="3"/>
        <v>0.58284150727121631</v>
      </c>
      <c r="P29" s="240">
        <f t="shared" si="4"/>
        <v>0.824262364296931</v>
      </c>
      <c r="Q29" s="241">
        <v>1</v>
      </c>
      <c r="R29" s="242">
        <v>90</v>
      </c>
      <c r="S29" s="243">
        <v>0.1</v>
      </c>
      <c r="T29" s="243">
        <f t="shared" si="12"/>
        <v>-1.2815515655446006</v>
      </c>
      <c r="U29" s="243">
        <f t="shared" si="5"/>
        <v>0.98238974082465358</v>
      </c>
      <c r="V29" s="245">
        <f t="shared" si="22"/>
        <v>98.238974082465361</v>
      </c>
      <c r="X29" s="1414"/>
      <c r="Y29" s="243">
        <f t="shared" si="20"/>
        <v>0.73</v>
      </c>
      <c r="Z29" s="240">
        <f t="shared" si="6"/>
        <v>0.61281299101662734</v>
      </c>
      <c r="AA29" s="240">
        <f t="shared" si="7"/>
        <v>0.86664844309413613</v>
      </c>
      <c r="AB29" s="241">
        <v>1</v>
      </c>
      <c r="AC29" s="242">
        <v>90</v>
      </c>
      <c r="AD29" s="243">
        <v>0.1</v>
      </c>
      <c r="AE29" s="243">
        <f t="shared" si="14"/>
        <v>-1.2815515655446006</v>
      </c>
      <c r="AF29" s="243">
        <f t="shared" si="8"/>
        <v>0.98415106498492166</v>
      </c>
      <c r="AG29" s="245">
        <f t="shared" si="23"/>
        <v>98.415106498492165</v>
      </c>
    </row>
    <row r="30" spans="2:33" ht="17" hidden="1" thickBot="1" x14ac:dyDescent="0.25">
      <c r="B30" s="1414"/>
      <c r="C30" s="243">
        <f t="shared" si="18"/>
        <v>0.69899999999999995</v>
      </c>
      <c r="D30" s="243">
        <f t="shared" si="1"/>
        <v>0.52152657182893203</v>
      </c>
      <c r="E30" s="243">
        <f t="shared" si="2"/>
        <v>0.7375499510184218</v>
      </c>
      <c r="F30" s="241">
        <v>1</v>
      </c>
      <c r="G30" s="242">
        <v>95</v>
      </c>
      <c r="H30" s="243">
        <v>0.05</v>
      </c>
      <c r="I30" s="243">
        <f t="shared" si="10"/>
        <v>-1.6448536269514726</v>
      </c>
      <c r="J30" s="243">
        <f t="shared" si="0"/>
        <v>0.9913999821456958</v>
      </c>
      <c r="K30" s="245">
        <f t="shared" si="21"/>
        <v>99.139998214569573</v>
      </c>
      <c r="M30" s="1414"/>
      <c r="N30" s="243">
        <f t="shared" si="19"/>
        <v>0.72</v>
      </c>
      <c r="O30" s="240">
        <f t="shared" si="3"/>
        <v>0.58284150727121631</v>
      </c>
      <c r="P30" s="240">
        <f t="shared" si="4"/>
        <v>0.824262364296931</v>
      </c>
      <c r="Q30" s="241">
        <v>1</v>
      </c>
      <c r="R30" s="242">
        <v>95</v>
      </c>
      <c r="S30" s="243">
        <v>0.05</v>
      </c>
      <c r="T30" s="243">
        <f t="shared" si="12"/>
        <v>-1.6448536269514726</v>
      </c>
      <c r="U30" s="243">
        <f t="shared" si="5"/>
        <v>0.9932276346704797</v>
      </c>
      <c r="V30" s="245">
        <f t="shared" si="22"/>
        <v>99.322763467047963</v>
      </c>
      <c r="X30" s="1414"/>
      <c r="Y30" s="243">
        <f t="shared" si="20"/>
        <v>0.73</v>
      </c>
      <c r="Z30" s="240">
        <f t="shared" si="6"/>
        <v>0.61281299101662734</v>
      </c>
      <c r="AA30" s="240">
        <f t="shared" si="7"/>
        <v>0.86664844309413613</v>
      </c>
      <c r="AB30" s="241">
        <v>1</v>
      </c>
      <c r="AC30" s="242">
        <v>95</v>
      </c>
      <c r="AD30" s="243">
        <v>0.05</v>
      </c>
      <c r="AE30" s="243">
        <f t="shared" si="14"/>
        <v>-1.6448536269514726</v>
      </c>
      <c r="AF30" s="243">
        <f t="shared" si="8"/>
        <v>0.9939890709587681</v>
      </c>
      <c r="AG30" s="245">
        <f t="shared" si="23"/>
        <v>99.398907095876808</v>
      </c>
    </row>
    <row r="31" spans="2:33" ht="17" hidden="1" customHeight="1" x14ac:dyDescent="0.2">
      <c r="B31" s="1415"/>
      <c r="C31" s="243">
        <f t="shared" si="18"/>
        <v>0.69899999999999995</v>
      </c>
      <c r="D31" s="243">
        <f t="shared" si="1"/>
        <v>0.52152657182893203</v>
      </c>
      <c r="E31" s="243">
        <f t="shared" si="2"/>
        <v>0.7375499510184218</v>
      </c>
      <c r="F31" s="247">
        <v>1</v>
      </c>
      <c r="G31" s="248">
        <v>99</v>
      </c>
      <c r="H31" s="249">
        <v>0.01</v>
      </c>
      <c r="I31" s="249">
        <f t="shared" si="10"/>
        <v>-2.3263478740408408</v>
      </c>
      <c r="J31" s="249">
        <f t="shared" si="0"/>
        <v>0.99890763243709335</v>
      </c>
      <c r="K31" s="250">
        <f t="shared" si="21"/>
        <v>99.89076324370933</v>
      </c>
      <c r="M31" s="1415"/>
      <c r="N31" s="243">
        <f t="shared" si="19"/>
        <v>0.72</v>
      </c>
      <c r="O31" s="246">
        <f t="shared" si="3"/>
        <v>0.58284150727121631</v>
      </c>
      <c r="P31" s="246">
        <f t="shared" si="4"/>
        <v>0.824262364296931</v>
      </c>
      <c r="Q31" s="247">
        <v>1</v>
      </c>
      <c r="R31" s="248">
        <v>99</v>
      </c>
      <c r="S31" s="249">
        <v>0.01</v>
      </c>
      <c r="T31" s="249">
        <f t="shared" si="12"/>
        <v>-2.3263478740408408</v>
      </c>
      <c r="U31" s="249">
        <f t="shared" si="5"/>
        <v>0.99918535121284979</v>
      </c>
      <c r="V31" s="250">
        <f t="shared" si="22"/>
        <v>99.918535121284975</v>
      </c>
      <c r="X31" s="1415"/>
      <c r="Y31" s="243">
        <f t="shared" si="20"/>
        <v>0.73</v>
      </c>
      <c r="Z31" s="246">
        <f t="shared" si="6"/>
        <v>0.61281299101662734</v>
      </c>
      <c r="AA31" s="246">
        <f t="shared" si="7"/>
        <v>0.86664844309413613</v>
      </c>
      <c r="AB31" s="247">
        <v>1</v>
      </c>
      <c r="AC31" s="248">
        <v>99</v>
      </c>
      <c r="AD31" s="249">
        <v>0.01</v>
      </c>
      <c r="AE31" s="249">
        <f t="shared" si="14"/>
        <v>-2.3263478740408408</v>
      </c>
      <c r="AF31" s="249">
        <f t="shared" si="8"/>
        <v>0.99929597628828926</v>
      </c>
      <c r="AG31" s="250">
        <f t="shared" si="23"/>
        <v>99.92959762882893</v>
      </c>
    </row>
    <row r="32" spans="2:33" ht="16" customHeight="1" x14ac:dyDescent="0.2">
      <c r="B32" s="1413" t="s">
        <v>11</v>
      </c>
      <c r="C32" s="254">
        <v>0.61699999999999999</v>
      </c>
      <c r="D32" s="256">
        <f t="shared" si="1"/>
        <v>0.29761110223347992</v>
      </c>
      <c r="E32" s="256">
        <f t="shared" si="2"/>
        <v>0.42088565709139303</v>
      </c>
      <c r="F32" s="253">
        <v>1</v>
      </c>
      <c r="G32" s="242">
        <v>1</v>
      </c>
      <c r="H32" s="243">
        <v>0.99</v>
      </c>
      <c r="I32" s="243">
        <f>_xlfn.NORM.S.INV(H32)</f>
        <v>2.3263478740408408</v>
      </c>
      <c r="J32" s="243">
        <f t="shared" si="0"/>
        <v>2.8360007167782197E-2</v>
      </c>
      <c r="K32" s="244">
        <f>J32*100</f>
        <v>2.8360007167782197</v>
      </c>
      <c r="M32" s="1413" t="s">
        <v>11</v>
      </c>
      <c r="N32" s="254">
        <v>0.64</v>
      </c>
      <c r="O32" s="252">
        <f t="shared" si="3"/>
        <v>0.35845879325119384</v>
      </c>
      <c r="P32" s="252">
        <f t="shared" si="4"/>
        <v>0.50693728696773166</v>
      </c>
      <c r="Q32" s="253">
        <v>1</v>
      </c>
      <c r="R32" s="255">
        <v>1</v>
      </c>
      <c r="S32" s="256">
        <v>0.99</v>
      </c>
      <c r="T32" s="256">
        <f>_xlfn.NORM.S.INV(S32)</f>
        <v>2.3263478740408408</v>
      </c>
      <c r="U32" s="256">
        <f>1-_xlfn.NORM.DIST(T32,P32,Q32,TRUE)</f>
        <v>3.4424406353715686E-2</v>
      </c>
      <c r="V32" s="257">
        <f>U32*100</f>
        <v>3.4424406353715686</v>
      </c>
      <c r="X32" s="1413" t="s">
        <v>11</v>
      </c>
      <c r="Y32" s="254">
        <v>0.68</v>
      </c>
      <c r="Z32" s="252">
        <f t="shared" si="6"/>
        <v>0.46769879911450835</v>
      </c>
      <c r="AA32" s="252">
        <f t="shared" si="7"/>
        <v>0.66142598481334747</v>
      </c>
      <c r="AB32" s="253">
        <v>1</v>
      </c>
      <c r="AC32" s="255">
        <v>1</v>
      </c>
      <c r="AD32" s="256">
        <v>0.99</v>
      </c>
      <c r="AE32" s="256">
        <f>_xlfn.NORM.S.INV(AD32)</f>
        <v>2.3263478740408408</v>
      </c>
      <c r="AF32" s="256">
        <f>1-_xlfn.NORM.DIST(AE32,AA32,AB32,TRUE)</f>
        <v>4.7964170257762007E-2</v>
      </c>
      <c r="AG32" s="257">
        <f>AF32*100</f>
        <v>4.7964170257762007</v>
      </c>
    </row>
    <row r="33" spans="2:33" x14ac:dyDescent="0.2">
      <c r="B33" s="1414"/>
      <c r="C33" s="242">
        <f>C32</f>
        <v>0.61699999999999999</v>
      </c>
      <c r="D33" s="243">
        <f t="shared" si="1"/>
        <v>0.29761110223347992</v>
      </c>
      <c r="E33" s="243">
        <f t="shared" si="2"/>
        <v>0.42088565709139303</v>
      </c>
      <c r="F33" s="241">
        <v>1</v>
      </c>
      <c r="G33" s="242">
        <v>5</v>
      </c>
      <c r="H33" s="243">
        <v>0.95</v>
      </c>
      <c r="I33" s="243">
        <f>_xlfn.NORM.S.INV(H33)</f>
        <v>1.6448536269514715</v>
      </c>
      <c r="J33" s="243">
        <f t="shared" si="0"/>
        <v>0.11048215537472994</v>
      </c>
      <c r="K33" s="244">
        <f>J33*100</f>
        <v>11.048215537472995</v>
      </c>
      <c r="M33" s="1414"/>
      <c r="N33" s="242">
        <f>N32</f>
        <v>0.64</v>
      </c>
      <c r="O33" s="240">
        <f t="shared" si="3"/>
        <v>0.35845879325119384</v>
      </c>
      <c r="P33" s="240">
        <f t="shared" si="4"/>
        <v>0.50693728696773166</v>
      </c>
      <c r="Q33" s="241">
        <v>1</v>
      </c>
      <c r="R33" s="242">
        <v>5</v>
      </c>
      <c r="S33" s="243">
        <v>0.95</v>
      </c>
      <c r="T33" s="243">
        <f>_xlfn.NORM.S.INV(S33)</f>
        <v>1.6448536269514715</v>
      </c>
      <c r="U33" s="243">
        <f t="shared" si="5"/>
        <v>0.12757770877620067</v>
      </c>
      <c r="V33" s="244">
        <f>U33*100</f>
        <v>12.757770877620068</v>
      </c>
      <c r="X33" s="1414"/>
      <c r="Y33" s="242">
        <f>Y32</f>
        <v>0.68</v>
      </c>
      <c r="Z33" s="240">
        <f t="shared" si="6"/>
        <v>0.46769879911450835</v>
      </c>
      <c r="AA33" s="240">
        <f t="shared" si="7"/>
        <v>0.66142598481334747</v>
      </c>
      <c r="AB33" s="241">
        <v>1</v>
      </c>
      <c r="AC33" s="242">
        <v>5</v>
      </c>
      <c r="AD33" s="243">
        <v>0.95</v>
      </c>
      <c r="AE33" s="243">
        <f>_xlfn.NORM.S.INV(AD33)</f>
        <v>1.6448536269514715</v>
      </c>
      <c r="AF33" s="243">
        <f t="shared" si="8"/>
        <v>0.16269850563262678</v>
      </c>
      <c r="AG33" s="244">
        <f>AF33*100</f>
        <v>16.269850563262679</v>
      </c>
    </row>
    <row r="34" spans="2:33" x14ac:dyDescent="0.2">
      <c r="B34" s="1414"/>
      <c r="C34" s="242">
        <f t="shared" ref="C34:C44" si="24">C33</f>
        <v>0.61699999999999999</v>
      </c>
      <c r="D34" s="243">
        <f t="shared" si="1"/>
        <v>0.29761110223347992</v>
      </c>
      <c r="E34" s="243">
        <f t="shared" si="2"/>
        <v>0.42088565709139303</v>
      </c>
      <c r="F34" s="241">
        <v>1</v>
      </c>
      <c r="G34" s="242">
        <v>10</v>
      </c>
      <c r="H34" s="243">
        <v>0.9</v>
      </c>
      <c r="I34" s="243">
        <f t="shared" ref="I34:I44" si="25">_xlfn.NORM.S.INV(H34)</f>
        <v>1.2815515655446006</v>
      </c>
      <c r="J34" s="243">
        <f t="shared" si="0"/>
        <v>0.19471103728866224</v>
      </c>
      <c r="K34" s="244">
        <f>J34*100</f>
        <v>19.471103728866225</v>
      </c>
      <c r="M34" s="1414"/>
      <c r="N34" s="242">
        <f t="shared" ref="N34:N44" si="26">N33</f>
        <v>0.64</v>
      </c>
      <c r="O34" s="240">
        <f t="shared" si="3"/>
        <v>0.35845879325119384</v>
      </c>
      <c r="P34" s="240">
        <f t="shared" si="4"/>
        <v>0.50693728696773166</v>
      </c>
      <c r="Q34" s="241">
        <v>1</v>
      </c>
      <c r="R34" s="242">
        <v>10</v>
      </c>
      <c r="S34" s="243">
        <v>0.9</v>
      </c>
      <c r="T34" s="243">
        <f t="shared" ref="T34:T44" si="27">_xlfn.NORM.S.INV(S34)</f>
        <v>1.2815515655446006</v>
      </c>
      <c r="U34" s="243">
        <f t="shared" si="5"/>
        <v>0.21928380874767772</v>
      </c>
      <c r="V34" s="244">
        <f>U34*100</f>
        <v>21.928380874767772</v>
      </c>
      <c r="X34" s="1414"/>
      <c r="Y34" s="242">
        <f t="shared" ref="Y34:Y44" si="28">Y33</f>
        <v>0.68</v>
      </c>
      <c r="Z34" s="240">
        <f t="shared" si="6"/>
        <v>0.46769879911450835</v>
      </c>
      <c r="AA34" s="240">
        <f t="shared" si="7"/>
        <v>0.66142598481334747</v>
      </c>
      <c r="AB34" s="241">
        <v>1</v>
      </c>
      <c r="AC34" s="242">
        <v>10</v>
      </c>
      <c r="AD34" s="243">
        <v>0.9</v>
      </c>
      <c r="AE34" s="243">
        <f t="shared" ref="AE34:AE44" si="29">_xlfn.NORM.S.INV(AD34)</f>
        <v>1.2815515655446006</v>
      </c>
      <c r="AF34" s="243">
        <f t="shared" si="8"/>
        <v>0.26758755591587424</v>
      </c>
      <c r="AG34" s="244">
        <f>AF34*100</f>
        <v>26.758755591587423</v>
      </c>
    </row>
    <row r="35" spans="2:33" ht="17" thickBot="1" x14ac:dyDescent="0.25">
      <c r="B35" s="1414"/>
      <c r="C35" s="242">
        <f t="shared" si="24"/>
        <v>0.61699999999999999</v>
      </c>
      <c r="D35" s="243">
        <f t="shared" si="1"/>
        <v>0.29761110223347992</v>
      </c>
      <c r="E35" s="243">
        <f t="shared" si="2"/>
        <v>0.42088565709139303</v>
      </c>
      <c r="F35" s="241">
        <v>1</v>
      </c>
      <c r="G35" s="242">
        <v>20</v>
      </c>
      <c r="H35" s="243">
        <v>0.8</v>
      </c>
      <c r="I35" s="243">
        <f t="shared" si="25"/>
        <v>0.84162123357291474</v>
      </c>
      <c r="J35" s="243">
        <f t="shared" si="0"/>
        <v>0.33697408973971399</v>
      </c>
      <c r="K35" s="244">
        <f t="shared" ref="K35:K44" si="30">J35*100</f>
        <v>33.697408973971399</v>
      </c>
      <c r="M35" s="1414"/>
      <c r="N35" s="242">
        <f t="shared" si="26"/>
        <v>0.64</v>
      </c>
      <c r="O35" s="240">
        <f t="shared" si="3"/>
        <v>0.35845879325119384</v>
      </c>
      <c r="P35" s="240">
        <f t="shared" si="4"/>
        <v>0.50693728696773166</v>
      </c>
      <c r="Q35" s="241">
        <v>1</v>
      </c>
      <c r="R35" s="248">
        <v>20</v>
      </c>
      <c r="S35" s="249">
        <v>0.8</v>
      </c>
      <c r="T35" s="249">
        <f t="shared" si="27"/>
        <v>0.84162123357291474</v>
      </c>
      <c r="U35" s="249">
        <f t="shared" si="5"/>
        <v>0.36893175625788766</v>
      </c>
      <c r="V35" s="258">
        <f t="shared" ref="V35:V44" si="31">U35*100</f>
        <v>36.893175625788764</v>
      </c>
      <c r="X35" s="1414"/>
      <c r="Y35" s="242">
        <f t="shared" si="28"/>
        <v>0.68</v>
      </c>
      <c r="Z35" s="240">
        <f t="shared" si="6"/>
        <v>0.46769879911450835</v>
      </c>
      <c r="AA35" s="240">
        <f t="shared" si="7"/>
        <v>0.66142598481334747</v>
      </c>
      <c r="AB35" s="241">
        <v>1</v>
      </c>
      <c r="AC35" s="248">
        <v>20</v>
      </c>
      <c r="AD35" s="249">
        <v>0.8</v>
      </c>
      <c r="AE35" s="249">
        <f t="shared" si="29"/>
        <v>0.84162123357291474</v>
      </c>
      <c r="AF35" s="249">
        <f t="shared" si="8"/>
        <v>0.42849964416117048</v>
      </c>
      <c r="AG35" s="258">
        <f t="shared" ref="AG35:AG44" si="32">AF35*100</f>
        <v>42.849964416117047</v>
      </c>
    </row>
    <row r="36" spans="2:33" ht="17" hidden="1" thickBot="1" x14ac:dyDescent="0.25">
      <c r="B36" s="1414"/>
      <c r="C36" s="242">
        <f t="shared" si="24"/>
        <v>0.61699999999999999</v>
      </c>
      <c r="D36" s="243">
        <f t="shared" si="1"/>
        <v>0.29761110223347992</v>
      </c>
      <c r="E36" s="243">
        <f t="shared" si="2"/>
        <v>0.42088565709139303</v>
      </c>
      <c r="F36" s="241">
        <v>1</v>
      </c>
      <c r="G36" s="242">
        <v>30</v>
      </c>
      <c r="H36" s="243">
        <v>0.7</v>
      </c>
      <c r="I36" s="243">
        <f t="shared" si="25"/>
        <v>0.52440051270804078</v>
      </c>
      <c r="J36" s="243">
        <f t="shared" si="0"/>
        <v>0.45877717987702638</v>
      </c>
      <c r="K36" s="245">
        <f t="shared" si="30"/>
        <v>45.877717987702638</v>
      </c>
      <c r="M36" s="1414"/>
      <c r="N36" s="242">
        <f t="shared" si="26"/>
        <v>0.64</v>
      </c>
      <c r="O36" s="240">
        <f t="shared" si="3"/>
        <v>0.35845879325119384</v>
      </c>
      <c r="P36" s="240">
        <f t="shared" si="4"/>
        <v>0.50693728696773166</v>
      </c>
      <c r="Q36" s="241">
        <v>1</v>
      </c>
      <c r="R36" s="242">
        <v>30</v>
      </c>
      <c r="S36" s="243">
        <v>0.7</v>
      </c>
      <c r="T36" s="243">
        <f t="shared" si="27"/>
        <v>0.52440051270804078</v>
      </c>
      <c r="U36" s="243">
        <f t="shared" si="5"/>
        <v>0.49303353498892899</v>
      </c>
      <c r="V36" s="245">
        <f t="shared" si="31"/>
        <v>49.303353498892896</v>
      </c>
      <c r="X36" s="1414"/>
      <c r="Y36" s="242">
        <f t="shared" si="28"/>
        <v>0.68</v>
      </c>
      <c r="Z36" s="240">
        <f t="shared" si="6"/>
        <v>0.46769879911450835</v>
      </c>
      <c r="AA36" s="240">
        <f t="shared" si="7"/>
        <v>0.66142598481334747</v>
      </c>
      <c r="AB36" s="241">
        <v>1</v>
      </c>
      <c r="AC36" s="242">
        <v>30</v>
      </c>
      <c r="AD36" s="243">
        <v>0.7</v>
      </c>
      <c r="AE36" s="243">
        <f t="shared" si="29"/>
        <v>0.52440051270804078</v>
      </c>
      <c r="AF36" s="243">
        <f t="shared" si="8"/>
        <v>0.55449466940818892</v>
      </c>
      <c r="AG36" s="245">
        <f t="shared" si="32"/>
        <v>55.449466940818894</v>
      </c>
    </row>
    <row r="37" spans="2:33" ht="17" hidden="1" thickBot="1" x14ac:dyDescent="0.25">
      <c r="B37" s="1414"/>
      <c r="C37" s="242">
        <f t="shared" si="24"/>
        <v>0.61699999999999999</v>
      </c>
      <c r="D37" s="243">
        <f t="shared" si="1"/>
        <v>0.29761110223347992</v>
      </c>
      <c r="E37" s="243">
        <f t="shared" si="2"/>
        <v>0.42088565709139303</v>
      </c>
      <c r="F37" s="241">
        <v>1</v>
      </c>
      <c r="G37" s="242">
        <v>40</v>
      </c>
      <c r="H37" s="243">
        <v>0.6</v>
      </c>
      <c r="I37" s="243">
        <f t="shared" si="25"/>
        <v>0.25334710313579978</v>
      </c>
      <c r="J37" s="243">
        <f t="shared" si="0"/>
        <v>0.56652684273208753</v>
      </c>
      <c r="K37" s="245">
        <f t="shared" si="30"/>
        <v>56.652684273208756</v>
      </c>
      <c r="M37" s="1414"/>
      <c r="N37" s="242">
        <f t="shared" si="26"/>
        <v>0.64</v>
      </c>
      <c r="O37" s="240">
        <f t="shared" si="3"/>
        <v>0.35845879325119384</v>
      </c>
      <c r="P37" s="240">
        <f t="shared" si="4"/>
        <v>0.50693728696773166</v>
      </c>
      <c r="Q37" s="241">
        <v>1</v>
      </c>
      <c r="R37" s="242">
        <v>40</v>
      </c>
      <c r="S37" s="243">
        <v>0.6</v>
      </c>
      <c r="T37" s="243">
        <f t="shared" si="27"/>
        <v>0.25334710313579978</v>
      </c>
      <c r="U37" s="243">
        <f t="shared" si="5"/>
        <v>0.60009390951938124</v>
      </c>
      <c r="V37" s="245">
        <f t="shared" si="31"/>
        <v>60.009390951938123</v>
      </c>
      <c r="X37" s="1414"/>
      <c r="Y37" s="242">
        <f t="shared" si="28"/>
        <v>0.68</v>
      </c>
      <c r="Z37" s="240">
        <f t="shared" si="6"/>
        <v>0.46769879911450835</v>
      </c>
      <c r="AA37" s="240">
        <f t="shared" si="7"/>
        <v>0.66142598481334747</v>
      </c>
      <c r="AB37" s="241">
        <v>1</v>
      </c>
      <c r="AC37" s="242">
        <v>40</v>
      </c>
      <c r="AD37" s="243">
        <v>0.6</v>
      </c>
      <c r="AE37" s="243">
        <f t="shared" si="29"/>
        <v>0.25334710313579978</v>
      </c>
      <c r="AF37" s="243">
        <f t="shared" si="8"/>
        <v>0.6583921181121497</v>
      </c>
      <c r="AG37" s="245">
        <f t="shared" si="32"/>
        <v>65.839211811214966</v>
      </c>
    </row>
    <row r="38" spans="2:33" ht="17" hidden="1" thickBot="1" x14ac:dyDescent="0.25">
      <c r="B38" s="1414"/>
      <c r="C38" s="242">
        <f t="shared" si="24"/>
        <v>0.61699999999999999</v>
      </c>
      <c r="D38" s="243">
        <f t="shared" si="1"/>
        <v>0.29761110223347992</v>
      </c>
      <c r="E38" s="243">
        <f t="shared" si="2"/>
        <v>0.42088565709139303</v>
      </c>
      <c r="F38" s="241">
        <v>1</v>
      </c>
      <c r="G38" s="242">
        <v>50</v>
      </c>
      <c r="H38" s="243">
        <v>0.5</v>
      </c>
      <c r="I38" s="243">
        <f t="shared" si="25"/>
        <v>0</v>
      </c>
      <c r="J38" s="243">
        <f t="shared" ref="J38:J69" si="33">1-_xlfn.NORM.DIST(I38,E38,F38,TRUE)</f>
        <v>0.6630807104265144</v>
      </c>
      <c r="K38" s="245">
        <f t="shared" si="30"/>
        <v>66.308071042651434</v>
      </c>
      <c r="M38" s="1414"/>
      <c r="N38" s="242">
        <f t="shared" si="26"/>
        <v>0.64</v>
      </c>
      <c r="O38" s="240">
        <f t="shared" si="3"/>
        <v>0.35845879325119384</v>
      </c>
      <c r="P38" s="240">
        <f t="shared" si="4"/>
        <v>0.50693728696773166</v>
      </c>
      <c r="Q38" s="241">
        <v>1</v>
      </c>
      <c r="R38" s="242">
        <v>50</v>
      </c>
      <c r="S38" s="243">
        <v>0.5</v>
      </c>
      <c r="T38" s="243">
        <f t="shared" si="27"/>
        <v>0</v>
      </c>
      <c r="U38" s="243">
        <f t="shared" si="5"/>
        <v>0.69390058896161411</v>
      </c>
      <c r="V38" s="245">
        <f t="shared" si="31"/>
        <v>69.390058896161406</v>
      </c>
      <c r="X38" s="1414"/>
      <c r="Y38" s="242">
        <f t="shared" si="28"/>
        <v>0.68</v>
      </c>
      <c r="Z38" s="240">
        <f t="shared" si="6"/>
        <v>0.46769879911450835</v>
      </c>
      <c r="AA38" s="240">
        <f t="shared" si="7"/>
        <v>0.66142598481334747</v>
      </c>
      <c r="AB38" s="241">
        <v>1</v>
      </c>
      <c r="AC38" s="242">
        <v>50</v>
      </c>
      <c r="AD38" s="243">
        <v>0.5</v>
      </c>
      <c r="AE38" s="243">
        <f t="shared" si="29"/>
        <v>0</v>
      </c>
      <c r="AF38" s="243">
        <f t="shared" si="8"/>
        <v>0.74583041684243678</v>
      </c>
      <c r="AG38" s="245">
        <f t="shared" si="32"/>
        <v>74.583041684243682</v>
      </c>
    </row>
    <row r="39" spans="2:33" ht="17" hidden="1" thickBot="1" x14ac:dyDescent="0.25">
      <c r="B39" s="1414"/>
      <c r="C39" s="242">
        <f t="shared" si="24"/>
        <v>0.61699999999999999</v>
      </c>
      <c r="D39" s="243">
        <f t="shared" si="1"/>
        <v>0.29761110223347992</v>
      </c>
      <c r="E39" s="243">
        <f t="shared" si="2"/>
        <v>0.42088565709139303</v>
      </c>
      <c r="F39" s="241">
        <v>1</v>
      </c>
      <c r="G39" s="242">
        <v>60</v>
      </c>
      <c r="H39" s="243">
        <v>0.4</v>
      </c>
      <c r="I39" s="243">
        <f t="shared" si="25"/>
        <v>-0.25334710313579978</v>
      </c>
      <c r="J39" s="243">
        <f t="shared" si="33"/>
        <v>0.7499183275311414</v>
      </c>
      <c r="K39" s="245">
        <f t="shared" si="30"/>
        <v>74.991832753114139</v>
      </c>
      <c r="M39" s="1414"/>
      <c r="N39" s="242">
        <f t="shared" si="26"/>
        <v>0.64</v>
      </c>
      <c r="O39" s="240">
        <f t="shared" si="3"/>
        <v>0.35845879325119384</v>
      </c>
      <c r="P39" s="240">
        <f t="shared" si="4"/>
        <v>0.50693728696773166</v>
      </c>
      <c r="Q39" s="241">
        <v>1</v>
      </c>
      <c r="R39" s="242">
        <v>60</v>
      </c>
      <c r="S39" s="243">
        <v>0.4</v>
      </c>
      <c r="T39" s="243">
        <f t="shared" si="27"/>
        <v>-0.25334710313579978</v>
      </c>
      <c r="U39" s="243">
        <f t="shared" si="5"/>
        <v>0.77645769473093162</v>
      </c>
      <c r="V39" s="245">
        <f t="shared" si="31"/>
        <v>77.645769473093168</v>
      </c>
      <c r="X39" s="1414"/>
      <c r="Y39" s="242">
        <f t="shared" si="28"/>
        <v>0.68</v>
      </c>
      <c r="Z39" s="240">
        <f t="shared" si="6"/>
        <v>0.46769879911450835</v>
      </c>
      <c r="AA39" s="240">
        <f t="shared" si="7"/>
        <v>0.66142598481334747</v>
      </c>
      <c r="AB39" s="241">
        <v>1</v>
      </c>
      <c r="AC39" s="242">
        <v>60</v>
      </c>
      <c r="AD39" s="243">
        <v>0.4</v>
      </c>
      <c r="AE39" s="243">
        <f t="shared" si="29"/>
        <v>-0.25334710313579978</v>
      </c>
      <c r="AF39" s="243">
        <f t="shared" si="8"/>
        <v>0.81984461712973911</v>
      </c>
      <c r="AG39" s="245">
        <f t="shared" si="32"/>
        <v>81.984461712973911</v>
      </c>
    </row>
    <row r="40" spans="2:33" ht="17" hidden="1" thickBot="1" x14ac:dyDescent="0.25">
      <c r="B40" s="1414"/>
      <c r="C40" s="242">
        <f t="shared" si="24"/>
        <v>0.61699999999999999</v>
      </c>
      <c r="D40" s="243">
        <f t="shared" si="1"/>
        <v>0.29761110223347992</v>
      </c>
      <c r="E40" s="243">
        <f t="shared" si="2"/>
        <v>0.42088565709139303</v>
      </c>
      <c r="F40" s="241">
        <v>1</v>
      </c>
      <c r="G40" s="242">
        <v>70</v>
      </c>
      <c r="H40" s="243">
        <v>0.3</v>
      </c>
      <c r="I40" s="243">
        <f t="shared" si="25"/>
        <v>-0.52440051270804089</v>
      </c>
      <c r="J40" s="243">
        <f t="shared" si="33"/>
        <v>0.82774360139138992</v>
      </c>
      <c r="K40" s="245">
        <f t="shared" si="30"/>
        <v>82.774360139138992</v>
      </c>
      <c r="M40" s="1414"/>
      <c r="N40" s="242">
        <f t="shared" si="26"/>
        <v>0.64</v>
      </c>
      <c r="O40" s="240">
        <f t="shared" si="3"/>
        <v>0.35845879325119384</v>
      </c>
      <c r="P40" s="240">
        <f t="shared" si="4"/>
        <v>0.50693728696773166</v>
      </c>
      <c r="Q40" s="241">
        <v>1</v>
      </c>
      <c r="R40" s="242">
        <v>70</v>
      </c>
      <c r="S40" s="243">
        <v>0.3</v>
      </c>
      <c r="T40" s="243">
        <f t="shared" si="27"/>
        <v>-0.52440051270804089</v>
      </c>
      <c r="U40" s="243">
        <f t="shared" si="5"/>
        <v>0.84880878087907996</v>
      </c>
      <c r="V40" s="245">
        <f t="shared" si="31"/>
        <v>84.880878087908002</v>
      </c>
      <c r="X40" s="1414"/>
      <c r="Y40" s="242">
        <f t="shared" si="28"/>
        <v>0.68</v>
      </c>
      <c r="Z40" s="240">
        <f t="shared" si="6"/>
        <v>0.46769879911450835</v>
      </c>
      <c r="AA40" s="240">
        <f t="shared" si="7"/>
        <v>0.66142598481334747</v>
      </c>
      <c r="AB40" s="241">
        <v>1</v>
      </c>
      <c r="AC40" s="242">
        <v>70</v>
      </c>
      <c r="AD40" s="243">
        <v>0.3</v>
      </c>
      <c r="AE40" s="243">
        <f t="shared" si="29"/>
        <v>-0.52440051270804089</v>
      </c>
      <c r="AF40" s="243">
        <f t="shared" si="8"/>
        <v>0.88215458750591502</v>
      </c>
      <c r="AG40" s="245">
        <f t="shared" si="32"/>
        <v>88.215458750591509</v>
      </c>
    </row>
    <row r="41" spans="2:33" ht="17" hidden="1" thickBot="1" x14ac:dyDescent="0.25">
      <c r="B41" s="1414"/>
      <c r="C41" s="242">
        <f t="shared" si="24"/>
        <v>0.61699999999999999</v>
      </c>
      <c r="D41" s="243">
        <f t="shared" si="1"/>
        <v>0.29761110223347992</v>
      </c>
      <c r="E41" s="243">
        <f t="shared" si="2"/>
        <v>0.42088565709139303</v>
      </c>
      <c r="F41" s="241">
        <v>1</v>
      </c>
      <c r="G41" s="242">
        <v>80</v>
      </c>
      <c r="H41" s="243">
        <v>0.2</v>
      </c>
      <c r="I41" s="243">
        <f t="shared" si="25"/>
        <v>-0.84162123357291452</v>
      </c>
      <c r="J41" s="243">
        <f t="shared" si="33"/>
        <v>0.89661677581081189</v>
      </c>
      <c r="K41" s="245">
        <f t="shared" si="30"/>
        <v>89.661677581081193</v>
      </c>
      <c r="M41" s="1414"/>
      <c r="N41" s="242">
        <f t="shared" si="26"/>
        <v>0.64</v>
      </c>
      <c r="O41" s="240">
        <f t="shared" si="3"/>
        <v>0.35845879325119384</v>
      </c>
      <c r="P41" s="240">
        <f t="shared" si="4"/>
        <v>0.50693728696773166</v>
      </c>
      <c r="Q41" s="241">
        <v>1</v>
      </c>
      <c r="R41" s="242">
        <v>80</v>
      </c>
      <c r="S41" s="243">
        <v>0.2</v>
      </c>
      <c r="T41" s="243">
        <f t="shared" si="27"/>
        <v>-0.84162123357291452</v>
      </c>
      <c r="U41" s="243">
        <f t="shared" si="5"/>
        <v>0.91126059427795958</v>
      </c>
      <c r="V41" s="245">
        <f t="shared" si="31"/>
        <v>91.126059427795951</v>
      </c>
      <c r="X41" s="1414"/>
      <c r="Y41" s="242">
        <f t="shared" si="28"/>
        <v>0.68</v>
      </c>
      <c r="Z41" s="240">
        <f t="shared" si="6"/>
        <v>0.46769879911450835</v>
      </c>
      <c r="AA41" s="240">
        <f t="shared" si="7"/>
        <v>0.66142598481334747</v>
      </c>
      <c r="AB41" s="241">
        <v>1</v>
      </c>
      <c r="AC41" s="242">
        <v>80</v>
      </c>
      <c r="AD41" s="243">
        <v>0.2</v>
      </c>
      <c r="AE41" s="243">
        <f t="shared" si="29"/>
        <v>-0.84162123357291452</v>
      </c>
      <c r="AF41" s="243">
        <f t="shared" si="8"/>
        <v>0.93358656591340139</v>
      </c>
      <c r="AG41" s="245">
        <f t="shared" si="32"/>
        <v>93.358656591340136</v>
      </c>
    </row>
    <row r="42" spans="2:33" ht="17" hidden="1" thickBot="1" x14ac:dyDescent="0.25">
      <c r="B42" s="1414"/>
      <c r="C42" s="242">
        <f t="shared" si="24"/>
        <v>0.61699999999999999</v>
      </c>
      <c r="D42" s="243">
        <f t="shared" si="1"/>
        <v>0.29761110223347992</v>
      </c>
      <c r="E42" s="243">
        <f t="shared" si="2"/>
        <v>0.42088565709139303</v>
      </c>
      <c r="F42" s="241">
        <v>1</v>
      </c>
      <c r="G42" s="242">
        <v>90</v>
      </c>
      <c r="H42" s="243">
        <v>0.1</v>
      </c>
      <c r="I42" s="243">
        <f t="shared" si="25"/>
        <v>-1.2815515655446006</v>
      </c>
      <c r="J42" s="243">
        <f t="shared" si="33"/>
        <v>0.95566328135253165</v>
      </c>
      <c r="K42" s="245">
        <f t="shared" si="30"/>
        <v>95.566328135253158</v>
      </c>
      <c r="M42" s="1414"/>
      <c r="N42" s="242">
        <f t="shared" si="26"/>
        <v>0.64</v>
      </c>
      <c r="O42" s="240">
        <f t="shared" si="3"/>
        <v>0.35845879325119384</v>
      </c>
      <c r="P42" s="240">
        <f t="shared" si="4"/>
        <v>0.50693728696773166</v>
      </c>
      <c r="Q42" s="241">
        <v>1</v>
      </c>
      <c r="R42" s="242">
        <v>90</v>
      </c>
      <c r="S42" s="243">
        <v>0.1</v>
      </c>
      <c r="T42" s="243">
        <f t="shared" si="27"/>
        <v>-1.2815515655446006</v>
      </c>
      <c r="U42" s="243">
        <f t="shared" si="5"/>
        <v>0.96315141371927282</v>
      </c>
      <c r="V42" s="245">
        <f t="shared" si="31"/>
        <v>96.315141371927282</v>
      </c>
      <c r="X42" s="1414"/>
      <c r="Y42" s="242">
        <f t="shared" si="28"/>
        <v>0.68</v>
      </c>
      <c r="Z42" s="240">
        <f t="shared" si="6"/>
        <v>0.46769879911450835</v>
      </c>
      <c r="AA42" s="240">
        <f t="shared" si="7"/>
        <v>0.66142598481334747</v>
      </c>
      <c r="AB42" s="241">
        <v>1</v>
      </c>
      <c r="AC42" s="242">
        <v>90</v>
      </c>
      <c r="AD42" s="243">
        <v>0.1</v>
      </c>
      <c r="AE42" s="243">
        <f t="shared" si="29"/>
        <v>-1.2815515655446006</v>
      </c>
      <c r="AF42" s="243">
        <f t="shared" si="8"/>
        <v>0.97399056457843136</v>
      </c>
      <c r="AG42" s="245">
        <f t="shared" si="32"/>
        <v>97.39905645784313</v>
      </c>
    </row>
    <row r="43" spans="2:33" ht="17" hidden="1" thickBot="1" x14ac:dyDescent="0.25">
      <c r="B43" s="1414"/>
      <c r="C43" s="242">
        <f t="shared" si="24"/>
        <v>0.61699999999999999</v>
      </c>
      <c r="D43" s="243">
        <f t="shared" si="1"/>
        <v>0.29761110223347992</v>
      </c>
      <c r="E43" s="243">
        <f t="shared" si="2"/>
        <v>0.42088565709139303</v>
      </c>
      <c r="F43" s="241">
        <v>1</v>
      </c>
      <c r="G43" s="242">
        <v>95</v>
      </c>
      <c r="H43" s="243">
        <v>0.05</v>
      </c>
      <c r="I43" s="243">
        <f t="shared" si="25"/>
        <v>-1.6448536269514726</v>
      </c>
      <c r="J43" s="243">
        <f t="shared" si="33"/>
        <v>0.98057344808447311</v>
      </c>
      <c r="K43" s="245">
        <f t="shared" si="30"/>
        <v>98.057344808447311</v>
      </c>
      <c r="M43" s="1414"/>
      <c r="N43" s="242">
        <f t="shared" si="26"/>
        <v>0.64</v>
      </c>
      <c r="O43" s="240">
        <f t="shared" si="3"/>
        <v>0.35845879325119384</v>
      </c>
      <c r="P43" s="240">
        <f t="shared" si="4"/>
        <v>0.50693728696773166</v>
      </c>
      <c r="Q43" s="241">
        <v>1</v>
      </c>
      <c r="R43" s="242">
        <v>95</v>
      </c>
      <c r="S43" s="243">
        <v>0.05</v>
      </c>
      <c r="T43" s="243">
        <f t="shared" si="27"/>
        <v>-1.6448536269514726</v>
      </c>
      <c r="U43" s="243">
        <f t="shared" si="5"/>
        <v>0.98429308710039654</v>
      </c>
      <c r="V43" s="245">
        <f t="shared" si="31"/>
        <v>98.429308710039649</v>
      </c>
      <c r="X43" s="1414"/>
      <c r="Y43" s="242">
        <f t="shared" si="28"/>
        <v>0.68</v>
      </c>
      <c r="Z43" s="240">
        <f t="shared" si="6"/>
        <v>0.46769879911450835</v>
      </c>
      <c r="AA43" s="240">
        <f t="shared" si="7"/>
        <v>0.66142598481334747</v>
      </c>
      <c r="AB43" s="241">
        <v>1</v>
      </c>
      <c r="AC43" s="242">
        <v>95</v>
      </c>
      <c r="AD43" s="243">
        <v>0.05</v>
      </c>
      <c r="AE43" s="243">
        <f t="shared" si="29"/>
        <v>-1.6448536269514726</v>
      </c>
      <c r="AF43" s="243">
        <f t="shared" si="8"/>
        <v>0.98945249319336215</v>
      </c>
      <c r="AG43" s="245">
        <f t="shared" si="32"/>
        <v>98.945249319336213</v>
      </c>
    </row>
    <row r="44" spans="2:33" ht="17" hidden="1" customHeight="1" x14ac:dyDescent="0.2">
      <c r="B44" s="1415"/>
      <c r="C44" s="242">
        <f t="shared" si="24"/>
        <v>0.61699999999999999</v>
      </c>
      <c r="D44" s="243">
        <f t="shared" si="1"/>
        <v>0.29761110223347992</v>
      </c>
      <c r="E44" s="243">
        <f t="shared" si="2"/>
        <v>0.42088565709139303</v>
      </c>
      <c r="F44" s="247">
        <v>1</v>
      </c>
      <c r="G44" s="248">
        <v>99</v>
      </c>
      <c r="H44" s="249">
        <v>0.01</v>
      </c>
      <c r="I44" s="249">
        <f t="shared" si="25"/>
        <v>-2.3263478740408408</v>
      </c>
      <c r="J44" s="249">
        <f t="shared" si="33"/>
        <v>0.99699498380172535</v>
      </c>
      <c r="K44" s="250">
        <f t="shared" si="30"/>
        <v>99.699498380172543</v>
      </c>
      <c r="M44" s="1415"/>
      <c r="N44" s="242">
        <f t="shared" si="26"/>
        <v>0.64</v>
      </c>
      <c r="O44" s="246">
        <f t="shared" si="3"/>
        <v>0.35845879325119384</v>
      </c>
      <c r="P44" s="246">
        <f t="shared" si="4"/>
        <v>0.50693728696773166</v>
      </c>
      <c r="Q44" s="247">
        <v>1</v>
      </c>
      <c r="R44" s="248">
        <v>99</v>
      </c>
      <c r="S44" s="249">
        <v>0.01</v>
      </c>
      <c r="T44" s="249">
        <f t="shared" si="27"/>
        <v>-2.3263478740408408</v>
      </c>
      <c r="U44" s="249">
        <f t="shared" si="5"/>
        <v>0.99769638671003513</v>
      </c>
      <c r="V44" s="250">
        <f t="shared" si="31"/>
        <v>99.76963867100352</v>
      </c>
      <c r="X44" s="1415"/>
      <c r="Y44" s="242">
        <f t="shared" si="28"/>
        <v>0.68</v>
      </c>
      <c r="Z44" s="246">
        <f t="shared" si="6"/>
        <v>0.46769879911450835</v>
      </c>
      <c r="AA44" s="246">
        <f t="shared" si="7"/>
        <v>0.66142598481334747</v>
      </c>
      <c r="AB44" s="247">
        <v>1</v>
      </c>
      <c r="AC44" s="248">
        <v>99</v>
      </c>
      <c r="AD44" s="249">
        <v>0.01</v>
      </c>
      <c r="AE44" s="249">
        <f t="shared" si="29"/>
        <v>-2.3263478740408408</v>
      </c>
      <c r="AF44" s="249">
        <f t="shared" si="8"/>
        <v>0.99859491299110992</v>
      </c>
      <c r="AG44" s="250">
        <f t="shared" si="32"/>
        <v>99.859491299110985</v>
      </c>
    </row>
    <row r="45" spans="2:33" ht="16" customHeight="1" x14ac:dyDescent="0.2">
      <c r="B45" s="1413" t="s">
        <v>12</v>
      </c>
      <c r="C45" s="254">
        <v>0.57899999999999996</v>
      </c>
      <c r="D45" s="256">
        <f t="shared" si="1"/>
        <v>0.19933589806120677</v>
      </c>
      <c r="E45" s="256">
        <f t="shared" si="2"/>
        <v>0.28190353050597938</v>
      </c>
      <c r="F45" s="253">
        <v>1</v>
      </c>
      <c r="G45" s="255">
        <v>1</v>
      </c>
      <c r="H45" s="256">
        <v>0.99</v>
      </c>
      <c r="I45" s="256">
        <f>_xlfn.NORM.S.INV(H45)</f>
        <v>2.3263478740408408</v>
      </c>
      <c r="J45" s="256">
        <f t="shared" si="33"/>
        <v>2.0454835200405697E-2</v>
      </c>
      <c r="K45" s="257">
        <f>J45*100</f>
        <v>2.0454835200405697</v>
      </c>
      <c r="M45" s="1413" t="s">
        <v>12</v>
      </c>
      <c r="N45" s="254">
        <v>0.65</v>
      </c>
      <c r="O45" s="252">
        <f t="shared" si="3"/>
        <v>0.38532046640756784</v>
      </c>
      <c r="P45" s="252">
        <f t="shared" si="4"/>
        <v>0.54492542945350908</v>
      </c>
      <c r="Q45" s="253">
        <v>1</v>
      </c>
      <c r="R45" s="242">
        <v>1</v>
      </c>
      <c r="S45" s="243">
        <v>0.99</v>
      </c>
      <c r="T45" s="243">
        <f>_xlfn.NORM.S.INV(S45)</f>
        <v>2.3263478740408408</v>
      </c>
      <c r="U45" s="243">
        <f>1-_xlfn.NORM.DIST(T45,P45,Q45,TRUE)</f>
        <v>3.7421732140198283E-2</v>
      </c>
      <c r="V45" s="244">
        <f>U45*100</f>
        <v>3.7421732140198283</v>
      </c>
      <c r="X45" s="1413" t="s">
        <v>12</v>
      </c>
      <c r="Y45" s="254">
        <v>0.71</v>
      </c>
      <c r="Z45" s="252">
        <f t="shared" si="6"/>
        <v>0.5533847195556727</v>
      </c>
      <c r="AA45" s="252">
        <f t="shared" si="7"/>
        <v>0.78260417560566409</v>
      </c>
      <c r="AB45" s="253">
        <v>1</v>
      </c>
      <c r="AC45" s="242">
        <v>1</v>
      </c>
      <c r="AD45" s="243">
        <v>0.99</v>
      </c>
      <c r="AE45" s="243">
        <f>_xlfn.NORM.S.INV(AD45)</f>
        <v>2.3263478740408408</v>
      </c>
      <c r="AF45" s="243">
        <f>1-_xlfn.NORM.DIST(AE45,AA45,AB45,TRUE)</f>
        <v>6.1325217777951857E-2</v>
      </c>
      <c r="AG45" s="244">
        <f>AF45*100</f>
        <v>6.1325217777951853</v>
      </c>
    </row>
    <row r="46" spans="2:33" x14ac:dyDescent="0.2">
      <c r="B46" s="1414"/>
      <c r="C46" s="242">
        <f>C45</f>
        <v>0.57899999999999996</v>
      </c>
      <c r="D46" s="243">
        <f t="shared" si="1"/>
        <v>0.19933589806120677</v>
      </c>
      <c r="E46" s="243">
        <f t="shared" si="2"/>
        <v>0.28190353050597938</v>
      </c>
      <c r="F46" s="241">
        <v>1</v>
      </c>
      <c r="G46" s="242">
        <v>5</v>
      </c>
      <c r="H46" s="243">
        <v>0.95</v>
      </c>
      <c r="I46" s="243">
        <f>_xlfn.NORM.S.INV(H46)</f>
        <v>1.6448536269514715</v>
      </c>
      <c r="J46" s="243">
        <f t="shared" si="33"/>
        <v>8.6449119367474569E-2</v>
      </c>
      <c r="K46" s="244">
        <f>J46*100</f>
        <v>8.6449119367474569</v>
      </c>
      <c r="M46" s="1414"/>
      <c r="N46" s="242">
        <f>N45</f>
        <v>0.65</v>
      </c>
      <c r="O46" s="240">
        <f t="shared" si="3"/>
        <v>0.38532046640756784</v>
      </c>
      <c r="P46" s="240">
        <f t="shared" si="4"/>
        <v>0.54492542945350908</v>
      </c>
      <c r="Q46" s="241">
        <v>1</v>
      </c>
      <c r="R46" s="242">
        <v>5</v>
      </c>
      <c r="S46" s="243">
        <v>0.95</v>
      </c>
      <c r="T46" s="243">
        <f>_xlfn.NORM.S.INV(S46)</f>
        <v>1.6448536269514715</v>
      </c>
      <c r="U46" s="243">
        <f t="shared" si="5"/>
        <v>0.13568170389550793</v>
      </c>
      <c r="V46" s="244">
        <f>U46*100</f>
        <v>13.568170389550794</v>
      </c>
      <c r="X46" s="1414"/>
      <c r="Y46" s="242">
        <f>Y45</f>
        <v>0.71</v>
      </c>
      <c r="Z46" s="240">
        <f t="shared" si="6"/>
        <v>0.5533847195556727</v>
      </c>
      <c r="AA46" s="240">
        <f t="shared" si="7"/>
        <v>0.78260417560566409</v>
      </c>
      <c r="AB46" s="241">
        <v>1</v>
      </c>
      <c r="AC46" s="242">
        <v>5</v>
      </c>
      <c r="AD46" s="243">
        <v>0.95</v>
      </c>
      <c r="AE46" s="243">
        <f>_xlfn.NORM.S.INV(AD46)</f>
        <v>1.6448536269514715</v>
      </c>
      <c r="AF46" s="243">
        <f t="shared" si="8"/>
        <v>0.19427513124430007</v>
      </c>
      <c r="AG46" s="244">
        <f>AF46*100</f>
        <v>19.427513124430007</v>
      </c>
    </row>
    <row r="47" spans="2:33" x14ac:dyDescent="0.2">
      <c r="B47" s="1414"/>
      <c r="C47" s="242">
        <f t="shared" ref="C47:C57" si="34">C46</f>
        <v>0.57899999999999996</v>
      </c>
      <c r="D47" s="243">
        <f t="shared" si="1"/>
        <v>0.19933589806120677</v>
      </c>
      <c r="E47" s="243">
        <f t="shared" si="2"/>
        <v>0.28190353050597938</v>
      </c>
      <c r="F47" s="241">
        <v>1</v>
      </c>
      <c r="G47" s="242">
        <v>10</v>
      </c>
      <c r="H47" s="243">
        <v>0.9</v>
      </c>
      <c r="I47" s="243">
        <f t="shared" ref="I47:I110" si="35">_xlfn.NORM.S.INV(H47)</f>
        <v>1.2815515655446006</v>
      </c>
      <c r="J47" s="243">
        <f t="shared" si="33"/>
        <v>0.15874043413575301</v>
      </c>
      <c r="K47" s="244">
        <f>J47*100</f>
        <v>15.874043413575301</v>
      </c>
      <c r="M47" s="1414"/>
      <c r="N47" s="242">
        <f t="shared" ref="N47:N57" si="36">N46</f>
        <v>0.65</v>
      </c>
      <c r="O47" s="240">
        <f t="shared" si="3"/>
        <v>0.38532046640756784</v>
      </c>
      <c r="P47" s="240">
        <f t="shared" si="4"/>
        <v>0.54492542945350908</v>
      </c>
      <c r="Q47" s="241">
        <v>1</v>
      </c>
      <c r="R47" s="242">
        <v>10</v>
      </c>
      <c r="S47" s="243">
        <v>0.9</v>
      </c>
      <c r="T47" s="243">
        <f t="shared" ref="T47:T110" si="37">_xlfn.NORM.S.INV(S47)</f>
        <v>1.2815515655446006</v>
      </c>
      <c r="U47" s="243">
        <f t="shared" si="5"/>
        <v>0.230674868221037</v>
      </c>
      <c r="V47" s="244">
        <f>U47*100</f>
        <v>23.067486822103699</v>
      </c>
      <c r="X47" s="1414"/>
      <c r="Y47" s="242">
        <f t="shared" ref="Y47:Y57" si="38">Y46</f>
        <v>0.71</v>
      </c>
      <c r="Z47" s="240">
        <f t="shared" si="6"/>
        <v>0.5533847195556727</v>
      </c>
      <c r="AA47" s="240">
        <f t="shared" si="7"/>
        <v>0.78260417560566409</v>
      </c>
      <c r="AB47" s="241">
        <v>1</v>
      </c>
      <c r="AC47" s="242">
        <v>10</v>
      </c>
      <c r="AD47" s="243">
        <v>0.9</v>
      </c>
      <c r="AE47" s="243">
        <f t="shared" ref="AE47:AE110" si="39">_xlfn.NORM.S.INV(AD47)</f>
        <v>1.2815515655446006</v>
      </c>
      <c r="AF47" s="243">
        <f t="shared" si="8"/>
        <v>0.30890822370077409</v>
      </c>
      <c r="AG47" s="244">
        <f>AF47*100</f>
        <v>30.890822370077409</v>
      </c>
    </row>
    <row r="48" spans="2:33" ht="17" thickBot="1" x14ac:dyDescent="0.25">
      <c r="B48" s="1414"/>
      <c r="C48" s="242">
        <f t="shared" si="34"/>
        <v>0.57899999999999996</v>
      </c>
      <c r="D48" s="243">
        <f t="shared" si="1"/>
        <v>0.19933589806120677</v>
      </c>
      <c r="E48" s="243">
        <f t="shared" si="2"/>
        <v>0.28190353050597938</v>
      </c>
      <c r="F48" s="241">
        <v>1</v>
      </c>
      <c r="G48" s="248">
        <v>20</v>
      </c>
      <c r="H48" s="249">
        <v>0.8</v>
      </c>
      <c r="I48" s="249">
        <f t="shared" si="35"/>
        <v>0.84162123357291474</v>
      </c>
      <c r="J48" s="249">
        <f t="shared" si="33"/>
        <v>0.28783600263828579</v>
      </c>
      <c r="K48" s="258">
        <f t="shared" ref="K48:K111" si="40">J48*100</f>
        <v>28.783600263828578</v>
      </c>
      <c r="M48" s="1414"/>
      <c r="N48" s="242">
        <f t="shared" si="36"/>
        <v>0.65</v>
      </c>
      <c r="O48" s="240">
        <f t="shared" si="3"/>
        <v>0.38532046640756784</v>
      </c>
      <c r="P48" s="240">
        <f t="shared" si="4"/>
        <v>0.54492542945350908</v>
      </c>
      <c r="Q48" s="241">
        <v>1</v>
      </c>
      <c r="R48" s="242">
        <v>20</v>
      </c>
      <c r="S48" s="243">
        <v>0.8</v>
      </c>
      <c r="T48" s="243">
        <f t="shared" si="37"/>
        <v>0.84162123357291474</v>
      </c>
      <c r="U48" s="243">
        <f t="shared" si="5"/>
        <v>0.38334938035373667</v>
      </c>
      <c r="V48" s="244">
        <f t="shared" ref="V48:V111" si="41">U48*100</f>
        <v>38.334938035373668</v>
      </c>
      <c r="X48" s="1414"/>
      <c r="Y48" s="242">
        <f t="shared" si="38"/>
        <v>0.71</v>
      </c>
      <c r="Z48" s="240">
        <f t="shared" si="6"/>
        <v>0.5533847195556727</v>
      </c>
      <c r="AA48" s="240">
        <f t="shared" si="7"/>
        <v>0.78260417560566409</v>
      </c>
      <c r="AB48" s="241">
        <v>1</v>
      </c>
      <c r="AC48" s="242">
        <v>20</v>
      </c>
      <c r="AD48" s="243">
        <v>0.8</v>
      </c>
      <c r="AE48" s="243">
        <f t="shared" si="39"/>
        <v>0.84162123357291474</v>
      </c>
      <c r="AF48" s="243">
        <f t="shared" si="8"/>
        <v>0.47646926074981577</v>
      </c>
      <c r="AG48" s="244">
        <f t="shared" ref="AG48:AG111" si="42">AF48*100</f>
        <v>47.646926074981579</v>
      </c>
    </row>
    <row r="49" spans="2:33" ht="17" hidden="1" thickBot="1" x14ac:dyDescent="0.25">
      <c r="B49" s="1414"/>
      <c r="C49" s="242">
        <f t="shared" si="34"/>
        <v>0.57899999999999996</v>
      </c>
      <c r="D49" s="243">
        <f t="shared" si="1"/>
        <v>0.19933589806120677</v>
      </c>
      <c r="E49" s="243">
        <f t="shared" si="2"/>
        <v>0.28190353050597938</v>
      </c>
      <c r="F49" s="241">
        <v>1</v>
      </c>
      <c r="G49" s="242">
        <v>30</v>
      </c>
      <c r="H49" s="243">
        <v>0.7</v>
      </c>
      <c r="I49" s="243">
        <f t="shared" si="35"/>
        <v>0.52440051270804078</v>
      </c>
      <c r="J49" s="243">
        <f t="shared" si="33"/>
        <v>0.40419754747144032</v>
      </c>
      <c r="K49" s="245">
        <f t="shared" si="40"/>
        <v>40.419754747144033</v>
      </c>
      <c r="M49" s="1414"/>
      <c r="N49" s="242">
        <f t="shared" si="36"/>
        <v>0.65</v>
      </c>
      <c r="O49" s="240">
        <f t="shared" si="3"/>
        <v>0.38532046640756784</v>
      </c>
      <c r="P49" s="240">
        <f t="shared" si="4"/>
        <v>0.54492542945350908</v>
      </c>
      <c r="Q49" s="241">
        <v>1</v>
      </c>
      <c r="R49" s="242">
        <v>30</v>
      </c>
      <c r="S49" s="243">
        <v>0.7</v>
      </c>
      <c r="T49" s="243">
        <f t="shared" si="37"/>
        <v>0.52440051270804078</v>
      </c>
      <c r="U49" s="243">
        <f t="shared" si="5"/>
        <v>0.5081876822136242</v>
      </c>
      <c r="V49" s="245">
        <f t="shared" si="41"/>
        <v>50.818768221362419</v>
      </c>
      <c r="X49" s="1414"/>
      <c r="Y49" s="242">
        <f t="shared" si="38"/>
        <v>0.71</v>
      </c>
      <c r="Z49" s="240">
        <f t="shared" si="6"/>
        <v>0.5533847195556727</v>
      </c>
      <c r="AA49" s="240">
        <f t="shared" si="7"/>
        <v>0.78260417560566409</v>
      </c>
      <c r="AB49" s="241">
        <v>1</v>
      </c>
      <c r="AC49" s="242">
        <v>30</v>
      </c>
      <c r="AD49" s="243">
        <v>0.7</v>
      </c>
      <c r="AE49" s="243">
        <f t="shared" si="39"/>
        <v>0.52440051270804078</v>
      </c>
      <c r="AF49" s="243">
        <f t="shared" si="8"/>
        <v>0.60187513441409601</v>
      </c>
      <c r="AG49" s="245">
        <f t="shared" si="42"/>
        <v>60.1875134414096</v>
      </c>
    </row>
    <row r="50" spans="2:33" ht="17" hidden="1" thickBot="1" x14ac:dyDescent="0.25">
      <c r="B50" s="1414"/>
      <c r="C50" s="242">
        <f t="shared" si="34"/>
        <v>0.57899999999999996</v>
      </c>
      <c r="D50" s="243">
        <f t="shared" si="1"/>
        <v>0.19933589806120677</v>
      </c>
      <c r="E50" s="243">
        <f t="shared" si="2"/>
        <v>0.28190353050597938</v>
      </c>
      <c r="F50" s="241">
        <v>1</v>
      </c>
      <c r="G50" s="242">
        <v>40</v>
      </c>
      <c r="H50" s="243">
        <v>0.6</v>
      </c>
      <c r="I50" s="243">
        <f t="shared" si="35"/>
        <v>0.25334710313579978</v>
      </c>
      <c r="J50" s="243">
        <f t="shared" si="33"/>
        <v>0.51139081808993492</v>
      </c>
      <c r="K50" s="245">
        <f t="shared" si="40"/>
        <v>51.139081808993495</v>
      </c>
      <c r="M50" s="1414"/>
      <c r="N50" s="242">
        <f t="shared" si="36"/>
        <v>0.65</v>
      </c>
      <c r="O50" s="240">
        <f t="shared" si="3"/>
        <v>0.38532046640756784</v>
      </c>
      <c r="P50" s="240">
        <f t="shared" si="4"/>
        <v>0.54492542945350908</v>
      </c>
      <c r="Q50" s="241">
        <v>1</v>
      </c>
      <c r="R50" s="242">
        <v>40</v>
      </c>
      <c r="S50" s="243">
        <v>0.6</v>
      </c>
      <c r="T50" s="243">
        <f t="shared" si="37"/>
        <v>0.25334710313579978</v>
      </c>
      <c r="U50" s="243">
        <f t="shared" si="5"/>
        <v>0.61469547561449367</v>
      </c>
      <c r="V50" s="245">
        <f t="shared" si="41"/>
        <v>61.469547561449367</v>
      </c>
      <c r="X50" s="1414"/>
      <c r="Y50" s="242">
        <f t="shared" si="38"/>
        <v>0.71</v>
      </c>
      <c r="Z50" s="240">
        <f t="shared" si="6"/>
        <v>0.5533847195556727</v>
      </c>
      <c r="AA50" s="240">
        <f t="shared" si="7"/>
        <v>0.78260417560566409</v>
      </c>
      <c r="AB50" s="241">
        <v>1</v>
      </c>
      <c r="AC50" s="242">
        <v>40</v>
      </c>
      <c r="AD50" s="243">
        <v>0.6</v>
      </c>
      <c r="AE50" s="243">
        <f t="shared" si="39"/>
        <v>0.25334710313579978</v>
      </c>
      <c r="AF50" s="243">
        <f t="shared" si="8"/>
        <v>0.70168643492301408</v>
      </c>
      <c r="AG50" s="245">
        <f t="shared" si="42"/>
        <v>70.168643492301413</v>
      </c>
    </row>
    <row r="51" spans="2:33" ht="17" hidden="1" thickBot="1" x14ac:dyDescent="0.25">
      <c r="B51" s="1414"/>
      <c r="C51" s="242">
        <f t="shared" si="34"/>
        <v>0.57899999999999996</v>
      </c>
      <c r="D51" s="243">
        <f t="shared" si="1"/>
        <v>0.19933589806120677</v>
      </c>
      <c r="E51" s="243">
        <f t="shared" si="2"/>
        <v>0.28190353050597938</v>
      </c>
      <c r="F51" s="241">
        <v>1</v>
      </c>
      <c r="G51" s="242">
        <v>50</v>
      </c>
      <c r="H51" s="243">
        <v>0.5</v>
      </c>
      <c r="I51" s="243">
        <f t="shared" si="35"/>
        <v>0</v>
      </c>
      <c r="J51" s="243">
        <f t="shared" si="33"/>
        <v>0.61099125883317629</v>
      </c>
      <c r="K51" s="245">
        <f t="shared" si="40"/>
        <v>61.099125883317626</v>
      </c>
      <c r="M51" s="1414"/>
      <c r="N51" s="242">
        <f t="shared" si="36"/>
        <v>0.65</v>
      </c>
      <c r="O51" s="240">
        <f t="shared" si="3"/>
        <v>0.38532046640756784</v>
      </c>
      <c r="P51" s="240">
        <f t="shared" si="4"/>
        <v>0.54492542945350908</v>
      </c>
      <c r="Q51" s="241">
        <v>1</v>
      </c>
      <c r="R51" s="242">
        <v>50</v>
      </c>
      <c r="S51" s="243">
        <v>0.5</v>
      </c>
      <c r="T51" s="243">
        <f t="shared" si="37"/>
        <v>0</v>
      </c>
      <c r="U51" s="243">
        <f t="shared" si="5"/>
        <v>0.70709759705904096</v>
      </c>
      <c r="V51" s="245">
        <f t="shared" si="41"/>
        <v>70.709759705904091</v>
      </c>
      <c r="X51" s="1414"/>
      <c r="Y51" s="242">
        <f t="shared" si="38"/>
        <v>0.71</v>
      </c>
      <c r="Z51" s="240">
        <f t="shared" si="6"/>
        <v>0.5533847195556727</v>
      </c>
      <c r="AA51" s="240">
        <f t="shared" si="7"/>
        <v>0.78260417560566409</v>
      </c>
      <c r="AB51" s="241">
        <v>1</v>
      </c>
      <c r="AC51" s="242">
        <v>50</v>
      </c>
      <c r="AD51" s="243">
        <v>0.5</v>
      </c>
      <c r="AE51" s="243">
        <f t="shared" si="39"/>
        <v>0</v>
      </c>
      <c r="AF51" s="243">
        <f t="shared" si="8"/>
        <v>0.78307020565528895</v>
      </c>
      <c r="AG51" s="245">
        <f t="shared" si="42"/>
        <v>78.307020565528902</v>
      </c>
    </row>
    <row r="52" spans="2:33" ht="17" hidden="1" thickBot="1" x14ac:dyDescent="0.25">
      <c r="B52" s="1414"/>
      <c r="C52" s="242">
        <f t="shared" si="34"/>
        <v>0.57899999999999996</v>
      </c>
      <c r="D52" s="243">
        <f t="shared" si="1"/>
        <v>0.19933589806120677</v>
      </c>
      <c r="E52" s="243">
        <f t="shared" si="2"/>
        <v>0.28190353050597938</v>
      </c>
      <c r="F52" s="241">
        <v>1</v>
      </c>
      <c r="G52" s="242">
        <v>60</v>
      </c>
      <c r="H52" s="243">
        <v>0.4</v>
      </c>
      <c r="I52" s="243">
        <f t="shared" si="35"/>
        <v>-0.25334710313579978</v>
      </c>
      <c r="J52" s="243">
        <f t="shared" si="33"/>
        <v>0.70376172111285196</v>
      </c>
      <c r="K52" s="245">
        <f t="shared" si="40"/>
        <v>70.3761721112852</v>
      </c>
      <c r="M52" s="1414"/>
      <c r="N52" s="242">
        <f t="shared" si="36"/>
        <v>0.65</v>
      </c>
      <c r="O52" s="240">
        <f t="shared" si="3"/>
        <v>0.38532046640756784</v>
      </c>
      <c r="P52" s="240">
        <f t="shared" si="4"/>
        <v>0.54492542945350908</v>
      </c>
      <c r="Q52" s="241">
        <v>1</v>
      </c>
      <c r="R52" s="242">
        <v>60</v>
      </c>
      <c r="S52" s="243">
        <v>0.4</v>
      </c>
      <c r="T52" s="243">
        <f t="shared" si="37"/>
        <v>-0.25334710313579978</v>
      </c>
      <c r="U52" s="243">
        <f t="shared" si="5"/>
        <v>0.78764382299737645</v>
      </c>
      <c r="V52" s="245">
        <f t="shared" si="41"/>
        <v>78.764382299737647</v>
      </c>
      <c r="X52" s="1414"/>
      <c r="Y52" s="242">
        <f t="shared" si="38"/>
        <v>0.71</v>
      </c>
      <c r="Z52" s="240">
        <f t="shared" si="6"/>
        <v>0.5533847195556727</v>
      </c>
      <c r="AA52" s="240">
        <f t="shared" si="7"/>
        <v>0.78260417560566409</v>
      </c>
      <c r="AB52" s="241">
        <v>1</v>
      </c>
      <c r="AC52" s="242">
        <v>60</v>
      </c>
      <c r="AD52" s="243">
        <v>0.4</v>
      </c>
      <c r="AE52" s="243">
        <f t="shared" si="39"/>
        <v>-0.25334710313579978</v>
      </c>
      <c r="AF52" s="243">
        <f t="shared" si="8"/>
        <v>0.84988756356326911</v>
      </c>
      <c r="AG52" s="245">
        <f t="shared" si="42"/>
        <v>84.988756356326917</v>
      </c>
    </row>
    <row r="53" spans="2:33" ht="17" hidden="1" thickBot="1" x14ac:dyDescent="0.25">
      <c r="B53" s="1414"/>
      <c r="C53" s="242">
        <f t="shared" si="34"/>
        <v>0.57899999999999996</v>
      </c>
      <c r="D53" s="243">
        <f t="shared" si="1"/>
        <v>0.19933589806120677</v>
      </c>
      <c r="E53" s="243">
        <f t="shared" si="2"/>
        <v>0.28190353050597938</v>
      </c>
      <c r="F53" s="241">
        <v>1</v>
      </c>
      <c r="G53" s="242">
        <v>70</v>
      </c>
      <c r="H53" s="243">
        <v>0.3</v>
      </c>
      <c r="I53" s="243">
        <f t="shared" si="35"/>
        <v>-0.52440051270804089</v>
      </c>
      <c r="J53" s="243">
        <f t="shared" si="33"/>
        <v>0.78996622011710405</v>
      </c>
      <c r="K53" s="245">
        <f t="shared" si="40"/>
        <v>78.9966220117104</v>
      </c>
      <c r="M53" s="1414"/>
      <c r="N53" s="242">
        <f t="shared" si="36"/>
        <v>0.65</v>
      </c>
      <c r="O53" s="240">
        <f t="shared" si="3"/>
        <v>0.38532046640756784</v>
      </c>
      <c r="P53" s="240">
        <f t="shared" si="4"/>
        <v>0.54492542945350908</v>
      </c>
      <c r="Q53" s="241">
        <v>1</v>
      </c>
      <c r="R53" s="242">
        <v>70</v>
      </c>
      <c r="S53" s="243">
        <v>0.3</v>
      </c>
      <c r="T53" s="243">
        <f t="shared" si="37"/>
        <v>-0.52440051270804089</v>
      </c>
      <c r="U53" s="243">
        <f t="shared" si="5"/>
        <v>0.85753858752147183</v>
      </c>
      <c r="V53" s="245">
        <f t="shared" si="41"/>
        <v>85.753858752147181</v>
      </c>
      <c r="X53" s="1414"/>
      <c r="Y53" s="242">
        <f t="shared" si="38"/>
        <v>0.71</v>
      </c>
      <c r="Z53" s="240">
        <f t="shared" si="6"/>
        <v>0.5533847195556727</v>
      </c>
      <c r="AA53" s="240">
        <f t="shared" si="7"/>
        <v>0.78260417560566409</v>
      </c>
      <c r="AB53" s="241">
        <v>1</v>
      </c>
      <c r="AC53" s="242">
        <v>70</v>
      </c>
      <c r="AD53" s="243">
        <v>0.3</v>
      </c>
      <c r="AE53" s="243">
        <f t="shared" si="39"/>
        <v>-0.52440051270804089</v>
      </c>
      <c r="AF53" s="243">
        <f t="shared" si="8"/>
        <v>0.90439444038752403</v>
      </c>
      <c r="AG53" s="245">
        <f t="shared" si="42"/>
        <v>90.439444038752399</v>
      </c>
    </row>
    <row r="54" spans="2:33" ht="17" hidden="1" thickBot="1" x14ac:dyDescent="0.25">
      <c r="B54" s="1414"/>
      <c r="C54" s="242">
        <f t="shared" si="34"/>
        <v>0.57899999999999996</v>
      </c>
      <c r="D54" s="243">
        <f t="shared" si="1"/>
        <v>0.19933589806120677</v>
      </c>
      <c r="E54" s="243">
        <f t="shared" si="2"/>
        <v>0.28190353050597938</v>
      </c>
      <c r="F54" s="241">
        <v>1</v>
      </c>
      <c r="G54" s="242">
        <v>80</v>
      </c>
      <c r="H54" s="243">
        <v>0.2</v>
      </c>
      <c r="I54" s="243">
        <f t="shared" si="35"/>
        <v>-0.84162123357291452</v>
      </c>
      <c r="J54" s="243">
        <f t="shared" si="33"/>
        <v>0.86939265541919175</v>
      </c>
      <c r="K54" s="245">
        <f t="shared" si="40"/>
        <v>86.93926554191917</v>
      </c>
      <c r="M54" s="1414"/>
      <c r="N54" s="242">
        <f t="shared" si="36"/>
        <v>0.65</v>
      </c>
      <c r="O54" s="240">
        <f t="shared" si="3"/>
        <v>0.38532046640756784</v>
      </c>
      <c r="P54" s="240">
        <f t="shared" si="4"/>
        <v>0.54492542945350908</v>
      </c>
      <c r="Q54" s="241">
        <v>1</v>
      </c>
      <c r="R54" s="242">
        <v>80</v>
      </c>
      <c r="S54" s="243">
        <v>0.2</v>
      </c>
      <c r="T54" s="243">
        <f t="shared" si="37"/>
        <v>-0.84162123357291452</v>
      </c>
      <c r="U54" s="243">
        <f t="shared" si="5"/>
        <v>0.91720997902415025</v>
      </c>
      <c r="V54" s="245">
        <f t="shared" si="41"/>
        <v>91.720997902415021</v>
      </c>
      <c r="X54" s="1414"/>
      <c r="Y54" s="242">
        <f t="shared" si="38"/>
        <v>0.71</v>
      </c>
      <c r="Z54" s="240">
        <f t="shared" si="6"/>
        <v>0.5533847195556727</v>
      </c>
      <c r="AA54" s="240">
        <f t="shared" si="7"/>
        <v>0.78260417560566409</v>
      </c>
      <c r="AB54" s="241">
        <v>1</v>
      </c>
      <c r="AC54" s="242">
        <v>80</v>
      </c>
      <c r="AD54" s="243">
        <v>0.2</v>
      </c>
      <c r="AE54" s="243">
        <f t="shared" si="39"/>
        <v>-0.84162123357291452</v>
      </c>
      <c r="AF54" s="243">
        <f t="shared" si="8"/>
        <v>0.94783614506999703</v>
      </c>
      <c r="AG54" s="245">
        <f t="shared" si="42"/>
        <v>94.783614506999697</v>
      </c>
    </row>
    <row r="55" spans="2:33" ht="17" hidden="1" thickBot="1" x14ac:dyDescent="0.25">
      <c r="B55" s="1414"/>
      <c r="C55" s="242">
        <f t="shared" si="34"/>
        <v>0.57899999999999996</v>
      </c>
      <c r="D55" s="243">
        <f t="shared" si="1"/>
        <v>0.19933589806120677</v>
      </c>
      <c r="E55" s="243">
        <f t="shared" si="2"/>
        <v>0.28190353050597938</v>
      </c>
      <c r="F55" s="241">
        <v>1</v>
      </c>
      <c r="G55" s="242">
        <v>90</v>
      </c>
      <c r="H55" s="243">
        <v>0.1</v>
      </c>
      <c r="I55" s="243">
        <f t="shared" si="35"/>
        <v>-1.2815515655446006</v>
      </c>
      <c r="J55" s="243">
        <f t="shared" si="33"/>
        <v>0.94102720516426674</v>
      </c>
      <c r="K55" s="245">
        <f t="shared" si="40"/>
        <v>94.102720516426672</v>
      </c>
      <c r="M55" s="1414"/>
      <c r="N55" s="242">
        <f t="shared" si="36"/>
        <v>0.65</v>
      </c>
      <c r="O55" s="240">
        <f t="shared" si="3"/>
        <v>0.38532046640756784</v>
      </c>
      <c r="P55" s="240">
        <f t="shared" si="4"/>
        <v>0.54492542945350908</v>
      </c>
      <c r="Q55" s="241">
        <v>1</v>
      </c>
      <c r="R55" s="242">
        <v>90</v>
      </c>
      <c r="S55" s="243">
        <v>0.1</v>
      </c>
      <c r="T55" s="243">
        <f t="shared" si="37"/>
        <v>-1.2815515655446006</v>
      </c>
      <c r="U55" s="243">
        <f t="shared" si="5"/>
        <v>0.96611077829468006</v>
      </c>
      <c r="V55" s="245">
        <f t="shared" si="41"/>
        <v>96.611077829468002</v>
      </c>
      <c r="X55" s="1414"/>
      <c r="Y55" s="242">
        <f t="shared" si="38"/>
        <v>0.71</v>
      </c>
      <c r="Z55" s="240">
        <f t="shared" si="6"/>
        <v>0.5533847195556727</v>
      </c>
      <c r="AA55" s="240">
        <f t="shared" si="7"/>
        <v>0.78260417560566409</v>
      </c>
      <c r="AB55" s="241">
        <v>1</v>
      </c>
      <c r="AC55" s="242">
        <v>90</v>
      </c>
      <c r="AD55" s="243">
        <v>0.1</v>
      </c>
      <c r="AE55" s="243">
        <f t="shared" si="39"/>
        <v>-1.2815515655446006</v>
      </c>
      <c r="AF55" s="243">
        <f t="shared" si="8"/>
        <v>0.98049852383127967</v>
      </c>
      <c r="AG55" s="245">
        <f t="shared" si="42"/>
        <v>98.04985238312797</v>
      </c>
    </row>
    <row r="56" spans="2:33" ht="17" hidden="1" thickBot="1" x14ac:dyDescent="0.25">
      <c r="B56" s="1414"/>
      <c r="C56" s="242">
        <f t="shared" si="34"/>
        <v>0.57899999999999996</v>
      </c>
      <c r="D56" s="243">
        <f t="shared" si="1"/>
        <v>0.19933589806120677</v>
      </c>
      <c r="E56" s="243">
        <f t="shared" si="2"/>
        <v>0.28190353050597938</v>
      </c>
      <c r="F56" s="241">
        <v>1</v>
      </c>
      <c r="G56" s="242">
        <v>95</v>
      </c>
      <c r="H56" s="243">
        <v>0.05</v>
      </c>
      <c r="I56" s="243">
        <f t="shared" si="35"/>
        <v>-1.6448536269514726</v>
      </c>
      <c r="J56" s="243">
        <f t="shared" si="33"/>
        <v>0.97299504951372295</v>
      </c>
      <c r="K56" s="245">
        <f t="shared" si="40"/>
        <v>97.299504951372299</v>
      </c>
      <c r="M56" s="1414"/>
      <c r="N56" s="242">
        <f t="shared" si="36"/>
        <v>0.65</v>
      </c>
      <c r="O56" s="240">
        <f t="shared" si="3"/>
        <v>0.38532046640756784</v>
      </c>
      <c r="P56" s="240">
        <f t="shared" si="4"/>
        <v>0.54492542945350908</v>
      </c>
      <c r="Q56" s="241">
        <v>1</v>
      </c>
      <c r="R56" s="242">
        <v>95</v>
      </c>
      <c r="S56" s="243">
        <v>0.05</v>
      </c>
      <c r="T56" s="243">
        <f t="shared" si="37"/>
        <v>-1.6448536269514726</v>
      </c>
      <c r="U56" s="243">
        <f t="shared" si="5"/>
        <v>0.98572986782307837</v>
      </c>
      <c r="V56" s="245">
        <f t="shared" si="41"/>
        <v>98.572986782307837</v>
      </c>
      <c r="X56" s="1414"/>
      <c r="Y56" s="242">
        <f t="shared" si="38"/>
        <v>0.71</v>
      </c>
      <c r="Z56" s="240">
        <f t="shared" si="6"/>
        <v>0.5533847195556727</v>
      </c>
      <c r="AA56" s="240">
        <f t="shared" si="7"/>
        <v>0.78260417560566409</v>
      </c>
      <c r="AB56" s="241">
        <v>1</v>
      </c>
      <c r="AC56" s="242">
        <v>95</v>
      </c>
      <c r="AD56" s="243">
        <v>0.05</v>
      </c>
      <c r="AE56" s="243">
        <f t="shared" si="39"/>
        <v>-1.6448536269514726</v>
      </c>
      <c r="AF56" s="243">
        <f t="shared" si="8"/>
        <v>0.99239747222952079</v>
      </c>
      <c r="AG56" s="245">
        <f t="shared" si="42"/>
        <v>99.239747222952076</v>
      </c>
    </row>
    <row r="57" spans="2:33" ht="17" hidden="1" customHeight="1" x14ac:dyDescent="0.2">
      <c r="B57" s="1415"/>
      <c r="C57" s="242">
        <f t="shared" si="34"/>
        <v>0.57899999999999996</v>
      </c>
      <c r="D57" s="243">
        <f t="shared" si="1"/>
        <v>0.19933589806120677</v>
      </c>
      <c r="E57" s="243">
        <f t="shared" si="2"/>
        <v>0.28190353050597938</v>
      </c>
      <c r="F57" s="241">
        <v>1</v>
      </c>
      <c r="G57" s="242">
        <v>99</v>
      </c>
      <c r="H57" s="243">
        <v>0.01</v>
      </c>
      <c r="I57" s="243">
        <f t="shared" si="35"/>
        <v>-2.3263478740408408</v>
      </c>
      <c r="J57" s="243">
        <f t="shared" si="33"/>
        <v>0.99544969560311769</v>
      </c>
      <c r="K57" s="245">
        <f t="shared" si="40"/>
        <v>99.54496956031177</v>
      </c>
      <c r="M57" s="1415"/>
      <c r="N57" s="242">
        <f t="shared" si="36"/>
        <v>0.65</v>
      </c>
      <c r="O57" s="240">
        <f t="shared" si="3"/>
        <v>0.38532046640756784</v>
      </c>
      <c r="P57" s="240">
        <f t="shared" si="4"/>
        <v>0.54492542945350908</v>
      </c>
      <c r="Q57" s="241">
        <v>1</v>
      </c>
      <c r="R57" s="242">
        <v>99</v>
      </c>
      <c r="S57" s="243">
        <v>0.01</v>
      </c>
      <c r="T57" s="243">
        <f t="shared" si="37"/>
        <v>-2.3263478740408408</v>
      </c>
      <c r="U57" s="243">
        <f t="shared" si="5"/>
        <v>0.9979558905211402</v>
      </c>
      <c r="V57" s="245">
        <f t="shared" si="41"/>
        <v>99.795589052114025</v>
      </c>
      <c r="X57" s="1415"/>
      <c r="Y57" s="242">
        <f t="shared" si="38"/>
        <v>0.71</v>
      </c>
      <c r="Z57" s="240">
        <f t="shared" si="6"/>
        <v>0.5533847195556727</v>
      </c>
      <c r="AA57" s="240">
        <f t="shared" si="7"/>
        <v>0.78260417560566409</v>
      </c>
      <c r="AB57" s="241">
        <v>1</v>
      </c>
      <c r="AC57" s="242">
        <v>99</v>
      </c>
      <c r="AD57" s="243">
        <v>0.01</v>
      </c>
      <c r="AE57" s="243">
        <f t="shared" si="39"/>
        <v>-2.3263478740408408</v>
      </c>
      <c r="AF57" s="243">
        <f t="shared" si="8"/>
        <v>0.9990612390680651</v>
      </c>
      <c r="AG57" s="245">
        <f t="shared" si="42"/>
        <v>99.906123906806513</v>
      </c>
    </row>
    <row r="58" spans="2:33" ht="16" customHeight="1" x14ac:dyDescent="0.2">
      <c r="B58" s="1413" t="s">
        <v>13</v>
      </c>
      <c r="C58" s="254">
        <v>0.55800000000000005</v>
      </c>
      <c r="D58" s="256">
        <f t="shared" si="1"/>
        <v>0.14590042003299397</v>
      </c>
      <c r="E58" s="256">
        <f t="shared" si="2"/>
        <v>0.20633435276659129</v>
      </c>
      <c r="F58" s="253">
        <v>1</v>
      </c>
      <c r="G58" s="255">
        <v>1</v>
      </c>
      <c r="H58" s="256">
        <v>0.99</v>
      </c>
      <c r="I58" s="256">
        <f t="shared" si="35"/>
        <v>2.3263478740408408</v>
      </c>
      <c r="J58" s="256">
        <f t="shared" si="33"/>
        <v>1.7002452516308053E-2</v>
      </c>
      <c r="K58" s="257">
        <f t="shared" si="40"/>
        <v>1.7002452516308053</v>
      </c>
      <c r="M58" s="1413" t="s">
        <v>13</v>
      </c>
      <c r="N58" s="254">
        <v>0.62</v>
      </c>
      <c r="O58" s="252">
        <f t="shared" si="3"/>
        <v>0.30548078809939727</v>
      </c>
      <c r="P58" s="252">
        <f t="shared" si="4"/>
        <v>0.43201507357458924</v>
      </c>
      <c r="Q58" s="253">
        <v>1</v>
      </c>
      <c r="R58" s="255">
        <v>1</v>
      </c>
      <c r="S58" s="256">
        <v>0.99</v>
      </c>
      <c r="T58" s="256">
        <f t="shared" si="37"/>
        <v>2.3263478740408408</v>
      </c>
      <c r="U58" s="256">
        <f t="shared" si="5"/>
        <v>2.9090424952713967E-2</v>
      </c>
      <c r="V58" s="257">
        <f t="shared" si="41"/>
        <v>2.9090424952713967</v>
      </c>
      <c r="X58" s="1413" t="s">
        <v>13</v>
      </c>
      <c r="Y58" s="254">
        <v>0.64</v>
      </c>
      <c r="Z58" s="252">
        <f t="shared" si="6"/>
        <v>0.35845879325119384</v>
      </c>
      <c r="AA58" s="252">
        <f t="shared" si="7"/>
        <v>0.50693728696773166</v>
      </c>
      <c r="AB58" s="253">
        <v>1</v>
      </c>
      <c r="AC58" s="255">
        <v>1</v>
      </c>
      <c r="AD58" s="256">
        <v>0.99</v>
      </c>
      <c r="AE58" s="256">
        <f t="shared" si="39"/>
        <v>2.3263478740408408</v>
      </c>
      <c r="AF58" s="256">
        <f t="shared" si="8"/>
        <v>3.4424406353715686E-2</v>
      </c>
      <c r="AG58" s="257">
        <f t="shared" si="42"/>
        <v>3.4424406353715686</v>
      </c>
    </row>
    <row r="59" spans="2:33" x14ac:dyDescent="0.2">
      <c r="B59" s="1414"/>
      <c r="C59" s="242">
        <f>C58</f>
        <v>0.55800000000000005</v>
      </c>
      <c r="D59" s="243">
        <f t="shared" si="1"/>
        <v>0.14590042003299397</v>
      </c>
      <c r="E59" s="243">
        <f t="shared" si="2"/>
        <v>0.20633435276659129</v>
      </c>
      <c r="F59" s="241">
        <v>1</v>
      </c>
      <c r="G59" s="242">
        <v>5</v>
      </c>
      <c r="H59" s="243">
        <v>0.95</v>
      </c>
      <c r="I59" s="243">
        <f t="shared" si="35"/>
        <v>1.6448536269514715</v>
      </c>
      <c r="J59" s="243">
        <f t="shared" si="33"/>
        <v>7.514338635246598E-2</v>
      </c>
      <c r="K59" s="244">
        <f t="shared" si="40"/>
        <v>7.514338635246598</v>
      </c>
      <c r="M59" s="1414"/>
      <c r="N59" s="242">
        <f>N58</f>
        <v>0.62</v>
      </c>
      <c r="O59" s="240">
        <f t="shared" si="3"/>
        <v>0.30548078809939727</v>
      </c>
      <c r="P59" s="240">
        <f t="shared" si="4"/>
        <v>0.43201507357458924</v>
      </c>
      <c r="Q59" s="241">
        <v>1</v>
      </c>
      <c r="R59" s="242">
        <v>5</v>
      </c>
      <c r="S59" s="243">
        <v>0.95</v>
      </c>
      <c r="T59" s="243">
        <f t="shared" si="37"/>
        <v>1.6448536269514715</v>
      </c>
      <c r="U59" s="243">
        <f t="shared" si="5"/>
        <v>0.11259577607771032</v>
      </c>
      <c r="V59" s="244">
        <f t="shared" si="41"/>
        <v>11.259577607771032</v>
      </c>
      <c r="X59" s="1414"/>
      <c r="Y59" s="242">
        <f>Y58</f>
        <v>0.64</v>
      </c>
      <c r="Z59" s="240">
        <f t="shared" si="6"/>
        <v>0.35845879325119384</v>
      </c>
      <c r="AA59" s="240">
        <f t="shared" si="7"/>
        <v>0.50693728696773166</v>
      </c>
      <c r="AB59" s="241">
        <v>1</v>
      </c>
      <c r="AC59" s="242">
        <v>5</v>
      </c>
      <c r="AD59" s="243">
        <v>0.95</v>
      </c>
      <c r="AE59" s="243">
        <f t="shared" si="39"/>
        <v>1.6448536269514715</v>
      </c>
      <c r="AF59" s="243">
        <f t="shared" si="8"/>
        <v>0.12757770877620067</v>
      </c>
      <c r="AG59" s="244">
        <f t="shared" si="42"/>
        <v>12.757770877620068</v>
      </c>
    </row>
    <row r="60" spans="2:33" x14ac:dyDescent="0.2">
      <c r="B60" s="1414"/>
      <c r="C60" s="242">
        <f t="shared" ref="C60:C70" si="43">C59</f>
        <v>0.55800000000000005</v>
      </c>
      <c r="D60" s="243">
        <f t="shared" si="1"/>
        <v>0.14590042003299397</v>
      </c>
      <c r="E60" s="243">
        <f t="shared" si="2"/>
        <v>0.20633435276659129</v>
      </c>
      <c r="F60" s="241">
        <v>1</v>
      </c>
      <c r="G60" s="242">
        <v>10</v>
      </c>
      <c r="H60" s="243">
        <v>0.9</v>
      </c>
      <c r="I60" s="243">
        <f t="shared" si="35"/>
        <v>1.2815515655446006</v>
      </c>
      <c r="J60" s="243">
        <f t="shared" si="33"/>
        <v>0.141138745397271</v>
      </c>
      <c r="K60" s="244">
        <f t="shared" si="40"/>
        <v>14.113874539727099</v>
      </c>
      <c r="M60" s="1414"/>
      <c r="N60" s="242">
        <f t="shared" ref="N60:N70" si="44">N59</f>
        <v>0.62</v>
      </c>
      <c r="O60" s="240">
        <f t="shared" si="3"/>
        <v>0.30548078809939727</v>
      </c>
      <c r="P60" s="240">
        <f t="shared" si="4"/>
        <v>0.43201507357458924</v>
      </c>
      <c r="Q60" s="241">
        <v>1</v>
      </c>
      <c r="R60" s="242">
        <v>10</v>
      </c>
      <c r="S60" s="243">
        <v>0.9</v>
      </c>
      <c r="T60" s="243">
        <f t="shared" si="37"/>
        <v>1.2815515655446006</v>
      </c>
      <c r="U60" s="243">
        <f t="shared" si="5"/>
        <v>0.19779141673027811</v>
      </c>
      <c r="V60" s="244">
        <f t="shared" si="41"/>
        <v>19.779141673027812</v>
      </c>
      <c r="X60" s="1414"/>
      <c r="Y60" s="242">
        <f t="shared" ref="Y60:Y70" si="45">Y59</f>
        <v>0.64</v>
      </c>
      <c r="Z60" s="240">
        <f t="shared" si="6"/>
        <v>0.35845879325119384</v>
      </c>
      <c r="AA60" s="240">
        <f t="shared" si="7"/>
        <v>0.50693728696773166</v>
      </c>
      <c r="AB60" s="241">
        <v>1</v>
      </c>
      <c r="AC60" s="242">
        <v>10</v>
      </c>
      <c r="AD60" s="243">
        <v>0.9</v>
      </c>
      <c r="AE60" s="243">
        <f t="shared" si="39"/>
        <v>1.2815515655446006</v>
      </c>
      <c r="AF60" s="243">
        <f t="shared" si="8"/>
        <v>0.21928380874767772</v>
      </c>
      <c r="AG60" s="244">
        <f t="shared" si="42"/>
        <v>21.928380874767772</v>
      </c>
    </row>
    <row r="61" spans="2:33" ht="17" thickBot="1" x14ac:dyDescent="0.25">
      <c r="B61" s="1414"/>
      <c r="C61" s="242">
        <f t="shared" si="43"/>
        <v>0.55800000000000005</v>
      </c>
      <c r="D61" s="243">
        <f t="shared" si="1"/>
        <v>0.14590042003299397</v>
      </c>
      <c r="E61" s="243">
        <f t="shared" si="2"/>
        <v>0.20633435276659129</v>
      </c>
      <c r="F61" s="241">
        <v>1</v>
      </c>
      <c r="G61" s="242">
        <v>20</v>
      </c>
      <c r="H61" s="243">
        <v>0.8</v>
      </c>
      <c r="I61" s="243">
        <f t="shared" si="35"/>
        <v>0.84162123357291474</v>
      </c>
      <c r="J61" s="243">
        <f t="shared" si="33"/>
        <v>0.26262066417481478</v>
      </c>
      <c r="K61" s="244">
        <f t="shared" si="40"/>
        <v>26.262066417481478</v>
      </c>
      <c r="M61" s="1414"/>
      <c r="N61" s="242">
        <f t="shared" si="44"/>
        <v>0.62</v>
      </c>
      <c r="O61" s="240">
        <f t="shared" si="3"/>
        <v>0.30548078809939727</v>
      </c>
      <c r="P61" s="240">
        <f t="shared" si="4"/>
        <v>0.43201507357458924</v>
      </c>
      <c r="Q61" s="241">
        <v>1</v>
      </c>
      <c r="R61" s="242">
        <v>20</v>
      </c>
      <c r="S61" s="243">
        <v>0.8</v>
      </c>
      <c r="T61" s="243">
        <f t="shared" si="37"/>
        <v>0.84162123357291474</v>
      </c>
      <c r="U61" s="243">
        <f t="shared" si="5"/>
        <v>0.3410474387225183</v>
      </c>
      <c r="V61" s="244">
        <f t="shared" si="41"/>
        <v>34.104743872251831</v>
      </c>
      <c r="X61" s="1414"/>
      <c r="Y61" s="242">
        <f t="shared" si="45"/>
        <v>0.64</v>
      </c>
      <c r="Z61" s="240">
        <f t="shared" si="6"/>
        <v>0.35845879325119384</v>
      </c>
      <c r="AA61" s="240">
        <f t="shared" si="7"/>
        <v>0.50693728696773166</v>
      </c>
      <c r="AB61" s="241">
        <v>1</v>
      </c>
      <c r="AC61" s="242">
        <v>20</v>
      </c>
      <c r="AD61" s="243">
        <v>0.8</v>
      </c>
      <c r="AE61" s="243">
        <f t="shared" si="39"/>
        <v>0.84162123357291474</v>
      </c>
      <c r="AF61" s="243">
        <f t="shared" si="8"/>
        <v>0.36893175625788766</v>
      </c>
      <c r="AG61" s="244">
        <f t="shared" si="42"/>
        <v>36.893175625788764</v>
      </c>
    </row>
    <row r="62" spans="2:33" ht="17" hidden="1" thickBot="1" x14ac:dyDescent="0.25">
      <c r="B62" s="1414"/>
      <c r="C62" s="242">
        <f t="shared" si="43"/>
        <v>0.55800000000000005</v>
      </c>
      <c r="D62" s="243">
        <f t="shared" si="1"/>
        <v>0.14590042003299397</v>
      </c>
      <c r="E62" s="243">
        <f t="shared" si="2"/>
        <v>0.20633435276659129</v>
      </c>
      <c r="F62" s="241">
        <v>1</v>
      </c>
      <c r="G62" s="242">
        <v>30</v>
      </c>
      <c r="H62" s="243">
        <v>0.7</v>
      </c>
      <c r="I62" s="243">
        <f t="shared" si="35"/>
        <v>0.52440051270804078</v>
      </c>
      <c r="J62" s="243">
        <f t="shared" si="33"/>
        <v>0.37521737607722383</v>
      </c>
      <c r="K62" s="245">
        <f t="shared" si="40"/>
        <v>37.521737607722386</v>
      </c>
      <c r="M62" s="1414"/>
      <c r="N62" s="242">
        <f t="shared" si="44"/>
        <v>0.62</v>
      </c>
      <c r="O62" s="240">
        <f t="shared" si="3"/>
        <v>0.30548078809939727</v>
      </c>
      <c r="P62" s="240">
        <f t="shared" si="4"/>
        <v>0.43201507357458924</v>
      </c>
      <c r="Q62" s="241">
        <v>1</v>
      </c>
      <c r="R62" s="242">
        <v>30</v>
      </c>
      <c r="S62" s="243">
        <v>0.7</v>
      </c>
      <c r="T62" s="243">
        <f t="shared" si="37"/>
        <v>0.52440051270804078</v>
      </c>
      <c r="U62" s="243">
        <f t="shared" si="5"/>
        <v>0.46319590391917531</v>
      </c>
      <c r="V62" s="245">
        <f t="shared" si="41"/>
        <v>46.319590391917529</v>
      </c>
      <c r="X62" s="1414"/>
      <c r="Y62" s="242">
        <f t="shared" si="45"/>
        <v>0.64</v>
      </c>
      <c r="Z62" s="240">
        <f t="shared" si="6"/>
        <v>0.35845879325119384</v>
      </c>
      <c r="AA62" s="240">
        <f t="shared" si="7"/>
        <v>0.50693728696773166</v>
      </c>
      <c r="AB62" s="241">
        <v>1</v>
      </c>
      <c r="AC62" s="242">
        <v>30</v>
      </c>
      <c r="AD62" s="243">
        <v>0.7</v>
      </c>
      <c r="AE62" s="243">
        <f t="shared" si="39"/>
        <v>0.52440051270804078</v>
      </c>
      <c r="AF62" s="243">
        <f t="shared" si="8"/>
        <v>0.49303353498892899</v>
      </c>
      <c r="AG62" s="245">
        <f t="shared" si="42"/>
        <v>49.303353498892896</v>
      </c>
    </row>
    <row r="63" spans="2:33" ht="17" hidden="1" thickBot="1" x14ac:dyDescent="0.25">
      <c r="B63" s="1414"/>
      <c r="C63" s="242">
        <f t="shared" si="43"/>
        <v>0.55800000000000005</v>
      </c>
      <c r="D63" s="243">
        <f t="shared" si="1"/>
        <v>0.14590042003299397</v>
      </c>
      <c r="E63" s="243">
        <f t="shared" si="2"/>
        <v>0.20633435276659129</v>
      </c>
      <c r="F63" s="241">
        <v>1</v>
      </c>
      <c r="G63" s="242">
        <v>40</v>
      </c>
      <c r="H63" s="243">
        <v>0.6</v>
      </c>
      <c r="I63" s="243">
        <f t="shared" si="35"/>
        <v>0.25334710313579978</v>
      </c>
      <c r="J63" s="243">
        <f t="shared" si="33"/>
        <v>0.48125153272034882</v>
      </c>
      <c r="K63" s="245">
        <f t="shared" si="40"/>
        <v>48.125153272034879</v>
      </c>
      <c r="M63" s="1414"/>
      <c r="N63" s="242">
        <f t="shared" si="44"/>
        <v>0.62</v>
      </c>
      <c r="O63" s="240">
        <f t="shared" si="3"/>
        <v>0.30548078809939727</v>
      </c>
      <c r="P63" s="240">
        <f t="shared" si="4"/>
        <v>0.43201507357458924</v>
      </c>
      <c r="Q63" s="241">
        <v>1</v>
      </c>
      <c r="R63" s="242">
        <v>40</v>
      </c>
      <c r="S63" s="243">
        <v>0.6</v>
      </c>
      <c r="T63" s="243">
        <f t="shared" si="37"/>
        <v>0.25334710313579978</v>
      </c>
      <c r="U63" s="243">
        <f t="shared" si="5"/>
        <v>0.5709007898290438</v>
      </c>
      <c r="V63" s="245">
        <f t="shared" si="41"/>
        <v>57.09007898290438</v>
      </c>
      <c r="X63" s="1414"/>
      <c r="Y63" s="242">
        <f t="shared" si="45"/>
        <v>0.64</v>
      </c>
      <c r="Z63" s="240">
        <f t="shared" si="6"/>
        <v>0.35845879325119384</v>
      </c>
      <c r="AA63" s="240">
        <f t="shared" si="7"/>
        <v>0.50693728696773166</v>
      </c>
      <c r="AB63" s="241">
        <v>1</v>
      </c>
      <c r="AC63" s="242">
        <v>40</v>
      </c>
      <c r="AD63" s="243">
        <v>0.6</v>
      </c>
      <c r="AE63" s="243">
        <f t="shared" si="39"/>
        <v>0.25334710313579978</v>
      </c>
      <c r="AF63" s="243">
        <f t="shared" si="8"/>
        <v>0.60009390951938124</v>
      </c>
      <c r="AG63" s="245">
        <f t="shared" si="42"/>
        <v>60.009390951938123</v>
      </c>
    </row>
    <row r="64" spans="2:33" ht="17" hidden="1" thickBot="1" x14ac:dyDescent="0.25">
      <c r="B64" s="1414"/>
      <c r="C64" s="242">
        <f t="shared" si="43"/>
        <v>0.55800000000000005</v>
      </c>
      <c r="D64" s="243">
        <f t="shared" si="1"/>
        <v>0.14590042003299397</v>
      </c>
      <c r="E64" s="243">
        <f t="shared" si="2"/>
        <v>0.20633435276659129</v>
      </c>
      <c r="F64" s="241">
        <v>1</v>
      </c>
      <c r="G64" s="242">
        <v>50</v>
      </c>
      <c r="H64" s="243">
        <v>0.5</v>
      </c>
      <c r="I64" s="243">
        <f t="shared" si="35"/>
        <v>0</v>
      </c>
      <c r="J64" s="243">
        <f t="shared" si="33"/>
        <v>0.58173512690251183</v>
      </c>
      <c r="K64" s="245">
        <f t="shared" si="40"/>
        <v>58.173512690251187</v>
      </c>
      <c r="M64" s="1414"/>
      <c r="N64" s="242">
        <f t="shared" si="44"/>
        <v>0.62</v>
      </c>
      <c r="O64" s="240">
        <f t="shared" si="3"/>
        <v>0.30548078809939727</v>
      </c>
      <c r="P64" s="240">
        <f t="shared" si="4"/>
        <v>0.43201507357458924</v>
      </c>
      <c r="Q64" s="241">
        <v>1</v>
      </c>
      <c r="R64" s="242">
        <v>50</v>
      </c>
      <c r="S64" s="243">
        <v>0.5</v>
      </c>
      <c r="T64" s="243">
        <f t="shared" si="37"/>
        <v>0</v>
      </c>
      <c r="U64" s="243">
        <f t="shared" si="5"/>
        <v>0.66713477113900466</v>
      </c>
      <c r="V64" s="245">
        <f t="shared" si="41"/>
        <v>66.713477113900467</v>
      </c>
      <c r="X64" s="1414"/>
      <c r="Y64" s="242">
        <f t="shared" si="45"/>
        <v>0.64</v>
      </c>
      <c r="Z64" s="240">
        <f t="shared" si="6"/>
        <v>0.35845879325119384</v>
      </c>
      <c r="AA64" s="240">
        <f t="shared" si="7"/>
        <v>0.50693728696773166</v>
      </c>
      <c r="AB64" s="241">
        <v>1</v>
      </c>
      <c r="AC64" s="242">
        <v>50</v>
      </c>
      <c r="AD64" s="243">
        <v>0.5</v>
      </c>
      <c r="AE64" s="243">
        <f t="shared" si="39"/>
        <v>0</v>
      </c>
      <c r="AF64" s="243">
        <f t="shared" si="8"/>
        <v>0.69390058896161411</v>
      </c>
      <c r="AG64" s="245">
        <f t="shared" si="42"/>
        <v>69.390058896161406</v>
      </c>
    </row>
    <row r="65" spans="2:33" ht="17" hidden="1" thickBot="1" x14ac:dyDescent="0.25">
      <c r="B65" s="1414"/>
      <c r="C65" s="242">
        <f t="shared" si="43"/>
        <v>0.55800000000000005</v>
      </c>
      <c r="D65" s="243">
        <f t="shared" si="1"/>
        <v>0.14590042003299397</v>
      </c>
      <c r="E65" s="243">
        <f t="shared" si="2"/>
        <v>0.20633435276659129</v>
      </c>
      <c r="F65" s="241">
        <v>1</v>
      </c>
      <c r="G65" s="242">
        <v>60</v>
      </c>
      <c r="H65" s="243">
        <v>0.4</v>
      </c>
      <c r="I65" s="243">
        <f t="shared" si="35"/>
        <v>-0.25334710313579978</v>
      </c>
      <c r="J65" s="243">
        <f t="shared" si="33"/>
        <v>0.67712755899143318</v>
      </c>
      <c r="K65" s="245">
        <f t="shared" si="40"/>
        <v>67.712755899143318</v>
      </c>
      <c r="M65" s="1414"/>
      <c r="N65" s="242">
        <f t="shared" si="44"/>
        <v>0.62</v>
      </c>
      <c r="O65" s="240">
        <f t="shared" si="3"/>
        <v>0.30548078809939727</v>
      </c>
      <c r="P65" s="240">
        <f t="shared" si="4"/>
        <v>0.43201507357458924</v>
      </c>
      <c r="Q65" s="241">
        <v>1</v>
      </c>
      <c r="R65" s="242">
        <v>60</v>
      </c>
      <c r="S65" s="243">
        <v>0.4</v>
      </c>
      <c r="T65" s="243">
        <f t="shared" si="37"/>
        <v>-0.25334710313579978</v>
      </c>
      <c r="U65" s="243">
        <f t="shared" si="5"/>
        <v>0.75344229729608081</v>
      </c>
      <c r="V65" s="245">
        <f t="shared" si="41"/>
        <v>75.344229729608088</v>
      </c>
      <c r="X65" s="1414"/>
      <c r="Y65" s="242">
        <f t="shared" si="45"/>
        <v>0.64</v>
      </c>
      <c r="Z65" s="240">
        <f t="shared" si="6"/>
        <v>0.35845879325119384</v>
      </c>
      <c r="AA65" s="240">
        <f t="shared" si="7"/>
        <v>0.50693728696773166</v>
      </c>
      <c r="AB65" s="241">
        <v>1</v>
      </c>
      <c r="AC65" s="242">
        <v>60</v>
      </c>
      <c r="AD65" s="243">
        <v>0.4</v>
      </c>
      <c r="AE65" s="243">
        <f t="shared" si="39"/>
        <v>-0.25334710313579978</v>
      </c>
      <c r="AF65" s="243">
        <f t="shared" si="8"/>
        <v>0.77645769473093162</v>
      </c>
      <c r="AG65" s="245">
        <f t="shared" si="42"/>
        <v>77.645769473093168</v>
      </c>
    </row>
    <row r="66" spans="2:33" ht="17" hidden="1" thickBot="1" x14ac:dyDescent="0.25">
      <c r="B66" s="1414"/>
      <c r="C66" s="242">
        <f t="shared" si="43"/>
        <v>0.55800000000000005</v>
      </c>
      <c r="D66" s="243">
        <f t="shared" si="1"/>
        <v>0.14590042003299397</v>
      </c>
      <c r="E66" s="243">
        <f t="shared" si="2"/>
        <v>0.20633435276659129</v>
      </c>
      <c r="F66" s="241">
        <v>1</v>
      </c>
      <c r="G66" s="242">
        <v>70</v>
      </c>
      <c r="H66" s="243">
        <v>0.3</v>
      </c>
      <c r="I66" s="243">
        <f t="shared" si="35"/>
        <v>-0.52440051270804089</v>
      </c>
      <c r="J66" s="243">
        <f t="shared" si="33"/>
        <v>0.76752944247919541</v>
      </c>
      <c r="K66" s="245">
        <f t="shared" si="40"/>
        <v>76.752944247919544</v>
      </c>
      <c r="M66" s="1414"/>
      <c r="N66" s="242">
        <f t="shared" si="44"/>
        <v>0.62</v>
      </c>
      <c r="O66" s="240">
        <f t="shared" si="3"/>
        <v>0.30548078809939727</v>
      </c>
      <c r="P66" s="240">
        <f t="shared" si="4"/>
        <v>0.43201507357458924</v>
      </c>
      <c r="Q66" s="241">
        <v>1</v>
      </c>
      <c r="R66" s="242">
        <v>70</v>
      </c>
      <c r="S66" s="243">
        <v>0.3</v>
      </c>
      <c r="T66" s="243">
        <f t="shared" si="37"/>
        <v>-0.52440051270804089</v>
      </c>
      <c r="U66" s="243">
        <f t="shared" si="5"/>
        <v>0.8305688433565771</v>
      </c>
      <c r="V66" s="245">
        <f t="shared" si="41"/>
        <v>83.056884335657713</v>
      </c>
      <c r="X66" s="1414"/>
      <c r="Y66" s="242">
        <f t="shared" si="45"/>
        <v>0.64</v>
      </c>
      <c r="Z66" s="240">
        <f t="shared" si="6"/>
        <v>0.35845879325119384</v>
      </c>
      <c r="AA66" s="240">
        <f t="shared" si="7"/>
        <v>0.50693728696773166</v>
      </c>
      <c r="AB66" s="241">
        <v>1</v>
      </c>
      <c r="AC66" s="242">
        <v>70</v>
      </c>
      <c r="AD66" s="243">
        <v>0.3</v>
      </c>
      <c r="AE66" s="243">
        <f t="shared" si="39"/>
        <v>-0.52440051270804089</v>
      </c>
      <c r="AF66" s="243">
        <f t="shared" si="8"/>
        <v>0.84880878087907996</v>
      </c>
      <c r="AG66" s="245">
        <f t="shared" si="42"/>
        <v>84.880878087908002</v>
      </c>
    </row>
    <row r="67" spans="2:33" ht="17" hidden="1" thickBot="1" x14ac:dyDescent="0.25">
      <c r="B67" s="1414"/>
      <c r="C67" s="242">
        <f t="shared" si="43"/>
        <v>0.55800000000000005</v>
      </c>
      <c r="D67" s="243">
        <f t="shared" si="1"/>
        <v>0.14590042003299397</v>
      </c>
      <c r="E67" s="243">
        <f t="shared" si="2"/>
        <v>0.20633435276659129</v>
      </c>
      <c r="F67" s="241">
        <v>1</v>
      </c>
      <c r="G67" s="242">
        <v>80</v>
      </c>
      <c r="H67" s="243">
        <v>0.2</v>
      </c>
      <c r="I67" s="243">
        <f t="shared" si="35"/>
        <v>-0.84162123357291452</v>
      </c>
      <c r="J67" s="243">
        <f t="shared" si="33"/>
        <v>0.85267046497079502</v>
      </c>
      <c r="K67" s="245">
        <f t="shared" si="40"/>
        <v>85.267046497079505</v>
      </c>
      <c r="M67" s="1414"/>
      <c r="N67" s="242">
        <f t="shared" si="44"/>
        <v>0.62</v>
      </c>
      <c r="O67" s="240">
        <f t="shared" si="3"/>
        <v>0.30548078809939727</v>
      </c>
      <c r="P67" s="240">
        <f t="shared" si="4"/>
        <v>0.43201507357458924</v>
      </c>
      <c r="Q67" s="241">
        <v>1</v>
      </c>
      <c r="R67" s="242">
        <v>80</v>
      </c>
      <c r="S67" s="243">
        <v>0.2</v>
      </c>
      <c r="T67" s="243">
        <f t="shared" si="37"/>
        <v>-0.84162123357291452</v>
      </c>
      <c r="U67" s="243">
        <f t="shared" si="5"/>
        <v>0.8986038306282369</v>
      </c>
      <c r="V67" s="245">
        <f t="shared" si="41"/>
        <v>89.860383062823686</v>
      </c>
      <c r="X67" s="1414"/>
      <c r="Y67" s="242">
        <f t="shared" si="45"/>
        <v>0.64</v>
      </c>
      <c r="Z67" s="240">
        <f t="shared" si="6"/>
        <v>0.35845879325119384</v>
      </c>
      <c r="AA67" s="240">
        <f t="shared" si="7"/>
        <v>0.50693728696773166</v>
      </c>
      <c r="AB67" s="241">
        <v>1</v>
      </c>
      <c r="AC67" s="242">
        <v>80</v>
      </c>
      <c r="AD67" s="243">
        <v>0.2</v>
      </c>
      <c r="AE67" s="243">
        <f t="shared" si="39"/>
        <v>-0.84162123357291452</v>
      </c>
      <c r="AF67" s="243">
        <f t="shared" si="8"/>
        <v>0.91126059427795958</v>
      </c>
      <c r="AG67" s="245">
        <f t="shared" si="42"/>
        <v>91.126059427795951</v>
      </c>
    </row>
    <row r="68" spans="2:33" ht="17" hidden="1" thickBot="1" x14ac:dyDescent="0.25">
      <c r="B68" s="1414"/>
      <c r="C68" s="242">
        <f t="shared" si="43"/>
        <v>0.55800000000000005</v>
      </c>
      <c r="D68" s="243">
        <f t="shared" si="1"/>
        <v>0.14590042003299397</v>
      </c>
      <c r="E68" s="243">
        <f t="shared" si="2"/>
        <v>0.20633435276659129</v>
      </c>
      <c r="F68" s="241">
        <v>1</v>
      </c>
      <c r="G68" s="242">
        <v>90</v>
      </c>
      <c r="H68" s="243">
        <v>0.1</v>
      </c>
      <c r="I68" s="243">
        <f t="shared" si="35"/>
        <v>-1.2815515655446006</v>
      </c>
      <c r="J68" s="243">
        <f t="shared" si="33"/>
        <v>0.93160950903546957</v>
      </c>
      <c r="K68" s="245">
        <f t="shared" si="40"/>
        <v>93.160950903546961</v>
      </c>
      <c r="M68" s="1414"/>
      <c r="N68" s="242">
        <f t="shared" si="44"/>
        <v>0.62</v>
      </c>
      <c r="O68" s="240">
        <f t="shared" si="3"/>
        <v>0.30548078809939727</v>
      </c>
      <c r="P68" s="240">
        <f t="shared" si="4"/>
        <v>0.43201507357458924</v>
      </c>
      <c r="Q68" s="241">
        <v>1</v>
      </c>
      <c r="R68" s="242">
        <v>90</v>
      </c>
      <c r="S68" s="243">
        <v>0.1</v>
      </c>
      <c r="T68" s="243">
        <f t="shared" si="37"/>
        <v>-1.2815515655446006</v>
      </c>
      <c r="U68" s="243">
        <f t="shared" si="5"/>
        <v>0.95669582756254401</v>
      </c>
      <c r="V68" s="245">
        <f t="shared" si="41"/>
        <v>95.6695827562544</v>
      </c>
      <c r="X68" s="1414"/>
      <c r="Y68" s="242">
        <f t="shared" si="45"/>
        <v>0.64</v>
      </c>
      <c r="Z68" s="240">
        <f t="shared" si="6"/>
        <v>0.35845879325119384</v>
      </c>
      <c r="AA68" s="240">
        <f t="shared" si="7"/>
        <v>0.50693728696773166</v>
      </c>
      <c r="AB68" s="241">
        <v>1</v>
      </c>
      <c r="AC68" s="242">
        <v>90</v>
      </c>
      <c r="AD68" s="243">
        <v>0.1</v>
      </c>
      <c r="AE68" s="243">
        <f t="shared" si="39"/>
        <v>-1.2815515655446006</v>
      </c>
      <c r="AF68" s="243">
        <f t="shared" si="8"/>
        <v>0.96315141371927282</v>
      </c>
      <c r="AG68" s="245">
        <f t="shared" si="42"/>
        <v>96.315141371927282</v>
      </c>
    </row>
    <row r="69" spans="2:33" ht="17" hidden="1" thickBot="1" x14ac:dyDescent="0.25">
      <c r="B69" s="1414"/>
      <c r="C69" s="242">
        <f t="shared" si="43"/>
        <v>0.55800000000000005</v>
      </c>
      <c r="D69" s="243">
        <f t="shared" si="1"/>
        <v>0.14590042003299397</v>
      </c>
      <c r="E69" s="243">
        <f t="shared" si="2"/>
        <v>0.20633435276659129</v>
      </c>
      <c r="F69" s="241">
        <v>1</v>
      </c>
      <c r="G69" s="242">
        <v>95</v>
      </c>
      <c r="H69" s="243">
        <v>0.05</v>
      </c>
      <c r="I69" s="243">
        <f t="shared" si="35"/>
        <v>-1.6448536269514726</v>
      </c>
      <c r="J69" s="243">
        <f t="shared" si="33"/>
        <v>0.96792874278526919</v>
      </c>
      <c r="K69" s="245">
        <f t="shared" si="40"/>
        <v>96.792874278526924</v>
      </c>
      <c r="M69" s="1414"/>
      <c r="N69" s="242">
        <f t="shared" si="44"/>
        <v>0.62</v>
      </c>
      <c r="O69" s="240">
        <f t="shared" si="3"/>
        <v>0.30548078809939727</v>
      </c>
      <c r="P69" s="240">
        <f t="shared" si="4"/>
        <v>0.43201507357458924</v>
      </c>
      <c r="Q69" s="241">
        <v>1</v>
      </c>
      <c r="R69" s="242">
        <v>95</v>
      </c>
      <c r="S69" s="243">
        <v>0.05</v>
      </c>
      <c r="T69" s="243">
        <f t="shared" si="37"/>
        <v>-1.6448536269514726</v>
      </c>
      <c r="U69" s="243">
        <f t="shared" si="5"/>
        <v>0.98109316036362837</v>
      </c>
      <c r="V69" s="245">
        <f t="shared" si="41"/>
        <v>98.109316036362841</v>
      </c>
      <c r="X69" s="1414"/>
      <c r="Y69" s="242">
        <f t="shared" si="45"/>
        <v>0.64</v>
      </c>
      <c r="Z69" s="240">
        <f t="shared" si="6"/>
        <v>0.35845879325119384</v>
      </c>
      <c r="AA69" s="240">
        <f t="shared" si="7"/>
        <v>0.50693728696773166</v>
      </c>
      <c r="AB69" s="241">
        <v>1</v>
      </c>
      <c r="AC69" s="242">
        <v>95</v>
      </c>
      <c r="AD69" s="243">
        <v>0.05</v>
      </c>
      <c r="AE69" s="243">
        <f t="shared" si="39"/>
        <v>-1.6448536269514726</v>
      </c>
      <c r="AF69" s="243">
        <f t="shared" si="8"/>
        <v>0.98429308710039654</v>
      </c>
      <c r="AG69" s="245">
        <f t="shared" si="42"/>
        <v>98.429308710039649</v>
      </c>
    </row>
    <row r="70" spans="2:33" ht="17" hidden="1" customHeight="1" x14ac:dyDescent="0.2">
      <c r="B70" s="1415"/>
      <c r="C70" s="248">
        <f t="shared" si="43"/>
        <v>0.55800000000000005</v>
      </c>
      <c r="D70" s="249">
        <f t="shared" si="1"/>
        <v>0.14590042003299397</v>
      </c>
      <c r="E70" s="249">
        <f t="shared" si="2"/>
        <v>0.20633435276659129</v>
      </c>
      <c r="F70" s="247">
        <v>1</v>
      </c>
      <c r="G70" s="248">
        <v>99</v>
      </c>
      <c r="H70" s="249">
        <v>0.01</v>
      </c>
      <c r="I70" s="249">
        <f t="shared" si="35"/>
        <v>-2.3263478740408408</v>
      </c>
      <c r="J70" s="249">
        <f t="shared" ref="J70:J101" si="46">1-_xlfn.NORM.DIST(I70,E70,F70,TRUE)</f>
        <v>0.99434032414268625</v>
      </c>
      <c r="K70" s="250">
        <f t="shared" si="40"/>
        <v>99.434032414268628</v>
      </c>
      <c r="M70" s="1415"/>
      <c r="N70" s="242">
        <f t="shared" si="44"/>
        <v>0.62</v>
      </c>
      <c r="O70" s="240">
        <f t="shared" si="3"/>
        <v>0.30548078809939727</v>
      </c>
      <c r="P70" s="240">
        <f t="shared" si="4"/>
        <v>0.43201507357458924</v>
      </c>
      <c r="Q70" s="241">
        <v>1</v>
      </c>
      <c r="R70" s="248">
        <v>99</v>
      </c>
      <c r="S70" s="249">
        <v>0.01</v>
      </c>
      <c r="T70" s="249">
        <f t="shared" si="37"/>
        <v>-2.3263478740408408</v>
      </c>
      <c r="U70" s="249">
        <f t="shared" si="5"/>
        <v>0.99709541705466564</v>
      </c>
      <c r="V70" s="250">
        <f t="shared" si="41"/>
        <v>99.709541705466563</v>
      </c>
      <c r="X70" s="1415"/>
      <c r="Y70" s="248">
        <f t="shared" si="45"/>
        <v>0.64</v>
      </c>
      <c r="Z70" s="246">
        <f t="shared" si="6"/>
        <v>0.35845879325119384</v>
      </c>
      <c r="AA70" s="246">
        <f t="shared" si="7"/>
        <v>0.50693728696773166</v>
      </c>
      <c r="AB70" s="247">
        <v>1</v>
      </c>
      <c r="AC70" s="248">
        <v>99</v>
      </c>
      <c r="AD70" s="249">
        <v>0.01</v>
      </c>
      <c r="AE70" s="249">
        <f t="shared" si="39"/>
        <v>-2.3263478740408408</v>
      </c>
      <c r="AF70" s="249">
        <f t="shared" si="8"/>
        <v>0.99769638671003513</v>
      </c>
      <c r="AG70" s="250">
        <f t="shared" si="42"/>
        <v>99.76963867100352</v>
      </c>
    </row>
    <row r="71" spans="2:33" ht="16" customHeight="1" x14ac:dyDescent="0.2">
      <c r="B71" s="1413" t="s">
        <v>14</v>
      </c>
      <c r="C71" s="251">
        <v>0.51700000000000002</v>
      </c>
      <c r="D71" s="256">
        <f t="shared" ref="D71:D113" si="47">_xlfn.NORM.S.INV(C71)</f>
        <v>4.2625585176944369E-2</v>
      </c>
      <c r="E71" s="256">
        <f t="shared" ref="E71:E113" si="48">(D71*SQRT(2))</f>
        <v>6.0281680661324298E-2</v>
      </c>
      <c r="F71" s="253">
        <v>1</v>
      </c>
      <c r="G71" s="255">
        <v>1</v>
      </c>
      <c r="H71" s="256">
        <v>0.99</v>
      </c>
      <c r="I71" s="256">
        <f t="shared" si="35"/>
        <v>2.3263478740408408</v>
      </c>
      <c r="J71" s="256">
        <f t="shared" si="46"/>
        <v>1.1723665369132052E-2</v>
      </c>
      <c r="K71" s="257">
        <f t="shared" si="40"/>
        <v>1.1723665369132052</v>
      </c>
      <c r="M71" s="1413" t="s">
        <v>14</v>
      </c>
      <c r="N71" s="254">
        <v>0.65</v>
      </c>
      <c r="O71" s="252">
        <f t="shared" ref="O71:O113" si="49">_xlfn.NORM.S.INV(N71)</f>
        <v>0.38532046640756784</v>
      </c>
      <c r="P71" s="252">
        <f t="shared" ref="P71:P113" si="50">(O71*SQRT(2))</f>
        <v>0.54492542945350908</v>
      </c>
      <c r="Q71" s="253">
        <v>1</v>
      </c>
      <c r="R71" s="255">
        <v>1</v>
      </c>
      <c r="S71" s="256">
        <v>0.99</v>
      </c>
      <c r="T71" s="256">
        <f t="shared" si="37"/>
        <v>2.3263478740408408</v>
      </c>
      <c r="U71" s="256">
        <f t="shared" ref="U71:U122" si="51">1-_xlfn.NORM.DIST(T71,P71,Q71,TRUE)</f>
        <v>3.7421732140198283E-2</v>
      </c>
      <c r="V71" s="257">
        <f t="shared" si="41"/>
        <v>3.7421732140198283</v>
      </c>
      <c r="X71" s="1413" t="s">
        <v>14</v>
      </c>
      <c r="Y71" s="251">
        <v>0.7</v>
      </c>
      <c r="Z71" s="252">
        <f t="shared" ref="Z71:Z122" si="52">_xlfn.NORM.S.INV(Y71)</f>
        <v>0.52440051270804078</v>
      </c>
      <c r="AA71" s="252">
        <f t="shared" ref="AA71:AA113" si="53">(Z71*SQRT(2))</f>
        <v>0.7416143171871159</v>
      </c>
      <c r="AB71" s="253">
        <v>1</v>
      </c>
      <c r="AC71" s="255">
        <v>1</v>
      </c>
      <c r="AD71" s="256">
        <v>0.99</v>
      </c>
      <c r="AE71" s="256">
        <f t="shared" si="39"/>
        <v>2.3263478740408408</v>
      </c>
      <c r="AF71" s="256">
        <f t="shared" ref="AF71:AF122" si="54">1-_xlfn.NORM.DIST(AE71,AA71,AB71,TRUE)</f>
        <v>5.6513442095322608E-2</v>
      </c>
      <c r="AG71" s="257">
        <f t="shared" si="42"/>
        <v>5.6513442095322608</v>
      </c>
    </row>
    <row r="72" spans="2:33" x14ac:dyDescent="0.2">
      <c r="B72" s="1414"/>
      <c r="C72" s="243">
        <f>C71</f>
        <v>0.51700000000000002</v>
      </c>
      <c r="D72" s="243">
        <f t="shared" si="47"/>
        <v>4.2625585176944369E-2</v>
      </c>
      <c r="E72" s="243">
        <f t="shared" si="48"/>
        <v>6.0281680661324298E-2</v>
      </c>
      <c r="F72" s="241">
        <v>1</v>
      </c>
      <c r="G72" s="242">
        <v>5</v>
      </c>
      <c r="H72" s="243">
        <v>0.95</v>
      </c>
      <c r="I72" s="243">
        <f t="shared" si="35"/>
        <v>1.6448536269514715</v>
      </c>
      <c r="J72" s="243">
        <f t="shared" si="46"/>
        <v>5.6531811542583243E-2</v>
      </c>
      <c r="K72" s="244">
        <f t="shared" si="40"/>
        <v>5.6531811542583243</v>
      </c>
      <c r="M72" s="1414"/>
      <c r="N72" s="242">
        <f>N71</f>
        <v>0.65</v>
      </c>
      <c r="O72" s="240">
        <f t="shared" si="49"/>
        <v>0.38532046640756784</v>
      </c>
      <c r="P72" s="240">
        <f t="shared" si="50"/>
        <v>0.54492542945350908</v>
      </c>
      <c r="Q72" s="241">
        <v>1</v>
      </c>
      <c r="R72" s="242">
        <v>5</v>
      </c>
      <c r="S72" s="243">
        <v>0.95</v>
      </c>
      <c r="T72" s="243">
        <f t="shared" si="37"/>
        <v>1.6448536269514715</v>
      </c>
      <c r="U72" s="243">
        <f t="shared" si="51"/>
        <v>0.13568170389550793</v>
      </c>
      <c r="V72" s="244">
        <f t="shared" si="41"/>
        <v>13.568170389550794</v>
      </c>
      <c r="X72" s="1414"/>
      <c r="Y72" s="243">
        <f>Y71</f>
        <v>0.7</v>
      </c>
      <c r="Z72" s="240">
        <f t="shared" si="52"/>
        <v>0.52440051270804078</v>
      </c>
      <c r="AA72" s="240">
        <f t="shared" si="53"/>
        <v>0.7416143171871159</v>
      </c>
      <c r="AB72" s="241">
        <v>1</v>
      </c>
      <c r="AC72" s="242">
        <v>5</v>
      </c>
      <c r="AD72" s="243">
        <v>0.95</v>
      </c>
      <c r="AE72" s="243">
        <f t="shared" si="39"/>
        <v>1.6448536269514715</v>
      </c>
      <c r="AF72" s="243">
        <f t="shared" si="54"/>
        <v>0.18319944951254508</v>
      </c>
      <c r="AG72" s="244">
        <f t="shared" si="42"/>
        <v>18.319944951254506</v>
      </c>
    </row>
    <row r="73" spans="2:33" x14ac:dyDescent="0.2">
      <c r="B73" s="1414"/>
      <c r="C73" s="243">
        <f t="shared" ref="C73:C83" si="55">C72</f>
        <v>0.51700000000000002</v>
      </c>
      <c r="D73" s="243">
        <f t="shared" si="47"/>
        <v>4.2625585176944369E-2</v>
      </c>
      <c r="E73" s="243">
        <f t="shared" si="48"/>
        <v>6.0281680661324298E-2</v>
      </c>
      <c r="F73" s="241">
        <v>1</v>
      </c>
      <c r="G73" s="242">
        <v>10</v>
      </c>
      <c r="H73" s="243">
        <v>0.9</v>
      </c>
      <c r="I73" s="243">
        <f t="shared" si="35"/>
        <v>1.2815515655446006</v>
      </c>
      <c r="J73" s="243">
        <f t="shared" si="46"/>
        <v>0.11099192587684381</v>
      </c>
      <c r="K73" s="244">
        <f t="shared" si="40"/>
        <v>11.099192587684382</v>
      </c>
      <c r="M73" s="1414"/>
      <c r="N73" s="242">
        <f t="shared" ref="N73:N83" si="56">N72</f>
        <v>0.65</v>
      </c>
      <c r="O73" s="240">
        <f t="shared" si="49"/>
        <v>0.38532046640756784</v>
      </c>
      <c r="P73" s="240">
        <f t="shared" si="50"/>
        <v>0.54492542945350908</v>
      </c>
      <c r="Q73" s="241">
        <v>1</v>
      </c>
      <c r="R73" s="242">
        <v>10</v>
      </c>
      <c r="S73" s="243">
        <v>0.9</v>
      </c>
      <c r="T73" s="243">
        <f t="shared" si="37"/>
        <v>1.2815515655446006</v>
      </c>
      <c r="U73" s="243">
        <f t="shared" si="51"/>
        <v>0.230674868221037</v>
      </c>
      <c r="V73" s="244">
        <f t="shared" si="41"/>
        <v>23.067486822103699</v>
      </c>
      <c r="X73" s="1414"/>
      <c r="Y73" s="243">
        <f t="shared" ref="Y73:Y83" si="57">Y72</f>
        <v>0.7</v>
      </c>
      <c r="Z73" s="240">
        <f t="shared" si="52"/>
        <v>0.52440051270804078</v>
      </c>
      <c r="AA73" s="240">
        <f t="shared" si="53"/>
        <v>0.7416143171871159</v>
      </c>
      <c r="AB73" s="241">
        <v>1</v>
      </c>
      <c r="AC73" s="242">
        <v>10</v>
      </c>
      <c r="AD73" s="243">
        <v>0.9</v>
      </c>
      <c r="AE73" s="243">
        <f t="shared" si="39"/>
        <v>1.2815515655446006</v>
      </c>
      <c r="AF73" s="243">
        <f t="shared" si="54"/>
        <v>0.29462015447825673</v>
      </c>
      <c r="AG73" s="244">
        <f t="shared" si="42"/>
        <v>29.462015447825674</v>
      </c>
    </row>
    <row r="74" spans="2:33" ht="17" thickBot="1" x14ac:dyDescent="0.25">
      <c r="B74" s="1414"/>
      <c r="C74" s="243">
        <f t="shared" si="55"/>
        <v>0.51700000000000002</v>
      </c>
      <c r="D74" s="243">
        <f t="shared" si="47"/>
        <v>4.2625585176944369E-2</v>
      </c>
      <c r="E74" s="243">
        <f t="shared" si="48"/>
        <v>6.0281680661324298E-2</v>
      </c>
      <c r="F74" s="241">
        <v>1</v>
      </c>
      <c r="G74" s="242">
        <v>20</v>
      </c>
      <c r="H74" s="243">
        <v>0.8</v>
      </c>
      <c r="I74" s="243">
        <f t="shared" si="35"/>
        <v>0.84162123357291474</v>
      </c>
      <c r="J74" s="243">
        <f t="shared" si="46"/>
        <v>0.21730140643188034</v>
      </c>
      <c r="K74" s="244">
        <f t="shared" si="40"/>
        <v>21.730140643188033</v>
      </c>
      <c r="M74" s="1414"/>
      <c r="N74" s="248">
        <f t="shared" si="56"/>
        <v>0.65</v>
      </c>
      <c r="O74" s="246">
        <f t="shared" si="49"/>
        <v>0.38532046640756784</v>
      </c>
      <c r="P74" s="246">
        <f t="shared" si="50"/>
        <v>0.54492542945350908</v>
      </c>
      <c r="Q74" s="247">
        <v>1</v>
      </c>
      <c r="R74" s="248">
        <v>20</v>
      </c>
      <c r="S74" s="249">
        <v>0.8</v>
      </c>
      <c r="T74" s="249">
        <f t="shared" si="37"/>
        <v>0.84162123357291474</v>
      </c>
      <c r="U74" s="249">
        <f t="shared" si="51"/>
        <v>0.38334938035373667</v>
      </c>
      <c r="V74" s="258">
        <f t="shared" si="41"/>
        <v>38.334938035373668</v>
      </c>
      <c r="X74" s="1414"/>
      <c r="Y74" s="243">
        <f t="shared" si="57"/>
        <v>0.7</v>
      </c>
      <c r="Z74" s="240">
        <f t="shared" si="52"/>
        <v>0.52440051270804078</v>
      </c>
      <c r="AA74" s="240">
        <f t="shared" si="53"/>
        <v>0.7416143171871159</v>
      </c>
      <c r="AB74" s="241">
        <v>1</v>
      </c>
      <c r="AC74" s="242">
        <v>20</v>
      </c>
      <c r="AD74" s="243">
        <v>0.8</v>
      </c>
      <c r="AE74" s="243">
        <f t="shared" si="39"/>
        <v>0.84162123357291474</v>
      </c>
      <c r="AF74" s="243">
        <f t="shared" si="54"/>
        <v>0.46016941724695837</v>
      </c>
      <c r="AG74" s="244">
        <f t="shared" si="42"/>
        <v>46.01694172469584</v>
      </c>
    </row>
    <row r="75" spans="2:33" ht="17" hidden="1" thickBot="1" x14ac:dyDescent="0.25">
      <c r="B75" s="1414"/>
      <c r="C75" s="243">
        <f t="shared" si="55"/>
        <v>0.51700000000000002</v>
      </c>
      <c r="D75" s="243">
        <f t="shared" si="47"/>
        <v>4.2625585176944369E-2</v>
      </c>
      <c r="E75" s="243">
        <f t="shared" si="48"/>
        <v>6.0281680661324298E-2</v>
      </c>
      <c r="F75" s="241">
        <v>1</v>
      </c>
      <c r="G75" s="242">
        <v>30</v>
      </c>
      <c r="H75" s="243">
        <v>0.7</v>
      </c>
      <c r="I75" s="243">
        <f t="shared" si="35"/>
        <v>0.52440051270804078</v>
      </c>
      <c r="J75" s="243">
        <f t="shared" si="46"/>
        <v>0.32128130506163721</v>
      </c>
      <c r="K75" s="245">
        <f t="shared" si="40"/>
        <v>32.128130506163721</v>
      </c>
      <c r="M75" s="1414"/>
      <c r="N75" s="242">
        <f t="shared" si="56"/>
        <v>0.65</v>
      </c>
      <c r="O75" s="240">
        <f t="shared" si="49"/>
        <v>0.38532046640756784</v>
      </c>
      <c r="P75" s="240">
        <f t="shared" si="50"/>
        <v>0.54492542945350908</v>
      </c>
      <c r="Q75" s="241">
        <v>1</v>
      </c>
      <c r="R75" s="242">
        <v>30</v>
      </c>
      <c r="S75" s="243">
        <v>0.7</v>
      </c>
      <c r="T75" s="243">
        <f t="shared" si="37"/>
        <v>0.52440051270804078</v>
      </c>
      <c r="U75" s="243">
        <f t="shared" si="51"/>
        <v>0.5081876822136242</v>
      </c>
      <c r="V75" s="245">
        <f t="shared" si="41"/>
        <v>50.818768221362419</v>
      </c>
      <c r="X75" s="1414"/>
      <c r="Y75" s="243">
        <f t="shared" si="57"/>
        <v>0.7</v>
      </c>
      <c r="Z75" s="240">
        <f t="shared" si="52"/>
        <v>0.52440051270804078</v>
      </c>
      <c r="AA75" s="240">
        <f t="shared" si="53"/>
        <v>0.7416143171871159</v>
      </c>
      <c r="AB75" s="241">
        <v>1</v>
      </c>
      <c r="AC75" s="242">
        <v>30</v>
      </c>
      <c r="AD75" s="243">
        <v>0.7</v>
      </c>
      <c r="AE75" s="243">
        <f t="shared" si="39"/>
        <v>0.52440051270804078</v>
      </c>
      <c r="AF75" s="243">
        <f t="shared" si="54"/>
        <v>0.58597913645729727</v>
      </c>
      <c r="AG75" s="245">
        <f t="shared" si="42"/>
        <v>58.597913645729726</v>
      </c>
    </row>
    <row r="76" spans="2:33" ht="17" hidden="1" thickBot="1" x14ac:dyDescent="0.25">
      <c r="B76" s="1414"/>
      <c r="C76" s="243">
        <f t="shared" si="55"/>
        <v>0.51700000000000002</v>
      </c>
      <c r="D76" s="243">
        <f t="shared" si="47"/>
        <v>4.2625585176944369E-2</v>
      </c>
      <c r="E76" s="243">
        <f t="shared" si="48"/>
        <v>6.0281680661324298E-2</v>
      </c>
      <c r="F76" s="241">
        <v>1</v>
      </c>
      <c r="G76" s="242">
        <v>40</v>
      </c>
      <c r="H76" s="243">
        <v>0.6</v>
      </c>
      <c r="I76" s="243">
        <f t="shared" si="35"/>
        <v>0.25334710313579978</v>
      </c>
      <c r="J76" s="243">
        <f t="shared" si="46"/>
        <v>0.42345386601197887</v>
      </c>
      <c r="K76" s="245">
        <f t="shared" si="40"/>
        <v>42.345386601197887</v>
      </c>
      <c r="M76" s="1414"/>
      <c r="N76" s="242">
        <f t="shared" si="56"/>
        <v>0.65</v>
      </c>
      <c r="O76" s="240">
        <f t="shared" si="49"/>
        <v>0.38532046640756784</v>
      </c>
      <c r="P76" s="240">
        <f t="shared" si="50"/>
        <v>0.54492542945350908</v>
      </c>
      <c r="Q76" s="241">
        <v>1</v>
      </c>
      <c r="R76" s="242">
        <v>40</v>
      </c>
      <c r="S76" s="243">
        <v>0.6</v>
      </c>
      <c r="T76" s="243">
        <f t="shared" si="37"/>
        <v>0.25334710313579978</v>
      </c>
      <c r="U76" s="243">
        <f t="shared" si="51"/>
        <v>0.61469547561449367</v>
      </c>
      <c r="V76" s="245">
        <f t="shared" si="41"/>
        <v>61.469547561449367</v>
      </c>
      <c r="X76" s="1414"/>
      <c r="Y76" s="243">
        <f t="shared" si="57"/>
        <v>0.7</v>
      </c>
      <c r="Z76" s="240">
        <f t="shared" si="52"/>
        <v>0.52440051270804078</v>
      </c>
      <c r="AA76" s="240">
        <f t="shared" si="53"/>
        <v>0.7416143171871159</v>
      </c>
      <c r="AB76" s="241">
        <v>1</v>
      </c>
      <c r="AC76" s="242">
        <v>40</v>
      </c>
      <c r="AD76" s="243">
        <v>0.6</v>
      </c>
      <c r="AE76" s="243">
        <f t="shared" si="39"/>
        <v>0.25334710313579978</v>
      </c>
      <c r="AF76" s="243">
        <f t="shared" si="54"/>
        <v>0.68731970943896892</v>
      </c>
      <c r="AG76" s="245">
        <f t="shared" si="42"/>
        <v>68.731970943896897</v>
      </c>
    </row>
    <row r="77" spans="2:33" ht="17" hidden="1" thickBot="1" x14ac:dyDescent="0.25">
      <c r="B77" s="1414"/>
      <c r="C77" s="243">
        <f t="shared" si="55"/>
        <v>0.51700000000000002</v>
      </c>
      <c r="D77" s="243">
        <f t="shared" si="47"/>
        <v>4.2625585176944369E-2</v>
      </c>
      <c r="E77" s="243">
        <f t="shared" si="48"/>
        <v>6.0281680661324298E-2</v>
      </c>
      <c r="F77" s="241">
        <v>1</v>
      </c>
      <c r="G77" s="242">
        <v>50</v>
      </c>
      <c r="H77" s="243">
        <v>0.5</v>
      </c>
      <c r="I77" s="243">
        <f t="shared" si="35"/>
        <v>0</v>
      </c>
      <c r="J77" s="243">
        <f t="shared" si="46"/>
        <v>0.52403435393825171</v>
      </c>
      <c r="K77" s="245">
        <f t="shared" si="40"/>
        <v>52.40343539382517</v>
      </c>
      <c r="M77" s="1414"/>
      <c r="N77" s="242">
        <f t="shared" si="56"/>
        <v>0.65</v>
      </c>
      <c r="O77" s="240">
        <f t="shared" si="49"/>
        <v>0.38532046640756784</v>
      </c>
      <c r="P77" s="240">
        <f t="shared" si="50"/>
        <v>0.54492542945350908</v>
      </c>
      <c r="Q77" s="241">
        <v>1</v>
      </c>
      <c r="R77" s="242">
        <v>50</v>
      </c>
      <c r="S77" s="243">
        <v>0.5</v>
      </c>
      <c r="T77" s="243">
        <f t="shared" si="37"/>
        <v>0</v>
      </c>
      <c r="U77" s="243">
        <f t="shared" si="51"/>
        <v>0.70709759705904096</v>
      </c>
      <c r="V77" s="245">
        <f t="shared" si="41"/>
        <v>70.709759705904091</v>
      </c>
      <c r="X77" s="1414"/>
      <c r="Y77" s="243">
        <f t="shared" si="57"/>
        <v>0.7</v>
      </c>
      <c r="Z77" s="240">
        <f t="shared" si="52"/>
        <v>0.52440051270804078</v>
      </c>
      <c r="AA77" s="240">
        <f t="shared" si="53"/>
        <v>0.7416143171871159</v>
      </c>
      <c r="AB77" s="241">
        <v>1</v>
      </c>
      <c r="AC77" s="242">
        <v>50</v>
      </c>
      <c r="AD77" s="243">
        <v>0.5</v>
      </c>
      <c r="AE77" s="243">
        <f t="shared" si="39"/>
        <v>0</v>
      </c>
      <c r="AF77" s="243">
        <f t="shared" si="54"/>
        <v>0.77083947673802555</v>
      </c>
      <c r="AG77" s="245">
        <f t="shared" si="42"/>
        <v>77.083947673802555</v>
      </c>
    </row>
    <row r="78" spans="2:33" ht="17" hidden="1" thickBot="1" x14ac:dyDescent="0.25">
      <c r="B78" s="1414"/>
      <c r="C78" s="243">
        <f t="shared" si="55"/>
        <v>0.51700000000000002</v>
      </c>
      <c r="D78" s="243">
        <f t="shared" si="47"/>
        <v>4.2625585176944369E-2</v>
      </c>
      <c r="E78" s="243">
        <f t="shared" si="48"/>
        <v>6.0281680661324298E-2</v>
      </c>
      <c r="F78" s="241">
        <v>1</v>
      </c>
      <c r="G78" s="242">
        <v>60</v>
      </c>
      <c r="H78" s="243">
        <v>0.4</v>
      </c>
      <c r="I78" s="243">
        <f t="shared" si="35"/>
        <v>-0.25334710313579978</v>
      </c>
      <c r="J78" s="243">
        <f t="shared" si="46"/>
        <v>0.62309850226129981</v>
      </c>
      <c r="K78" s="245">
        <f t="shared" si="40"/>
        <v>62.309850226129981</v>
      </c>
      <c r="M78" s="1414"/>
      <c r="N78" s="242">
        <f t="shared" si="56"/>
        <v>0.65</v>
      </c>
      <c r="O78" s="240">
        <f t="shared" si="49"/>
        <v>0.38532046640756784</v>
      </c>
      <c r="P78" s="240">
        <f t="shared" si="50"/>
        <v>0.54492542945350908</v>
      </c>
      <c r="Q78" s="241">
        <v>1</v>
      </c>
      <c r="R78" s="242">
        <v>60</v>
      </c>
      <c r="S78" s="243">
        <v>0.4</v>
      </c>
      <c r="T78" s="243">
        <f t="shared" si="37"/>
        <v>-0.25334710313579978</v>
      </c>
      <c r="U78" s="243">
        <f t="shared" si="51"/>
        <v>0.78764382299737645</v>
      </c>
      <c r="V78" s="245">
        <f t="shared" si="41"/>
        <v>78.764382299737647</v>
      </c>
      <c r="X78" s="1414"/>
      <c r="Y78" s="243">
        <f t="shared" si="57"/>
        <v>0.7</v>
      </c>
      <c r="Z78" s="240">
        <f t="shared" si="52"/>
        <v>0.52440051270804078</v>
      </c>
      <c r="AA78" s="240">
        <f t="shared" si="53"/>
        <v>0.7416143171871159</v>
      </c>
      <c r="AB78" s="241">
        <v>1</v>
      </c>
      <c r="AC78" s="242">
        <v>60</v>
      </c>
      <c r="AD78" s="243">
        <v>0.4</v>
      </c>
      <c r="AE78" s="243">
        <f t="shared" si="39"/>
        <v>-0.25334710313579978</v>
      </c>
      <c r="AF78" s="243">
        <f t="shared" si="54"/>
        <v>0.8401224858166485</v>
      </c>
      <c r="AG78" s="245">
        <f t="shared" si="42"/>
        <v>84.012248581664849</v>
      </c>
    </row>
    <row r="79" spans="2:33" ht="17" hidden="1" thickBot="1" x14ac:dyDescent="0.25">
      <c r="B79" s="1414"/>
      <c r="C79" s="243">
        <f t="shared" si="55"/>
        <v>0.51700000000000002</v>
      </c>
      <c r="D79" s="243">
        <f t="shared" si="47"/>
        <v>4.2625585176944369E-2</v>
      </c>
      <c r="E79" s="243">
        <f t="shared" si="48"/>
        <v>6.0281680661324298E-2</v>
      </c>
      <c r="F79" s="241">
        <v>1</v>
      </c>
      <c r="G79" s="242">
        <v>70</v>
      </c>
      <c r="H79" s="243">
        <v>0.3</v>
      </c>
      <c r="I79" s="243">
        <f t="shared" si="35"/>
        <v>-0.52440051270804089</v>
      </c>
      <c r="J79" s="243">
        <f t="shared" si="46"/>
        <v>0.72061928530875119</v>
      </c>
      <c r="K79" s="245">
        <f t="shared" si="40"/>
        <v>72.061928530875122</v>
      </c>
      <c r="M79" s="1414"/>
      <c r="N79" s="242">
        <f t="shared" si="56"/>
        <v>0.65</v>
      </c>
      <c r="O79" s="240">
        <f t="shared" si="49"/>
        <v>0.38532046640756784</v>
      </c>
      <c r="P79" s="240">
        <f t="shared" si="50"/>
        <v>0.54492542945350908</v>
      </c>
      <c r="Q79" s="241">
        <v>1</v>
      </c>
      <c r="R79" s="242">
        <v>70</v>
      </c>
      <c r="S79" s="243">
        <v>0.3</v>
      </c>
      <c r="T79" s="243">
        <f t="shared" si="37"/>
        <v>-0.52440051270804089</v>
      </c>
      <c r="U79" s="243">
        <f t="shared" si="51"/>
        <v>0.85753858752147183</v>
      </c>
      <c r="V79" s="245">
        <f t="shared" si="41"/>
        <v>85.753858752147181</v>
      </c>
      <c r="X79" s="1414"/>
      <c r="Y79" s="243">
        <f t="shared" si="57"/>
        <v>0.7</v>
      </c>
      <c r="Z79" s="240">
        <f t="shared" si="52"/>
        <v>0.52440051270804078</v>
      </c>
      <c r="AA79" s="240">
        <f t="shared" si="53"/>
        <v>0.7416143171871159</v>
      </c>
      <c r="AB79" s="241">
        <v>1</v>
      </c>
      <c r="AC79" s="242">
        <v>70</v>
      </c>
      <c r="AD79" s="243">
        <v>0.3</v>
      </c>
      <c r="AE79" s="243">
        <f t="shared" si="39"/>
        <v>-0.52440051270804089</v>
      </c>
      <c r="AF79" s="243">
        <f t="shared" si="54"/>
        <v>0.89724611353971451</v>
      </c>
      <c r="AG79" s="245">
        <f t="shared" si="42"/>
        <v>89.724611353971454</v>
      </c>
    </row>
    <row r="80" spans="2:33" ht="17" hidden="1" thickBot="1" x14ac:dyDescent="0.25">
      <c r="B80" s="1414"/>
      <c r="C80" s="243">
        <f t="shared" si="55"/>
        <v>0.51700000000000002</v>
      </c>
      <c r="D80" s="243">
        <f t="shared" si="47"/>
        <v>4.2625585176944369E-2</v>
      </c>
      <c r="E80" s="243">
        <f t="shared" si="48"/>
        <v>6.0281680661324298E-2</v>
      </c>
      <c r="F80" s="241">
        <v>1</v>
      </c>
      <c r="G80" s="242">
        <v>80</v>
      </c>
      <c r="H80" s="243">
        <v>0.2</v>
      </c>
      <c r="I80" s="243">
        <f t="shared" si="35"/>
        <v>-0.84162123357291452</v>
      </c>
      <c r="J80" s="243">
        <f t="shared" si="46"/>
        <v>0.81644577842252097</v>
      </c>
      <c r="K80" s="245">
        <f t="shared" si="40"/>
        <v>81.64457784225209</v>
      </c>
      <c r="M80" s="1414"/>
      <c r="N80" s="242">
        <f t="shared" si="56"/>
        <v>0.65</v>
      </c>
      <c r="O80" s="240">
        <f t="shared" si="49"/>
        <v>0.38532046640756784</v>
      </c>
      <c r="P80" s="240">
        <f t="shared" si="50"/>
        <v>0.54492542945350908</v>
      </c>
      <c r="Q80" s="241">
        <v>1</v>
      </c>
      <c r="R80" s="242">
        <v>80</v>
      </c>
      <c r="S80" s="243">
        <v>0.2</v>
      </c>
      <c r="T80" s="243">
        <f t="shared" si="37"/>
        <v>-0.84162123357291452</v>
      </c>
      <c r="U80" s="243">
        <f t="shared" si="51"/>
        <v>0.91720997902415025</v>
      </c>
      <c r="V80" s="245">
        <f t="shared" si="41"/>
        <v>91.720997902415021</v>
      </c>
      <c r="X80" s="1414"/>
      <c r="Y80" s="243">
        <f t="shared" si="57"/>
        <v>0.7</v>
      </c>
      <c r="Z80" s="240">
        <f t="shared" si="52"/>
        <v>0.52440051270804078</v>
      </c>
      <c r="AA80" s="240">
        <f t="shared" si="53"/>
        <v>0.7416143171871159</v>
      </c>
      <c r="AB80" s="241">
        <v>1</v>
      </c>
      <c r="AC80" s="242">
        <v>80</v>
      </c>
      <c r="AD80" s="243">
        <v>0.2</v>
      </c>
      <c r="AE80" s="243">
        <f t="shared" si="39"/>
        <v>-0.84162123357291452</v>
      </c>
      <c r="AF80" s="243">
        <f t="shared" si="54"/>
        <v>0.94331610682949052</v>
      </c>
      <c r="AG80" s="245">
        <f t="shared" si="42"/>
        <v>94.331610682949048</v>
      </c>
    </row>
    <row r="81" spans="2:33" ht="17" hidden="1" thickBot="1" x14ac:dyDescent="0.25">
      <c r="B81" s="1414"/>
      <c r="C81" s="243">
        <f t="shared" si="55"/>
        <v>0.51700000000000002</v>
      </c>
      <c r="D81" s="243">
        <f t="shared" si="47"/>
        <v>4.2625585176944369E-2</v>
      </c>
      <c r="E81" s="243">
        <f t="shared" si="48"/>
        <v>6.0281680661324298E-2</v>
      </c>
      <c r="F81" s="241">
        <v>1</v>
      </c>
      <c r="G81" s="242">
        <v>90</v>
      </c>
      <c r="H81" s="243">
        <v>0.1</v>
      </c>
      <c r="I81" s="243">
        <f t="shared" si="35"/>
        <v>-1.2815515655446006</v>
      </c>
      <c r="J81" s="243">
        <f t="shared" si="46"/>
        <v>0.91017496507655893</v>
      </c>
      <c r="K81" s="245">
        <f t="shared" si="40"/>
        <v>91.017496507655892</v>
      </c>
      <c r="M81" s="1414"/>
      <c r="N81" s="242">
        <f t="shared" si="56"/>
        <v>0.65</v>
      </c>
      <c r="O81" s="240">
        <f t="shared" si="49"/>
        <v>0.38532046640756784</v>
      </c>
      <c r="P81" s="240">
        <f t="shared" si="50"/>
        <v>0.54492542945350908</v>
      </c>
      <c r="Q81" s="241">
        <v>1</v>
      </c>
      <c r="R81" s="242">
        <v>90</v>
      </c>
      <c r="S81" s="243">
        <v>0.1</v>
      </c>
      <c r="T81" s="243">
        <f t="shared" si="37"/>
        <v>-1.2815515655446006</v>
      </c>
      <c r="U81" s="243">
        <f t="shared" si="51"/>
        <v>0.96611077829468006</v>
      </c>
      <c r="V81" s="245">
        <f t="shared" si="41"/>
        <v>96.611077829468002</v>
      </c>
      <c r="X81" s="1414"/>
      <c r="Y81" s="243">
        <f t="shared" si="57"/>
        <v>0.7</v>
      </c>
      <c r="Z81" s="240">
        <f t="shared" si="52"/>
        <v>0.52440051270804078</v>
      </c>
      <c r="AA81" s="240">
        <f t="shared" si="53"/>
        <v>0.7416143171871159</v>
      </c>
      <c r="AB81" s="241">
        <v>1</v>
      </c>
      <c r="AC81" s="242">
        <v>90</v>
      </c>
      <c r="AD81" s="243">
        <v>0.1</v>
      </c>
      <c r="AE81" s="243">
        <f t="shared" si="39"/>
        <v>-1.2815515655446006</v>
      </c>
      <c r="AF81" s="243">
        <f t="shared" si="54"/>
        <v>0.97847197606145453</v>
      </c>
      <c r="AG81" s="245">
        <f t="shared" si="42"/>
        <v>97.847197606145457</v>
      </c>
    </row>
    <row r="82" spans="2:33" ht="17" hidden="1" thickBot="1" x14ac:dyDescent="0.25">
      <c r="B82" s="1414"/>
      <c r="C82" s="243">
        <f t="shared" si="55"/>
        <v>0.51700000000000002</v>
      </c>
      <c r="D82" s="243">
        <f t="shared" si="47"/>
        <v>4.2625585176944369E-2</v>
      </c>
      <c r="E82" s="243">
        <f t="shared" si="48"/>
        <v>6.0281680661324298E-2</v>
      </c>
      <c r="F82" s="241">
        <v>1</v>
      </c>
      <c r="G82" s="242">
        <v>95</v>
      </c>
      <c r="H82" s="243">
        <v>0.05</v>
      </c>
      <c r="I82" s="243">
        <f t="shared" si="35"/>
        <v>-1.6448536269514726</v>
      </c>
      <c r="J82" s="243">
        <f t="shared" si="46"/>
        <v>0.95591540402330633</v>
      </c>
      <c r="K82" s="245">
        <f t="shared" si="40"/>
        <v>95.591540402330637</v>
      </c>
      <c r="M82" s="1414"/>
      <c r="N82" s="242">
        <f t="shared" si="56"/>
        <v>0.65</v>
      </c>
      <c r="O82" s="240">
        <f t="shared" si="49"/>
        <v>0.38532046640756784</v>
      </c>
      <c r="P82" s="240">
        <f t="shared" si="50"/>
        <v>0.54492542945350908</v>
      </c>
      <c r="Q82" s="241">
        <v>1</v>
      </c>
      <c r="R82" s="242">
        <v>95</v>
      </c>
      <c r="S82" s="243">
        <v>0.05</v>
      </c>
      <c r="T82" s="243">
        <f t="shared" si="37"/>
        <v>-1.6448536269514726</v>
      </c>
      <c r="U82" s="243">
        <f t="shared" si="51"/>
        <v>0.98572986782307837</v>
      </c>
      <c r="V82" s="245">
        <f t="shared" si="41"/>
        <v>98.572986782307837</v>
      </c>
      <c r="X82" s="1414"/>
      <c r="Y82" s="243">
        <f t="shared" si="57"/>
        <v>0.7</v>
      </c>
      <c r="Z82" s="240">
        <f t="shared" si="52"/>
        <v>0.52440051270804078</v>
      </c>
      <c r="AA82" s="240">
        <f t="shared" si="53"/>
        <v>0.7416143171871159</v>
      </c>
      <c r="AB82" s="241">
        <v>1</v>
      </c>
      <c r="AC82" s="242">
        <v>95</v>
      </c>
      <c r="AD82" s="243">
        <v>0.05</v>
      </c>
      <c r="AE82" s="243">
        <f t="shared" si="39"/>
        <v>-1.6448536269514726</v>
      </c>
      <c r="AF82" s="243">
        <f t="shared" si="54"/>
        <v>0.9914944548385547</v>
      </c>
      <c r="AG82" s="245">
        <f t="shared" si="42"/>
        <v>99.149445483855473</v>
      </c>
    </row>
    <row r="83" spans="2:33" ht="17" hidden="1" customHeight="1" x14ac:dyDescent="0.2">
      <c r="B83" s="1415"/>
      <c r="C83" s="249">
        <f t="shared" si="55"/>
        <v>0.51700000000000002</v>
      </c>
      <c r="D83" s="249">
        <f t="shared" si="47"/>
        <v>4.2625585176944369E-2</v>
      </c>
      <c r="E83" s="249">
        <f t="shared" si="48"/>
        <v>6.0281680661324298E-2</v>
      </c>
      <c r="F83" s="247">
        <v>1</v>
      </c>
      <c r="G83" s="248">
        <v>99</v>
      </c>
      <c r="H83" s="249">
        <v>0.01</v>
      </c>
      <c r="I83" s="249">
        <f t="shared" si="35"/>
        <v>-2.3263478740408408</v>
      </c>
      <c r="J83" s="249">
        <f t="shared" si="46"/>
        <v>0.9914981924378955</v>
      </c>
      <c r="K83" s="250">
        <f t="shared" si="40"/>
        <v>99.149819243789551</v>
      </c>
      <c r="M83" s="1415"/>
      <c r="N83" s="248">
        <f t="shared" si="56"/>
        <v>0.65</v>
      </c>
      <c r="O83" s="246">
        <f t="shared" si="49"/>
        <v>0.38532046640756784</v>
      </c>
      <c r="P83" s="246">
        <f t="shared" si="50"/>
        <v>0.54492542945350908</v>
      </c>
      <c r="Q83" s="247">
        <v>1</v>
      </c>
      <c r="R83" s="248">
        <v>99</v>
      </c>
      <c r="S83" s="249">
        <v>0.01</v>
      </c>
      <c r="T83" s="249">
        <f t="shared" si="37"/>
        <v>-2.3263478740408408</v>
      </c>
      <c r="U83" s="249">
        <f t="shared" si="51"/>
        <v>0.9979558905211402</v>
      </c>
      <c r="V83" s="250">
        <f t="shared" si="41"/>
        <v>99.795589052114025</v>
      </c>
      <c r="X83" s="1415"/>
      <c r="Y83" s="249">
        <f t="shared" si="57"/>
        <v>0.7</v>
      </c>
      <c r="Z83" s="246">
        <f t="shared" si="52"/>
        <v>0.52440051270804078</v>
      </c>
      <c r="AA83" s="246">
        <f t="shared" si="53"/>
        <v>0.7416143171871159</v>
      </c>
      <c r="AB83" s="247">
        <v>1</v>
      </c>
      <c r="AC83" s="248">
        <v>99</v>
      </c>
      <c r="AD83" s="249">
        <v>0.01</v>
      </c>
      <c r="AE83" s="249">
        <f t="shared" si="39"/>
        <v>-2.3263478740408408</v>
      </c>
      <c r="AF83" s="249">
        <f t="shared" si="54"/>
        <v>0.99892238057640925</v>
      </c>
      <c r="AG83" s="250">
        <f t="shared" si="42"/>
        <v>99.892238057640924</v>
      </c>
    </row>
    <row r="84" spans="2:33" ht="16" customHeight="1" x14ac:dyDescent="0.2">
      <c r="B84" s="1413" t="s">
        <v>15</v>
      </c>
      <c r="C84" s="254">
        <v>0.67200000000000004</v>
      </c>
      <c r="D84" s="256">
        <f t="shared" si="47"/>
        <v>0.44544250629171983</v>
      </c>
      <c r="E84" s="256">
        <f t="shared" si="48"/>
        <v>0.62995083365521298</v>
      </c>
      <c r="F84" s="253">
        <v>1</v>
      </c>
      <c r="G84" s="255">
        <v>1</v>
      </c>
      <c r="H84" s="256">
        <v>0.99</v>
      </c>
      <c r="I84" s="256">
        <f t="shared" si="35"/>
        <v>2.3263478740408408</v>
      </c>
      <c r="J84" s="256">
        <f t="shared" si="46"/>
        <v>4.49053569204243E-2</v>
      </c>
      <c r="K84" s="257">
        <f t="shared" si="40"/>
        <v>4.49053569204243</v>
      </c>
      <c r="M84" s="1413" t="s">
        <v>15</v>
      </c>
      <c r="N84" s="254">
        <v>0.74</v>
      </c>
      <c r="O84" s="252">
        <f t="shared" si="49"/>
        <v>0.64334540539291696</v>
      </c>
      <c r="P84" s="252">
        <f t="shared" si="50"/>
        <v>0.9098277975970801</v>
      </c>
      <c r="Q84" s="253">
        <v>1</v>
      </c>
      <c r="R84" s="255">
        <v>1</v>
      </c>
      <c r="S84" s="256">
        <v>0.99</v>
      </c>
      <c r="T84" s="256">
        <f t="shared" si="37"/>
        <v>2.3263478740408408</v>
      </c>
      <c r="U84" s="256">
        <f t="shared" si="51"/>
        <v>7.8311645170807909E-2</v>
      </c>
      <c r="V84" s="257">
        <f t="shared" si="41"/>
        <v>7.8311645170807909</v>
      </c>
      <c r="X84" s="1413" t="s">
        <v>15</v>
      </c>
      <c r="Y84" s="254">
        <v>0.82</v>
      </c>
      <c r="Z84" s="252">
        <f t="shared" si="52"/>
        <v>0.91536508784281256</v>
      </c>
      <c r="AA84" s="252">
        <f t="shared" si="53"/>
        <v>1.294521721750145</v>
      </c>
      <c r="AB84" s="253">
        <v>1</v>
      </c>
      <c r="AC84" s="255">
        <v>1</v>
      </c>
      <c r="AD84" s="256">
        <v>0.99</v>
      </c>
      <c r="AE84" s="256">
        <f t="shared" si="39"/>
        <v>2.3263478740408408</v>
      </c>
      <c r="AF84" s="256">
        <f t="shared" si="54"/>
        <v>0.15107678280249259</v>
      </c>
      <c r="AG84" s="257">
        <f t="shared" si="42"/>
        <v>15.10767828024926</v>
      </c>
    </row>
    <row r="85" spans="2:33" x14ac:dyDescent="0.2">
      <c r="B85" s="1414"/>
      <c r="C85" s="242">
        <f>C84</f>
        <v>0.67200000000000004</v>
      </c>
      <c r="D85" s="243">
        <f t="shared" si="47"/>
        <v>0.44544250629171983</v>
      </c>
      <c r="E85" s="243">
        <f t="shared" si="48"/>
        <v>0.62995083365521298</v>
      </c>
      <c r="F85" s="241">
        <v>1</v>
      </c>
      <c r="G85" s="242">
        <v>5</v>
      </c>
      <c r="H85" s="243">
        <v>0.95</v>
      </c>
      <c r="I85" s="243">
        <f t="shared" si="35"/>
        <v>1.6448536269514715</v>
      </c>
      <c r="J85" s="243">
        <f t="shared" si="46"/>
        <v>0.15507608328064837</v>
      </c>
      <c r="K85" s="244">
        <f t="shared" si="40"/>
        <v>15.507608328064837</v>
      </c>
      <c r="M85" s="1414"/>
      <c r="N85" s="242">
        <f>N84</f>
        <v>0.74</v>
      </c>
      <c r="O85" s="240">
        <f t="shared" si="49"/>
        <v>0.64334540539291696</v>
      </c>
      <c r="P85" s="240">
        <f t="shared" si="50"/>
        <v>0.9098277975970801</v>
      </c>
      <c r="Q85" s="241">
        <v>1</v>
      </c>
      <c r="R85" s="242">
        <v>5</v>
      </c>
      <c r="S85" s="243">
        <v>0.95</v>
      </c>
      <c r="T85" s="243">
        <f t="shared" si="37"/>
        <v>1.6448536269514715</v>
      </c>
      <c r="U85" s="243">
        <f t="shared" si="51"/>
        <v>0.23116188183611452</v>
      </c>
      <c r="V85" s="244">
        <f t="shared" si="41"/>
        <v>23.116188183611452</v>
      </c>
      <c r="X85" s="1414"/>
      <c r="Y85" s="242">
        <f>Y84</f>
        <v>0.82</v>
      </c>
      <c r="Z85" s="240">
        <f t="shared" si="52"/>
        <v>0.91536508784281256</v>
      </c>
      <c r="AA85" s="240">
        <f t="shared" si="53"/>
        <v>1.294521721750145</v>
      </c>
      <c r="AB85" s="241">
        <v>1</v>
      </c>
      <c r="AC85" s="242">
        <v>5</v>
      </c>
      <c r="AD85" s="243">
        <v>0.95</v>
      </c>
      <c r="AE85" s="243">
        <f t="shared" si="39"/>
        <v>1.6448536269514715</v>
      </c>
      <c r="AF85" s="243">
        <f t="shared" si="54"/>
        <v>0.36304481183745119</v>
      </c>
      <c r="AG85" s="244">
        <f t="shared" si="42"/>
        <v>36.304481183745118</v>
      </c>
    </row>
    <row r="86" spans="2:33" x14ac:dyDescent="0.2">
      <c r="B86" s="1414"/>
      <c r="C86" s="242">
        <f>C84</f>
        <v>0.67200000000000004</v>
      </c>
      <c r="D86" s="243">
        <f t="shared" si="47"/>
        <v>0.44544250629171983</v>
      </c>
      <c r="E86" s="243">
        <f t="shared" si="48"/>
        <v>0.62995083365521298</v>
      </c>
      <c r="F86" s="241">
        <v>1</v>
      </c>
      <c r="G86" s="242">
        <v>10</v>
      </c>
      <c r="H86" s="243">
        <v>0.9</v>
      </c>
      <c r="I86" s="243">
        <f t="shared" si="35"/>
        <v>1.2815515655446006</v>
      </c>
      <c r="J86" s="243">
        <f t="shared" si="46"/>
        <v>0.25732938773660363</v>
      </c>
      <c r="K86" s="244">
        <f t="shared" si="40"/>
        <v>25.732938773660365</v>
      </c>
      <c r="M86" s="1414"/>
      <c r="N86" s="242">
        <f>N84</f>
        <v>0.74</v>
      </c>
      <c r="O86" s="240">
        <f t="shared" si="49"/>
        <v>0.64334540539291696</v>
      </c>
      <c r="P86" s="240">
        <f t="shared" si="50"/>
        <v>0.9098277975970801</v>
      </c>
      <c r="Q86" s="241">
        <v>1</v>
      </c>
      <c r="R86" s="242">
        <v>10</v>
      </c>
      <c r="S86" s="243">
        <v>0.9</v>
      </c>
      <c r="T86" s="243">
        <f t="shared" si="37"/>
        <v>1.2815515655446006</v>
      </c>
      <c r="U86" s="243">
        <f t="shared" si="51"/>
        <v>0.35504926341351051</v>
      </c>
      <c r="V86" s="244">
        <f t="shared" si="41"/>
        <v>35.504926341351052</v>
      </c>
      <c r="X86" s="1414"/>
      <c r="Y86" s="242">
        <f>Y84</f>
        <v>0.82</v>
      </c>
      <c r="Z86" s="240">
        <f t="shared" si="52"/>
        <v>0.91536508784281256</v>
      </c>
      <c r="AA86" s="240">
        <f t="shared" si="53"/>
        <v>1.294521721750145</v>
      </c>
      <c r="AB86" s="241">
        <v>1</v>
      </c>
      <c r="AC86" s="242">
        <v>10</v>
      </c>
      <c r="AD86" s="243">
        <v>0.9</v>
      </c>
      <c r="AE86" s="243">
        <f t="shared" si="39"/>
        <v>1.2815515655446006</v>
      </c>
      <c r="AF86" s="243">
        <f t="shared" si="54"/>
        <v>0.50517419862184343</v>
      </c>
      <c r="AG86" s="244">
        <f t="shared" si="42"/>
        <v>50.51741986218434</v>
      </c>
    </row>
    <row r="87" spans="2:33" ht="17" thickBot="1" x14ac:dyDescent="0.25">
      <c r="B87" s="1414"/>
      <c r="C87" s="248">
        <f>C84</f>
        <v>0.67200000000000004</v>
      </c>
      <c r="D87" s="249">
        <f t="shared" si="47"/>
        <v>0.44544250629171983</v>
      </c>
      <c r="E87" s="249">
        <f t="shared" si="48"/>
        <v>0.62995083365521298</v>
      </c>
      <c r="F87" s="247">
        <v>1</v>
      </c>
      <c r="G87" s="248">
        <v>20</v>
      </c>
      <c r="H87" s="249">
        <v>0.8</v>
      </c>
      <c r="I87" s="249">
        <f t="shared" si="35"/>
        <v>0.84162123357291474</v>
      </c>
      <c r="J87" s="249">
        <f t="shared" si="46"/>
        <v>0.41618209113809779</v>
      </c>
      <c r="K87" s="258">
        <f t="shared" si="40"/>
        <v>41.618209113809776</v>
      </c>
      <c r="M87" s="1414"/>
      <c r="N87" s="248">
        <f>N84</f>
        <v>0.74</v>
      </c>
      <c r="O87" s="246">
        <f t="shared" si="49"/>
        <v>0.64334540539291696</v>
      </c>
      <c r="P87" s="246">
        <f t="shared" si="50"/>
        <v>0.9098277975970801</v>
      </c>
      <c r="Q87" s="247">
        <v>1</v>
      </c>
      <c r="R87" s="248">
        <v>20</v>
      </c>
      <c r="S87" s="249">
        <v>0.8</v>
      </c>
      <c r="T87" s="249">
        <f t="shared" si="37"/>
        <v>0.84162123357291474</v>
      </c>
      <c r="U87" s="249">
        <f t="shared" si="51"/>
        <v>0.5271893990966765</v>
      </c>
      <c r="V87" s="258">
        <f t="shared" si="41"/>
        <v>52.718939909667654</v>
      </c>
      <c r="X87" s="1414"/>
      <c r="Y87" s="248">
        <f>Y84</f>
        <v>0.82</v>
      </c>
      <c r="Z87" s="246">
        <f t="shared" si="52"/>
        <v>0.91536508784281256</v>
      </c>
      <c r="AA87" s="246">
        <f t="shared" si="53"/>
        <v>1.294521721750145</v>
      </c>
      <c r="AB87" s="247">
        <v>1</v>
      </c>
      <c r="AC87" s="248">
        <v>20</v>
      </c>
      <c r="AD87" s="249">
        <v>0.8</v>
      </c>
      <c r="AE87" s="249">
        <f t="shared" si="39"/>
        <v>0.84162123357291474</v>
      </c>
      <c r="AF87" s="249">
        <f t="shared" si="54"/>
        <v>0.67468980029945458</v>
      </c>
      <c r="AG87" s="258">
        <f t="shared" si="42"/>
        <v>67.468980029945456</v>
      </c>
    </row>
    <row r="88" spans="2:33" ht="17" hidden="1" thickBot="1" x14ac:dyDescent="0.25">
      <c r="B88" s="1414"/>
      <c r="C88" s="243">
        <f t="shared" ref="C88" si="58">C87</f>
        <v>0.67200000000000004</v>
      </c>
      <c r="D88" s="243">
        <f t="shared" si="47"/>
        <v>0.44544250629171983</v>
      </c>
      <c r="E88" s="243">
        <f t="shared" si="48"/>
        <v>0.62995083365521298</v>
      </c>
      <c r="F88" s="241">
        <v>1</v>
      </c>
      <c r="G88" s="242">
        <v>30</v>
      </c>
      <c r="H88" s="243">
        <v>0.7</v>
      </c>
      <c r="I88" s="243">
        <f t="shared" si="35"/>
        <v>0.52440051270804078</v>
      </c>
      <c r="J88" s="243">
        <f t="shared" si="46"/>
        <v>0.54203042869487905</v>
      </c>
      <c r="K88" s="245">
        <f t="shared" si="40"/>
        <v>54.203042869487902</v>
      </c>
      <c r="M88" s="1414"/>
      <c r="N88" s="243">
        <f t="shared" ref="N88" si="59">N87</f>
        <v>0.74</v>
      </c>
      <c r="O88" s="240">
        <f t="shared" si="49"/>
        <v>0.64334540539291696</v>
      </c>
      <c r="P88" s="240">
        <f t="shared" si="50"/>
        <v>0.9098277975970801</v>
      </c>
      <c r="Q88" s="241">
        <v>1</v>
      </c>
      <c r="R88" s="242">
        <v>30</v>
      </c>
      <c r="S88" s="243">
        <v>0.7</v>
      </c>
      <c r="T88" s="243">
        <f t="shared" si="37"/>
        <v>0.52440051270804078</v>
      </c>
      <c r="U88" s="243">
        <f t="shared" si="51"/>
        <v>0.65003956464488022</v>
      </c>
      <c r="V88" s="245">
        <f t="shared" si="41"/>
        <v>65.003956464488027</v>
      </c>
      <c r="X88" s="1414"/>
      <c r="Y88" s="243">
        <f t="shared" ref="Y88" si="60">Y87</f>
        <v>0.82</v>
      </c>
      <c r="Z88" s="240">
        <f t="shared" si="52"/>
        <v>0.91536508784281256</v>
      </c>
      <c r="AA88" s="240">
        <f t="shared" si="53"/>
        <v>1.294521721750145</v>
      </c>
      <c r="AB88" s="241">
        <v>1</v>
      </c>
      <c r="AC88" s="242">
        <v>30</v>
      </c>
      <c r="AD88" s="243">
        <v>0.7</v>
      </c>
      <c r="AE88" s="243">
        <f t="shared" si="39"/>
        <v>0.52440051270804078</v>
      </c>
      <c r="AF88" s="243">
        <f t="shared" si="54"/>
        <v>0.77938600194583807</v>
      </c>
      <c r="AG88" s="245">
        <f t="shared" si="42"/>
        <v>77.938600194583813</v>
      </c>
    </row>
    <row r="89" spans="2:33" ht="17" hidden="1" thickBot="1" x14ac:dyDescent="0.25">
      <c r="B89" s="1414"/>
      <c r="C89" s="243">
        <f t="shared" ref="C89" si="61">C87</f>
        <v>0.67200000000000004</v>
      </c>
      <c r="D89" s="243">
        <f t="shared" si="47"/>
        <v>0.44544250629171983</v>
      </c>
      <c r="E89" s="243">
        <f t="shared" si="48"/>
        <v>0.62995083365521298</v>
      </c>
      <c r="F89" s="241">
        <v>1</v>
      </c>
      <c r="G89" s="242">
        <v>40</v>
      </c>
      <c r="H89" s="243">
        <v>0.6</v>
      </c>
      <c r="I89" s="243">
        <f t="shared" si="35"/>
        <v>0.25334710313579978</v>
      </c>
      <c r="J89" s="243">
        <f t="shared" si="46"/>
        <v>0.64676594249224451</v>
      </c>
      <c r="K89" s="245">
        <f t="shared" si="40"/>
        <v>64.676594249224451</v>
      </c>
      <c r="M89" s="1414"/>
      <c r="N89" s="243">
        <f t="shared" ref="N89" si="62">N87</f>
        <v>0.74</v>
      </c>
      <c r="O89" s="240">
        <f t="shared" si="49"/>
        <v>0.64334540539291696</v>
      </c>
      <c r="P89" s="240">
        <f t="shared" si="50"/>
        <v>0.9098277975970801</v>
      </c>
      <c r="Q89" s="241">
        <v>1</v>
      </c>
      <c r="R89" s="242">
        <v>40</v>
      </c>
      <c r="S89" s="243">
        <v>0.6</v>
      </c>
      <c r="T89" s="243">
        <f t="shared" si="37"/>
        <v>0.25334710313579978</v>
      </c>
      <c r="U89" s="243">
        <f t="shared" si="51"/>
        <v>0.74424255744539158</v>
      </c>
      <c r="V89" s="245">
        <f t="shared" si="41"/>
        <v>74.424255744539153</v>
      </c>
      <c r="X89" s="1414"/>
      <c r="Y89" s="243">
        <f t="shared" ref="Y89" si="63">Y87</f>
        <v>0.82</v>
      </c>
      <c r="Z89" s="240">
        <f t="shared" si="52"/>
        <v>0.91536508784281256</v>
      </c>
      <c r="AA89" s="240">
        <f t="shared" si="53"/>
        <v>1.294521721750145</v>
      </c>
      <c r="AB89" s="241">
        <v>1</v>
      </c>
      <c r="AC89" s="242">
        <v>40</v>
      </c>
      <c r="AD89" s="243">
        <v>0.6</v>
      </c>
      <c r="AE89" s="243">
        <f t="shared" si="39"/>
        <v>0.25334710313579978</v>
      </c>
      <c r="AF89" s="243">
        <f t="shared" si="54"/>
        <v>0.85110274339642167</v>
      </c>
      <c r="AG89" s="245">
        <f t="shared" si="42"/>
        <v>85.11027433964216</v>
      </c>
    </row>
    <row r="90" spans="2:33" ht="17" hidden="1" thickBot="1" x14ac:dyDescent="0.25">
      <c r="B90" s="1414"/>
      <c r="C90" s="243">
        <f t="shared" ref="C90" si="64">C87</f>
        <v>0.67200000000000004</v>
      </c>
      <c r="D90" s="243">
        <f t="shared" si="47"/>
        <v>0.44544250629171983</v>
      </c>
      <c r="E90" s="243">
        <f t="shared" si="48"/>
        <v>0.62995083365521298</v>
      </c>
      <c r="F90" s="241">
        <v>1</v>
      </c>
      <c r="G90" s="242">
        <v>50</v>
      </c>
      <c r="H90" s="243">
        <v>0.5</v>
      </c>
      <c r="I90" s="243">
        <f t="shared" si="35"/>
        <v>0</v>
      </c>
      <c r="J90" s="243">
        <f t="shared" si="46"/>
        <v>0.73563662370248895</v>
      </c>
      <c r="K90" s="245">
        <f t="shared" si="40"/>
        <v>73.563662370248892</v>
      </c>
      <c r="M90" s="1414"/>
      <c r="N90" s="243">
        <f t="shared" ref="N90" si="65">N87</f>
        <v>0.74</v>
      </c>
      <c r="O90" s="240">
        <f t="shared" si="49"/>
        <v>0.64334540539291696</v>
      </c>
      <c r="P90" s="240">
        <f t="shared" si="50"/>
        <v>0.9098277975970801</v>
      </c>
      <c r="Q90" s="241">
        <v>1</v>
      </c>
      <c r="R90" s="242">
        <v>50</v>
      </c>
      <c r="S90" s="243">
        <v>0.5</v>
      </c>
      <c r="T90" s="243">
        <f t="shared" si="37"/>
        <v>0</v>
      </c>
      <c r="U90" s="243">
        <f t="shared" si="51"/>
        <v>0.81854333383597866</v>
      </c>
      <c r="V90" s="245">
        <f t="shared" si="41"/>
        <v>81.854333383597861</v>
      </c>
      <c r="X90" s="1414"/>
      <c r="Y90" s="243">
        <f t="shared" ref="Y90" si="66">Y87</f>
        <v>0.82</v>
      </c>
      <c r="Z90" s="240">
        <f t="shared" si="52"/>
        <v>0.91536508784281256</v>
      </c>
      <c r="AA90" s="240">
        <f t="shared" si="53"/>
        <v>1.294521721750145</v>
      </c>
      <c r="AB90" s="241">
        <v>1</v>
      </c>
      <c r="AC90" s="242">
        <v>50</v>
      </c>
      <c r="AD90" s="243">
        <v>0.5</v>
      </c>
      <c r="AE90" s="243">
        <f t="shared" si="39"/>
        <v>0</v>
      </c>
      <c r="AF90" s="243">
        <f t="shared" si="54"/>
        <v>0.9022573643825722</v>
      </c>
      <c r="AG90" s="245">
        <f t="shared" si="42"/>
        <v>90.225736438257215</v>
      </c>
    </row>
    <row r="91" spans="2:33" ht="17" hidden="1" thickBot="1" x14ac:dyDescent="0.25">
      <c r="B91" s="1414"/>
      <c r="C91" s="243">
        <f t="shared" ref="C91" si="67">C90</f>
        <v>0.67200000000000004</v>
      </c>
      <c r="D91" s="243">
        <f t="shared" si="47"/>
        <v>0.44544250629171983</v>
      </c>
      <c r="E91" s="243">
        <f t="shared" si="48"/>
        <v>0.62995083365521298</v>
      </c>
      <c r="F91" s="241">
        <v>1</v>
      </c>
      <c r="G91" s="242">
        <v>60</v>
      </c>
      <c r="H91" s="243">
        <v>0.4</v>
      </c>
      <c r="I91" s="243">
        <f t="shared" si="35"/>
        <v>-0.25334710313579978</v>
      </c>
      <c r="J91" s="243">
        <f t="shared" si="46"/>
        <v>0.81146234086912439</v>
      </c>
      <c r="K91" s="245">
        <f t="shared" si="40"/>
        <v>81.146234086912443</v>
      </c>
      <c r="M91" s="1414"/>
      <c r="N91" s="243">
        <f t="shared" ref="N91" si="68">N90</f>
        <v>0.74</v>
      </c>
      <c r="O91" s="240">
        <f t="shared" si="49"/>
        <v>0.64334540539291696</v>
      </c>
      <c r="P91" s="240">
        <f t="shared" si="50"/>
        <v>0.9098277975970801</v>
      </c>
      <c r="Q91" s="241">
        <v>1</v>
      </c>
      <c r="R91" s="242">
        <v>60</v>
      </c>
      <c r="S91" s="243">
        <v>0.4</v>
      </c>
      <c r="T91" s="243">
        <f t="shared" si="37"/>
        <v>-0.25334710313579978</v>
      </c>
      <c r="U91" s="243">
        <f t="shared" si="51"/>
        <v>0.87762072611630992</v>
      </c>
      <c r="V91" s="245">
        <f t="shared" si="41"/>
        <v>87.762072611630998</v>
      </c>
      <c r="X91" s="1414"/>
      <c r="Y91" s="243">
        <f t="shared" ref="Y91" si="69">Y90</f>
        <v>0.82</v>
      </c>
      <c r="Z91" s="240">
        <f t="shared" si="52"/>
        <v>0.91536508784281256</v>
      </c>
      <c r="AA91" s="240">
        <f t="shared" si="53"/>
        <v>1.294521721750145</v>
      </c>
      <c r="AB91" s="241">
        <v>1</v>
      </c>
      <c r="AC91" s="242">
        <v>60</v>
      </c>
      <c r="AD91" s="243">
        <v>0.4</v>
      </c>
      <c r="AE91" s="243">
        <f t="shared" si="39"/>
        <v>-0.25334710313579978</v>
      </c>
      <c r="AF91" s="243">
        <f t="shared" si="54"/>
        <v>0.93917305910168825</v>
      </c>
      <c r="AG91" s="245">
        <f t="shared" si="42"/>
        <v>93.917305910168821</v>
      </c>
    </row>
    <row r="92" spans="2:33" ht="17" hidden="1" thickBot="1" x14ac:dyDescent="0.25">
      <c r="B92" s="1414"/>
      <c r="C92" s="243">
        <f t="shared" ref="C92" si="70">C90</f>
        <v>0.67200000000000004</v>
      </c>
      <c r="D92" s="243">
        <f t="shared" si="47"/>
        <v>0.44544250629171983</v>
      </c>
      <c r="E92" s="243">
        <f t="shared" si="48"/>
        <v>0.62995083365521298</v>
      </c>
      <c r="F92" s="241">
        <v>1</v>
      </c>
      <c r="G92" s="242">
        <v>70</v>
      </c>
      <c r="H92" s="243">
        <v>0.3</v>
      </c>
      <c r="I92" s="243">
        <f t="shared" si="35"/>
        <v>-0.52440051270804089</v>
      </c>
      <c r="J92" s="243">
        <f t="shared" si="46"/>
        <v>0.87582192325077224</v>
      </c>
      <c r="K92" s="245">
        <f t="shared" si="40"/>
        <v>87.58219232507723</v>
      </c>
      <c r="M92" s="1414"/>
      <c r="N92" s="243">
        <f t="shared" ref="N92" si="71">N90</f>
        <v>0.74</v>
      </c>
      <c r="O92" s="240">
        <f t="shared" si="49"/>
        <v>0.64334540539291696</v>
      </c>
      <c r="P92" s="240">
        <f t="shared" si="50"/>
        <v>0.9098277975970801</v>
      </c>
      <c r="Q92" s="241">
        <v>1</v>
      </c>
      <c r="R92" s="242">
        <v>70</v>
      </c>
      <c r="S92" s="243">
        <v>0.3</v>
      </c>
      <c r="T92" s="243">
        <f t="shared" si="37"/>
        <v>-0.52440051270804089</v>
      </c>
      <c r="U92" s="243">
        <f t="shared" si="51"/>
        <v>0.92424643967694298</v>
      </c>
      <c r="V92" s="245">
        <f t="shared" si="41"/>
        <v>92.424643967694294</v>
      </c>
      <c r="X92" s="1414"/>
      <c r="Y92" s="243">
        <f t="shared" ref="Y92" si="72">Y90</f>
        <v>0.82</v>
      </c>
      <c r="Z92" s="240">
        <f t="shared" si="52"/>
        <v>0.91536508784281256</v>
      </c>
      <c r="AA92" s="240">
        <f t="shared" si="53"/>
        <v>1.294521721750145</v>
      </c>
      <c r="AB92" s="241">
        <v>1</v>
      </c>
      <c r="AC92" s="242">
        <v>70</v>
      </c>
      <c r="AD92" s="243">
        <v>0.3</v>
      </c>
      <c r="AE92" s="243">
        <f t="shared" si="39"/>
        <v>-0.52440051270804089</v>
      </c>
      <c r="AF92" s="243">
        <f t="shared" si="54"/>
        <v>0.96553835243451991</v>
      </c>
      <c r="AG92" s="245">
        <f t="shared" si="42"/>
        <v>96.553835243451985</v>
      </c>
    </row>
    <row r="93" spans="2:33" ht="17" hidden="1" thickBot="1" x14ac:dyDescent="0.25">
      <c r="B93" s="1414"/>
      <c r="C93" s="243">
        <f t="shared" ref="C93" si="73">C90</f>
        <v>0.67200000000000004</v>
      </c>
      <c r="D93" s="243">
        <f t="shared" si="47"/>
        <v>0.44544250629171983</v>
      </c>
      <c r="E93" s="243">
        <f t="shared" si="48"/>
        <v>0.62995083365521298</v>
      </c>
      <c r="F93" s="241">
        <v>1</v>
      </c>
      <c r="G93" s="242">
        <v>80</v>
      </c>
      <c r="H93" s="243">
        <v>0.2</v>
      </c>
      <c r="I93" s="243">
        <f t="shared" si="35"/>
        <v>-0.84162123357291452</v>
      </c>
      <c r="J93" s="243">
        <f t="shared" si="46"/>
        <v>0.92943176342324652</v>
      </c>
      <c r="K93" s="245">
        <f t="shared" si="40"/>
        <v>92.943176342324648</v>
      </c>
      <c r="M93" s="1414"/>
      <c r="N93" s="243">
        <f t="shared" ref="N93" si="74">N90</f>
        <v>0.74</v>
      </c>
      <c r="O93" s="240">
        <f t="shared" si="49"/>
        <v>0.64334540539291696</v>
      </c>
      <c r="P93" s="240">
        <f t="shared" si="50"/>
        <v>0.9098277975970801</v>
      </c>
      <c r="Q93" s="241">
        <v>1</v>
      </c>
      <c r="R93" s="242">
        <v>80</v>
      </c>
      <c r="S93" s="243">
        <v>0.2</v>
      </c>
      <c r="T93" s="243">
        <f t="shared" si="37"/>
        <v>-0.84162123357291452</v>
      </c>
      <c r="U93" s="243">
        <f t="shared" si="51"/>
        <v>0.96006570323938767</v>
      </c>
      <c r="V93" s="245">
        <f t="shared" si="41"/>
        <v>96.00657032393876</v>
      </c>
      <c r="X93" s="1414"/>
      <c r="Y93" s="243">
        <f t="shared" ref="Y93" si="75">Y90</f>
        <v>0.82</v>
      </c>
      <c r="Z93" s="240">
        <f t="shared" si="52"/>
        <v>0.91536508784281256</v>
      </c>
      <c r="AA93" s="240">
        <f t="shared" si="53"/>
        <v>1.294521721750145</v>
      </c>
      <c r="AB93" s="241">
        <v>1</v>
      </c>
      <c r="AC93" s="242">
        <v>80</v>
      </c>
      <c r="AD93" s="243">
        <v>0.2</v>
      </c>
      <c r="AE93" s="243">
        <f t="shared" si="39"/>
        <v>-0.84162123357291452</v>
      </c>
      <c r="AF93" s="243">
        <f t="shared" si="54"/>
        <v>0.98366611828824979</v>
      </c>
      <c r="AG93" s="245">
        <f t="shared" si="42"/>
        <v>98.366611828824972</v>
      </c>
    </row>
    <row r="94" spans="2:33" ht="17" hidden="1" thickBot="1" x14ac:dyDescent="0.25">
      <c r="B94" s="1414"/>
      <c r="C94" s="243">
        <f t="shared" ref="C94" si="76">C93</f>
        <v>0.67200000000000004</v>
      </c>
      <c r="D94" s="243">
        <f t="shared" si="47"/>
        <v>0.44544250629171983</v>
      </c>
      <c r="E94" s="243">
        <f t="shared" si="48"/>
        <v>0.62995083365521298</v>
      </c>
      <c r="F94" s="241">
        <v>1</v>
      </c>
      <c r="G94" s="242">
        <v>90</v>
      </c>
      <c r="H94" s="243">
        <v>0.1</v>
      </c>
      <c r="I94" s="243">
        <f t="shared" si="35"/>
        <v>-1.2815515655446006</v>
      </c>
      <c r="J94" s="243">
        <f t="shared" si="46"/>
        <v>0.97202997561356752</v>
      </c>
      <c r="K94" s="245">
        <f t="shared" si="40"/>
        <v>97.202997561356753</v>
      </c>
      <c r="M94" s="1414"/>
      <c r="N94" s="243">
        <f t="shared" ref="N94" si="77">N93</f>
        <v>0.74</v>
      </c>
      <c r="O94" s="240">
        <f t="shared" si="49"/>
        <v>0.64334540539291696</v>
      </c>
      <c r="P94" s="240">
        <f t="shared" si="50"/>
        <v>0.9098277975970801</v>
      </c>
      <c r="Q94" s="241">
        <v>1</v>
      </c>
      <c r="R94" s="242">
        <v>90</v>
      </c>
      <c r="S94" s="243">
        <v>0.1</v>
      </c>
      <c r="T94" s="243">
        <f t="shared" si="37"/>
        <v>-1.2815515655446006</v>
      </c>
      <c r="U94" s="243">
        <f t="shared" si="51"/>
        <v>0.98578782438718571</v>
      </c>
      <c r="V94" s="245">
        <f t="shared" si="41"/>
        <v>98.578782438718576</v>
      </c>
      <c r="X94" s="1414"/>
      <c r="Y94" s="243">
        <f t="shared" ref="Y94" si="78">Y93</f>
        <v>0.82</v>
      </c>
      <c r="Z94" s="240">
        <f t="shared" si="52"/>
        <v>0.91536508784281256</v>
      </c>
      <c r="AA94" s="240">
        <f t="shared" si="53"/>
        <v>1.294521721750145</v>
      </c>
      <c r="AB94" s="241">
        <v>1</v>
      </c>
      <c r="AC94" s="242">
        <v>90</v>
      </c>
      <c r="AD94" s="243">
        <v>0.1</v>
      </c>
      <c r="AE94" s="243">
        <f t="shared" si="39"/>
        <v>-1.2815515655446006</v>
      </c>
      <c r="AF94" s="243">
        <f t="shared" si="54"/>
        <v>0.99500352683387872</v>
      </c>
      <c r="AG94" s="245">
        <f t="shared" si="42"/>
        <v>99.500352683387874</v>
      </c>
    </row>
    <row r="95" spans="2:33" ht="17" hidden="1" thickBot="1" x14ac:dyDescent="0.25">
      <c r="B95" s="1414"/>
      <c r="C95" s="243">
        <f t="shared" ref="C95" si="79">C93</f>
        <v>0.67200000000000004</v>
      </c>
      <c r="D95" s="243">
        <f t="shared" si="47"/>
        <v>0.44544250629171983</v>
      </c>
      <c r="E95" s="243">
        <f t="shared" si="48"/>
        <v>0.62995083365521298</v>
      </c>
      <c r="F95" s="241">
        <v>1</v>
      </c>
      <c r="G95" s="242">
        <v>95</v>
      </c>
      <c r="H95" s="243">
        <v>0.05</v>
      </c>
      <c r="I95" s="243">
        <f t="shared" si="35"/>
        <v>-1.6448536269514726</v>
      </c>
      <c r="J95" s="243">
        <f t="shared" si="46"/>
        <v>0.98854116873025033</v>
      </c>
      <c r="K95" s="245">
        <f t="shared" si="40"/>
        <v>98.854116873025035</v>
      </c>
      <c r="M95" s="1414"/>
      <c r="N95" s="243">
        <f t="shared" ref="N95" si="80">N93</f>
        <v>0.74</v>
      </c>
      <c r="O95" s="240">
        <f t="shared" si="49"/>
        <v>0.64334540539291696</v>
      </c>
      <c r="P95" s="240">
        <f t="shared" si="50"/>
        <v>0.9098277975970801</v>
      </c>
      <c r="Q95" s="241">
        <v>1</v>
      </c>
      <c r="R95" s="242">
        <v>95</v>
      </c>
      <c r="S95" s="243">
        <v>0.05</v>
      </c>
      <c r="T95" s="243">
        <f t="shared" si="37"/>
        <v>-1.6448536269514726</v>
      </c>
      <c r="U95" s="243">
        <f t="shared" si="51"/>
        <v>0.99468574875537696</v>
      </c>
      <c r="V95" s="245">
        <f t="shared" si="41"/>
        <v>99.468574875537698</v>
      </c>
      <c r="X95" s="1414"/>
      <c r="Y95" s="243">
        <f t="shared" ref="Y95" si="81">Y93</f>
        <v>0.82</v>
      </c>
      <c r="Z95" s="240">
        <f t="shared" si="52"/>
        <v>0.91536508784281256</v>
      </c>
      <c r="AA95" s="240">
        <f t="shared" si="53"/>
        <v>1.294521721750145</v>
      </c>
      <c r="AB95" s="241">
        <v>1</v>
      </c>
      <c r="AC95" s="242">
        <v>95</v>
      </c>
      <c r="AD95" s="243">
        <v>0.05</v>
      </c>
      <c r="AE95" s="243">
        <f t="shared" si="39"/>
        <v>-1.6448536269514726</v>
      </c>
      <c r="AF95" s="243">
        <f t="shared" si="54"/>
        <v>0.99835562735825845</v>
      </c>
      <c r="AG95" s="245">
        <f t="shared" si="42"/>
        <v>99.835562735825846</v>
      </c>
    </row>
    <row r="96" spans="2:33" ht="17" hidden="1" customHeight="1" x14ac:dyDescent="0.2">
      <c r="B96" s="1415"/>
      <c r="C96" s="249">
        <f t="shared" ref="C96" si="82">C93</f>
        <v>0.67200000000000004</v>
      </c>
      <c r="D96" s="249">
        <f t="shared" si="47"/>
        <v>0.44544250629171983</v>
      </c>
      <c r="E96" s="249">
        <f t="shared" si="48"/>
        <v>0.62995083365521298</v>
      </c>
      <c r="F96" s="247">
        <v>1</v>
      </c>
      <c r="G96" s="248">
        <v>99</v>
      </c>
      <c r="H96" s="249">
        <v>0.01</v>
      </c>
      <c r="I96" s="249">
        <f t="shared" si="35"/>
        <v>-2.3263478740408408</v>
      </c>
      <c r="J96" s="249">
        <f t="shared" si="46"/>
        <v>0.99844322304785238</v>
      </c>
      <c r="K96" s="250">
        <f t="shared" si="40"/>
        <v>99.844322304785237</v>
      </c>
      <c r="M96" s="1415"/>
      <c r="N96" s="249">
        <f t="shared" ref="N96" si="83">N93</f>
        <v>0.74</v>
      </c>
      <c r="O96" s="246">
        <f t="shared" si="49"/>
        <v>0.64334540539291696</v>
      </c>
      <c r="P96" s="246">
        <f t="shared" si="50"/>
        <v>0.9098277975970801</v>
      </c>
      <c r="Q96" s="247">
        <v>1</v>
      </c>
      <c r="R96" s="248">
        <v>99</v>
      </c>
      <c r="S96" s="249">
        <v>0.01</v>
      </c>
      <c r="T96" s="249">
        <f t="shared" si="37"/>
        <v>-2.3263478740408408</v>
      </c>
      <c r="U96" s="249">
        <f t="shared" si="51"/>
        <v>0.99939428597573909</v>
      </c>
      <c r="V96" s="250">
        <f t="shared" si="41"/>
        <v>99.939428597573908</v>
      </c>
      <c r="X96" s="1415"/>
      <c r="Y96" s="249">
        <f t="shared" ref="Y96" si="84">Y93</f>
        <v>0.82</v>
      </c>
      <c r="Z96" s="246">
        <f t="shared" si="52"/>
        <v>0.91536508784281256</v>
      </c>
      <c r="AA96" s="246">
        <f t="shared" si="53"/>
        <v>1.294521721750145</v>
      </c>
      <c r="AB96" s="247">
        <v>1</v>
      </c>
      <c r="AC96" s="248">
        <v>99</v>
      </c>
      <c r="AD96" s="249">
        <v>0.01</v>
      </c>
      <c r="AE96" s="249">
        <f t="shared" si="39"/>
        <v>-2.3263478740408408</v>
      </c>
      <c r="AF96" s="249">
        <f t="shared" si="54"/>
        <v>0.9998531927569686</v>
      </c>
      <c r="AG96" s="250">
        <f t="shared" si="42"/>
        <v>99.985319275696867</v>
      </c>
    </row>
    <row r="97" spans="2:33" ht="16" customHeight="1" x14ac:dyDescent="0.2">
      <c r="B97" s="1413" t="s">
        <v>32</v>
      </c>
      <c r="C97" s="239">
        <v>0.55200000000000005</v>
      </c>
      <c r="D97" s="243">
        <f t="shared" si="47"/>
        <v>0.13071596811986333</v>
      </c>
      <c r="E97" s="243">
        <f t="shared" si="48"/>
        <v>0.18486029493383985</v>
      </c>
      <c r="F97" s="241">
        <v>1</v>
      </c>
      <c r="G97" s="242">
        <v>1</v>
      </c>
      <c r="H97" s="243">
        <v>0.99</v>
      </c>
      <c r="I97" s="243">
        <f t="shared" si="35"/>
        <v>2.3263478740408408</v>
      </c>
      <c r="J97" s="243">
        <f t="shared" si="46"/>
        <v>1.6117369536620352E-2</v>
      </c>
      <c r="K97" s="244">
        <f t="shared" si="40"/>
        <v>1.6117369536620352</v>
      </c>
      <c r="M97" s="1413" t="s">
        <v>32</v>
      </c>
      <c r="N97" s="239">
        <v>0.62</v>
      </c>
      <c r="O97" s="240">
        <f t="shared" si="49"/>
        <v>0.30548078809939727</v>
      </c>
      <c r="P97" s="240">
        <f t="shared" si="50"/>
        <v>0.43201507357458924</v>
      </c>
      <c r="Q97" s="241">
        <v>1</v>
      </c>
      <c r="R97" s="242">
        <v>1</v>
      </c>
      <c r="S97" s="243">
        <v>0.99</v>
      </c>
      <c r="T97" s="243">
        <f t="shared" si="37"/>
        <v>2.3263478740408408</v>
      </c>
      <c r="U97" s="243">
        <f t="shared" si="51"/>
        <v>2.9090424952713967E-2</v>
      </c>
      <c r="V97" s="244">
        <f t="shared" si="41"/>
        <v>2.9090424952713967</v>
      </c>
      <c r="X97" s="1413" t="s">
        <v>32</v>
      </c>
      <c r="Y97" s="239">
        <v>0.67</v>
      </c>
      <c r="Z97" s="240">
        <f t="shared" si="52"/>
        <v>0.43991316567323396</v>
      </c>
      <c r="AA97" s="240">
        <f t="shared" si="53"/>
        <v>0.62213116516156974</v>
      </c>
      <c r="AB97" s="241">
        <v>1</v>
      </c>
      <c r="AC97" s="242">
        <v>1</v>
      </c>
      <c r="AD97" s="243">
        <v>0.99</v>
      </c>
      <c r="AE97" s="243">
        <f t="shared" si="39"/>
        <v>2.3263478740408408</v>
      </c>
      <c r="AF97" s="243">
        <f t="shared" si="54"/>
        <v>4.4170304371835223E-2</v>
      </c>
      <c r="AG97" s="244">
        <f t="shared" si="42"/>
        <v>4.4170304371835218</v>
      </c>
    </row>
    <row r="98" spans="2:33" x14ac:dyDescent="0.2">
      <c r="B98" s="1414"/>
      <c r="C98" s="243">
        <f>C97</f>
        <v>0.55200000000000005</v>
      </c>
      <c r="D98" s="243">
        <f t="shared" si="47"/>
        <v>0.13071596811986333</v>
      </c>
      <c r="E98" s="243">
        <f t="shared" si="48"/>
        <v>0.18486029493383985</v>
      </c>
      <c r="F98" s="241">
        <v>1</v>
      </c>
      <c r="G98" s="242">
        <v>5</v>
      </c>
      <c r="H98" s="243">
        <v>0.95</v>
      </c>
      <c r="I98" s="243">
        <f t="shared" si="35"/>
        <v>1.6448536269514715</v>
      </c>
      <c r="J98" s="243">
        <f t="shared" si="46"/>
        <v>7.214595326141493E-2</v>
      </c>
      <c r="K98" s="244">
        <f t="shared" si="40"/>
        <v>7.2145953261414935</v>
      </c>
      <c r="M98" s="1414"/>
      <c r="N98" s="243">
        <f>N97</f>
        <v>0.62</v>
      </c>
      <c r="O98" s="240">
        <f t="shared" si="49"/>
        <v>0.30548078809939727</v>
      </c>
      <c r="P98" s="240">
        <f t="shared" si="50"/>
        <v>0.43201507357458924</v>
      </c>
      <c r="Q98" s="241">
        <v>1</v>
      </c>
      <c r="R98" s="242">
        <v>5</v>
      </c>
      <c r="S98" s="243">
        <v>0.95</v>
      </c>
      <c r="T98" s="243">
        <f t="shared" si="37"/>
        <v>1.6448536269514715</v>
      </c>
      <c r="U98" s="243">
        <f t="shared" si="51"/>
        <v>0.11259577607771032</v>
      </c>
      <c r="V98" s="244">
        <f t="shared" si="41"/>
        <v>11.259577607771032</v>
      </c>
      <c r="X98" s="1414"/>
      <c r="Y98" s="243">
        <f>Y97</f>
        <v>0.67</v>
      </c>
      <c r="Z98" s="240">
        <f t="shared" si="52"/>
        <v>0.43991316567323396</v>
      </c>
      <c r="AA98" s="240">
        <f t="shared" si="53"/>
        <v>0.62213116516156974</v>
      </c>
      <c r="AB98" s="241">
        <v>1</v>
      </c>
      <c r="AC98" s="242">
        <v>5</v>
      </c>
      <c r="AD98" s="243">
        <v>0.95</v>
      </c>
      <c r="AE98" s="243">
        <f t="shared" si="39"/>
        <v>1.6448536269514715</v>
      </c>
      <c r="AF98" s="243">
        <f t="shared" si="54"/>
        <v>0.15321954402372351</v>
      </c>
      <c r="AG98" s="244">
        <f t="shared" si="42"/>
        <v>15.32195440237235</v>
      </c>
    </row>
    <row r="99" spans="2:33" x14ac:dyDescent="0.2">
      <c r="B99" s="1414"/>
      <c r="C99" s="243">
        <f t="shared" ref="C99:C109" si="85">C98</f>
        <v>0.55200000000000005</v>
      </c>
      <c r="D99" s="243">
        <f t="shared" si="47"/>
        <v>0.13071596811986333</v>
      </c>
      <c r="E99" s="243">
        <f t="shared" si="48"/>
        <v>0.18486029493383985</v>
      </c>
      <c r="F99" s="241">
        <v>1</v>
      </c>
      <c r="G99" s="242">
        <v>10</v>
      </c>
      <c r="H99" s="243">
        <v>0.9</v>
      </c>
      <c r="I99" s="243">
        <f t="shared" si="35"/>
        <v>1.2815515655446006</v>
      </c>
      <c r="J99" s="243">
        <f t="shared" si="46"/>
        <v>0.13638818685906506</v>
      </c>
      <c r="K99" s="244">
        <f t="shared" si="40"/>
        <v>13.638818685906507</v>
      </c>
      <c r="M99" s="1414"/>
      <c r="N99" s="243">
        <f t="shared" ref="N99:N109" si="86">N98</f>
        <v>0.62</v>
      </c>
      <c r="O99" s="240">
        <f t="shared" si="49"/>
        <v>0.30548078809939727</v>
      </c>
      <c r="P99" s="240">
        <f t="shared" si="50"/>
        <v>0.43201507357458924</v>
      </c>
      <c r="Q99" s="241">
        <v>1</v>
      </c>
      <c r="R99" s="242">
        <v>10</v>
      </c>
      <c r="S99" s="243">
        <v>0.9</v>
      </c>
      <c r="T99" s="243">
        <f t="shared" si="37"/>
        <v>1.2815515655446006</v>
      </c>
      <c r="U99" s="243">
        <f t="shared" si="51"/>
        <v>0.19779141673027811</v>
      </c>
      <c r="V99" s="244">
        <f t="shared" si="41"/>
        <v>19.779141673027812</v>
      </c>
      <c r="X99" s="1414"/>
      <c r="Y99" s="243">
        <f t="shared" ref="Y99:Y109" si="87">Y98</f>
        <v>0.67</v>
      </c>
      <c r="Z99" s="240">
        <f t="shared" si="52"/>
        <v>0.43991316567323396</v>
      </c>
      <c r="AA99" s="240">
        <f t="shared" si="53"/>
        <v>0.62213116516156974</v>
      </c>
      <c r="AB99" s="241">
        <v>1</v>
      </c>
      <c r="AC99" s="242">
        <v>10</v>
      </c>
      <c r="AD99" s="243">
        <v>0.9</v>
      </c>
      <c r="AE99" s="243">
        <f t="shared" si="39"/>
        <v>1.2815515655446006</v>
      </c>
      <c r="AF99" s="243">
        <f t="shared" si="54"/>
        <v>0.25481292277379364</v>
      </c>
      <c r="AG99" s="244">
        <f t="shared" si="42"/>
        <v>25.481292277379364</v>
      </c>
    </row>
    <row r="100" spans="2:33" ht="17" thickBot="1" x14ac:dyDescent="0.25">
      <c r="B100" s="1414"/>
      <c r="C100" s="243">
        <f t="shared" si="85"/>
        <v>0.55200000000000005</v>
      </c>
      <c r="D100" s="243">
        <f t="shared" si="47"/>
        <v>0.13071596811986333</v>
      </c>
      <c r="E100" s="243">
        <f t="shared" si="48"/>
        <v>0.18486029493383985</v>
      </c>
      <c r="F100" s="241">
        <v>1</v>
      </c>
      <c r="G100" s="242">
        <v>20</v>
      </c>
      <c r="H100" s="243">
        <v>0.8</v>
      </c>
      <c r="I100" s="243">
        <f t="shared" si="35"/>
        <v>0.84162123357291474</v>
      </c>
      <c r="J100" s="243">
        <f t="shared" si="46"/>
        <v>0.25566732208709164</v>
      </c>
      <c r="K100" s="244">
        <f t="shared" si="40"/>
        <v>25.566732208709166</v>
      </c>
      <c r="M100" s="1414"/>
      <c r="N100" s="243">
        <f t="shared" si="86"/>
        <v>0.62</v>
      </c>
      <c r="O100" s="240">
        <f t="shared" si="49"/>
        <v>0.30548078809939727</v>
      </c>
      <c r="P100" s="240">
        <f t="shared" si="50"/>
        <v>0.43201507357458924</v>
      </c>
      <c r="Q100" s="241">
        <v>1</v>
      </c>
      <c r="R100" s="242">
        <v>20</v>
      </c>
      <c r="S100" s="243">
        <v>0.8</v>
      </c>
      <c r="T100" s="243">
        <f t="shared" si="37"/>
        <v>0.84162123357291474</v>
      </c>
      <c r="U100" s="243">
        <f t="shared" si="51"/>
        <v>0.3410474387225183</v>
      </c>
      <c r="V100" s="244">
        <f t="shared" si="41"/>
        <v>34.104743872251831</v>
      </c>
      <c r="X100" s="1414"/>
      <c r="Y100" s="243">
        <f t="shared" si="87"/>
        <v>0.67</v>
      </c>
      <c r="Z100" s="240">
        <f t="shared" si="52"/>
        <v>0.43991316567323396</v>
      </c>
      <c r="AA100" s="240">
        <f t="shared" si="53"/>
        <v>0.62213116516156974</v>
      </c>
      <c r="AB100" s="241">
        <v>1</v>
      </c>
      <c r="AC100" s="242">
        <v>20</v>
      </c>
      <c r="AD100" s="243">
        <v>0.8</v>
      </c>
      <c r="AE100" s="243">
        <f t="shared" si="39"/>
        <v>0.84162123357291474</v>
      </c>
      <c r="AF100" s="243">
        <f t="shared" si="54"/>
        <v>0.41313415775920803</v>
      </c>
      <c r="AG100" s="244">
        <f t="shared" si="42"/>
        <v>41.313415775920802</v>
      </c>
    </row>
    <row r="101" spans="2:33" ht="17" hidden="1" thickBot="1" x14ac:dyDescent="0.25">
      <c r="B101" s="1414"/>
      <c r="C101" s="243">
        <f t="shared" si="85"/>
        <v>0.55200000000000005</v>
      </c>
      <c r="D101" s="243">
        <f t="shared" si="47"/>
        <v>0.13071596811986333</v>
      </c>
      <c r="E101" s="243">
        <f t="shared" si="48"/>
        <v>0.18486029493383985</v>
      </c>
      <c r="F101" s="241">
        <v>1</v>
      </c>
      <c r="G101" s="242">
        <v>30</v>
      </c>
      <c r="H101" s="243">
        <v>0.7</v>
      </c>
      <c r="I101" s="243">
        <f t="shared" si="35"/>
        <v>0.52440051270804078</v>
      </c>
      <c r="J101" s="243">
        <f t="shared" si="46"/>
        <v>0.36710140258491331</v>
      </c>
      <c r="K101" s="245">
        <f t="shared" si="40"/>
        <v>36.710140258491329</v>
      </c>
      <c r="M101" s="1414"/>
      <c r="N101" s="243">
        <f t="shared" si="86"/>
        <v>0.62</v>
      </c>
      <c r="O101" s="240">
        <f t="shared" si="49"/>
        <v>0.30548078809939727</v>
      </c>
      <c r="P101" s="240">
        <f t="shared" si="50"/>
        <v>0.43201507357458924</v>
      </c>
      <c r="Q101" s="241">
        <v>1</v>
      </c>
      <c r="R101" s="242">
        <v>30</v>
      </c>
      <c r="S101" s="243">
        <v>0.7</v>
      </c>
      <c r="T101" s="243">
        <f t="shared" si="37"/>
        <v>0.52440051270804078</v>
      </c>
      <c r="U101" s="243">
        <f t="shared" si="51"/>
        <v>0.46319590391917531</v>
      </c>
      <c r="V101" s="245">
        <f t="shared" si="41"/>
        <v>46.319590391917529</v>
      </c>
      <c r="X101" s="1414"/>
      <c r="Y101" s="243">
        <f t="shared" si="87"/>
        <v>0.67</v>
      </c>
      <c r="Z101" s="240">
        <f t="shared" si="52"/>
        <v>0.43991316567323396</v>
      </c>
      <c r="AA101" s="240">
        <f t="shared" si="53"/>
        <v>0.62213116516156974</v>
      </c>
      <c r="AB101" s="241">
        <v>1</v>
      </c>
      <c r="AC101" s="242">
        <v>30</v>
      </c>
      <c r="AD101" s="243">
        <v>0.7</v>
      </c>
      <c r="AE101" s="243">
        <f t="shared" si="39"/>
        <v>0.52440051270804078</v>
      </c>
      <c r="AF101" s="243">
        <f t="shared" si="54"/>
        <v>0.53892691253888647</v>
      </c>
      <c r="AG101" s="245">
        <f t="shared" si="42"/>
        <v>53.89269125388865</v>
      </c>
    </row>
    <row r="102" spans="2:33" ht="17" hidden="1" thickBot="1" x14ac:dyDescent="0.25">
      <c r="B102" s="1414"/>
      <c r="C102" s="243">
        <f t="shared" si="85"/>
        <v>0.55200000000000005</v>
      </c>
      <c r="D102" s="243">
        <f t="shared" si="47"/>
        <v>0.13071596811986333</v>
      </c>
      <c r="E102" s="243">
        <f t="shared" si="48"/>
        <v>0.18486029493383985</v>
      </c>
      <c r="F102" s="241">
        <v>1</v>
      </c>
      <c r="G102" s="242">
        <v>40</v>
      </c>
      <c r="H102" s="243">
        <v>0.6</v>
      </c>
      <c r="I102" s="243">
        <f t="shared" si="35"/>
        <v>0.25334710313579978</v>
      </c>
      <c r="J102" s="243">
        <f t="shared" ref="J102:J113" si="88">1-_xlfn.NORM.DIST(I102,E102,F102,TRUE)</f>
        <v>0.47269906047450494</v>
      </c>
      <c r="K102" s="245">
        <f t="shared" si="40"/>
        <v>47.26990604745049</v>
      </c>
      <c r="M102" s="1414"/>
      <c r="N102" s="243">
        <f t="shared" si="86"/>
        <v>0.62</v>
      </c>
      <c r="O102" s="240">
        <f t="shared" si="49"/>
        <v>0.30548078809939727</v>
      </c>
      <c r="P102" s="240">
        <f t="shared" si="50"/>
        <v>0.43201507357458924</v>
      </c>
      <c r="Q102" s="241">
        <v>1</v>
      </c>
      <c r="R102" s="242">
        <v>40</v>
      </c>
      <c r="S102" s="243">
        <v>0.6</v>
      </c>
      <c r="T102" s="243">
        <f t="shared" si="37"/>
        <v>0.25334710313579978</v>
      </c>
      <c r="U102" s="243">
        <f t="shared" si="51"/>
        <v>0.5709007898290438</v>
      </c>
      <c r="V102" s="245">
        <f t="shared" si="41"/>
        <v>57.09007898290438</v>
      </c>
      <c r="X102" s="1414"/>
      <c r="Y102" s="243">
        <f t="shared" si="87"/>
        <v>0.67</v>
      </c>
      <c r="Z102" s="240">
        <f t="shared" si="52"/>
        <v>0.43991316567323396</v>
      </c>
      <c r="AA102" s="240">
        <f t="shared" si="53"/>
        <v>0.62213116516156974</v>
      </c>
      <c r="AB102" s="241">
        <v>1</v>
      </c>
      <c r="AC102" s="242">
        <v>40</v>
      </c>
      <c r="AD102" s="243">
        <v>0.6</v>
      </c>
      <c r="AE102" s="243">
        <f t="shared" si="39"/>
        <v>0.25334710313579978</v>
      </c>
      <c r="AF102" s="243">
        <f t="shared" si="54"/>
        <v>0.64385565734749328</v>
      </c>
      <c r="AG102" s="245">
        <f t="shared" si="42"/>
        <v>64.385565734749335</v>
      </c>
    </row>
    <row r="103" spans="2:33" ht="17" hidden="1" thickBot="1" x14ac:dyDescent="0.25">
      <c r="B103" s="1414"/>
      <c r="C103" s="243">
        <f t="shared" si="85"/>
        <v>0.55200000000000005</v>
      </c>
      <c r="D103" s="243">
        <f t="shared" si="47"/>
        <v>0.13071596811986333</v>
      </c>
      <c r="E103" s="243">
        <f t="shared" si="48"/>
        <v>0.18486029493383985</v>
      </c>
      <c r="F103" s="241">
        <v>1</v>
      </c>
      <c r="G103" s="242">
        <v>50</v>
      </c>
      <c r="H103" s="243">
        <v>0.5</v>
      </c>
      <c r="I103" s="243">
        <f t="shared" si="35"/>
        <v>0</v>
      </c>
      <c r="J103" s="243">
        <f t="shared" si="88"/>
        <v>0.57333069288614147</v>
      </c>
      <c r="K103" s="245">
        <f t="shared" si="40"/>
        <v>57.333069288614148</v>
      </c>
      <c r="M103" s="1414"/>
      <c r="N103" s="243">
        <f t="shared" si="86"/>
        <v>0.62</v>
      </c>
      <c r="O103" s="240">
        <f t="shared" si="49"/>
        <v>0.30548078809939727</v>
      </c>
      <c r="P103" s="240">
        <f t="shared" si="50"/>
        <v>0.43201507357458924</v>
      </c>
      <c r="Q103" s="241">
        <v>1</v>
      </c>
      <c r="R103" s="242">
        <v>50</v>
      </c>
      <c r="S103" s="243">
        <v>0.5</v>
      </c>
      <c r="T103" s="243">
        <f t="shared" si="37"/>
        <v>0</v>
      </c>
      <c r="U103" s="243">
        <f t="shared" si="51"/>
        <v>0.66713477113900466</v>
      </c>
      <c r="V103" s="245">
        <f t="shared" si="41"/>
        <v>66.713477113900467</v>
      </c>
      <c r="X103" s="1414"/>
      <c r="Y103" s="243">
        <f t="shared" si="87"/>
        <v>0.67</v>
      </c>
      <c r="Z103" s="240">
        <f t="shared" si="52"/>
        <v>0.43991316567323396</v>
      </c>
      <c r="AA103" s="240">
        <f t="shared" si="53"/>
        <v>0.62213116516156974</v>
      </c>
      <c r="AB103" s="241">
        <v>1</v>
      </c>
      <c r="AC103" s="242">
        <v>50</v>
      </c>
      <c r="AD103" s="243">
        <v>0.5</v>
      </c>
      <c r="AE103" s="243">
        <f t="shared" si="39"/>
        <v>0</v>
      </c>
      <c r="AF103" s="243">
        <f t="shared" si="54"/>
        <v>0.73307218810968267</v>
      </c>
      <c r="AG103" s="245">
        <f t="shared" si="42"/>
        <v>73.307218810968266</v>
      </c>
    </row>
    <row r="104" spans="2:33" ht="17" hidden="1" thickBot="1" x14ac:dyDescent="0.25">
      <c r="B104" s="1414"/>
      <c r="C104" s="243">
        <f t="shared" si="85"/>
        <v>0.55200000000000005</v>
      </c>
      <c r="D104" s="243">
        <f t="shared" si="47"/>
        <v>0.13071596811986333</v>
      </c>
      <c r="E104" s="243">
        <f t="shared" si="48"/>
        <v>0.18486029493383985</v>
      </c>
      <c r="F104" s="241">
        <v>1</v>
      </c>
      <c r="G104" s="242">
        <v>60</v>
      </c>
      <c r="H104" s="243">
        <v>0.4</v>
      </c>
      <c r="I104" s="243">
        <f t="shared" si="35"/>
        <v>-0.25334710313579978</v>
      </c>
      <c r="J104" s="243">
        <f t="shared" si="88"/>
        <v>0.66938202691843929</v>
      </c>
      <c r="K104" s="245">
        <f t="shared" si="40"/>
        <v>66.938202691843927</v>
      </c>
      <c r="M104" s="1414"/>
      <c r="N104" s="243">
        <f t="shared" si="86"/>
        <v>0.62</v>
      </c>
      <c r="O104" s="240">
        <f t="shared" si="49"/>
        <v>0.30548078809939727</v>
      </c>
      <c r="P104" s="240">
        <f t="shared" si="50"/>
        <v>0.43201507357458924</v>
      </c>
      <c r="Q104" s="241">
        <v>1</v>
      </c>
      <c r="R104" s="242">
        <v>60</v>
      </c>
      <c r="S104" s="243">
        <v>0.4</v>
      </c>
      <c r="T104" s="243">
        <f t="shared" si="37"/>
        <v>-0.25334710313579978</v>
      </c>
      <c r="U104" s="243">
        <f t="shared" si="51"/>
        <v>0.75344229729608081</v>
      </c>
      <c r="V104" s="245">
        <f t="shared" si="41"/>
        <v>75.344229729608088</v>
      </c>
      <c r="X104" s="1414"/>
      <c r="Y104" s="243">
        <f t="shared" si="87"/>
        <v>0.67</v>
      </c>
      <c r="Z104" s="240">
        <f t="shared" si="52"/>
        <v>0.43991316567323396</v>
      </c>
      <c r="AA104" s="240">
        <f t="shared" si="53"/>
        <v>0.62213116516156974</v>
      </c>
      <c r="AB104" s="241">
        <v>1</v>
      </c>
      <c r="AC104" s="242">
        <v>60</v>
      </c>
      <c r="AD104" s="243">
        <v>0.4</v>
      </c>
      <c r="AE104" s="243">
        <f t="shared" si="39"/>
        <v>-0.25334710313579978</v>
      </c>
      <c r="AF104" s="243">
        <f t="shared" si="54"/>
        <v>0.80934313520156231</v>
      </c>
      <c r="AG104" s="245">
        <f t="shared" si="42"/>
        <v>80.934313520156238</v>
      </c>
    </row>
    <row r="105" spans="2:33" ht="17" hidden="1" thickBot="1" x14ac:dyDescent="0.25">
      <c r="B105" s="1414"/>
      <c r="C105" s="243">
        <f t="shared" si="85"/>
        <v>0.55200000000000005</v>
      </c>
      <c r="D105" s="243">
        <f t="shared" si="47"/>
        <v>0.13071596811986333</v>
      </c>
      <c r="E105" s="243">
        <f t="shared" si="48"/>
        <v>0.18486029493383985</v>
      </c>
      <c r="F105" s="241">
        <v>1</v>
      </c>
      <c r="G105" s="242">
        <v>70</v>
      </c>
      <c r="H105" s="243">
        <v>0.3</v>
      </c>
      <c r="I105" s="243">
        <f t="shared" si="35"/>
        <v>-0.52440051270804089</v>
      </c>
      <c r="J105" s="243">
        <f t="shared" si="88"/>
        <v>0.76091867758366394</v>
      </c>
      <c r="K105" s="245">
        <f t="shared" si="40"/>
        <v>76.091867758366391</v>
      </c>
      <c r="M105" s="1414"/>
      <c r="N105" s="243">
        <f t="shared" si="86"/>
        <v>0.62</v>
      </c>
      <c r="O105" s="240">
        <f t="shared" si="49"/>
        <v>0.30548078809939727</v>
      </c>
      <c r="P105" s="240">
        <f t="shared" si="50"/>
        <v>0.43201507357458924</v>
      </c>
      <c r="Q105" s="241">
        <v>1</v>
      </c>
      <c r="R105" s="242">
        <v>70</v>
      </c>
      <c r="S105" s="243">
        <v>0.3</v>
      </c>
      <c r="T105" s="243">
        <f t="shared" si="37"/>
        <v>-0.52440051270804089</v>
      </c>
      <c r="U105" s="243">
        <f t="shared" si="51"/>
        <v>0.8305688433565771</v>
      </c>
      <c r="V105" s="245">
        <f t="shared" si="41"/>
        <v>83.056884335657713</v>
      </c>
      <c r="X105" s="1414"/>
      <c r="Y105" s="243">
        <f t="shared" si="87"/>
        <v>0.67</v>
      </c>
      <c r="Z105" s="240">
        <f t="shared" si="52"/>
        <v>0.43991316567323396</v>
      </c>
      <c r="AA105" s="240">
        <f t="shared" si="53"/>
        <v>0.62213116516156974</v>
      </c>
      <c r="AB105" s="241">
        <v>1</v>
      </c>
      <c r="AC105" s="242">
        <v>70</v>
      </c>
      <c r="AD105" s="243">
        <v>0.3</v>
      </c>
      <c r="AE105" s="243">
        <f t="shared" si="39"/>
        <v>-0.52440051270804089</v>
      </c>
      <c r="AF105" s="243">
        <f t="shared" si="54"/>
        <v>0.87421238616034036</v>
      </c>
      <c r="AG105" s="245">
        <f t="shared" si="42"/>
        <v>87.421238616034032</v>
      </c>
    </row>
    <row r="106" spans="2:33" ht="17" hidden="1" thickBot="1" x14ac:dyDescent="0.25">
      <c r="B106" s="1414"/>
      <c r="C106" s="243">
        <f t="shared" si="85"/>
        <v>0.55200000000000005</v>
      </c>
      <c r="D106" s="243">
        <f t="shared" si="47"/>
        <v>0.13071596811986333</v>
      </c>
      <c r="E106" s="243">
        <f t="shared" si="48"/>
        <v>0.18486029493383985</v>
      </c>
      <c r="F106" s="241">
        <v>1</v>
      </c>
      <c r="G106" s="242">
        <v>80</v>
      </c>
      <c r="H106" s="243">
        <v>0.2</v>
      </c>
      <c r="I106" s="243">
        <f t="shared" si="35"/>
        <v>-0.84162123357291452</v>
      </c>
      <c r="J106" s="243">
        <f t="shared" si="88"/>
        <v>0.84766766700231155</v>
      </c>
      <c r="K106" s="245">
        <f t="shared" si="40"/>
        <v>84.766766700231159</v>
      </c>
      <c r="M106" s="1414"/>
      <c r="N106" s="243">
        <f t="shared" si="86"/>
        <v>0.62</v>
      </c>
      <c r="O106" s="240">
        <f t="shared" si="49"/>
        <v>0.30548078809939727</v>
      </c>
      <c r="P106" s="240">
        <f t="shared" si="50"/>
        <v>0.43201507357458924</v>
      </c>
      <c r="Q106" s="241">
        <v>1</v>
      </c>
      <c r="R106" s="242">
        <v>80</v>
      </c>
      <c r="S106" s="243">
        <v>0.2</v>
      </c>
      <c r="T106" s="243">
        <f t="shared" si="37"/>
        <v>-0.84162123357291452</v>
      </c>
      <c r="U106" s="243">
        <f t="shared" si="51"/>
        <v>0.8986038306282369</v>
      </c>
      <c r="V106" s="245">
        <f t="shared" si="41"/>
        <v>89.860383062823686</v>
      </c>
      <c r="X106" s="1414"/>
      <c r="Y106" s="243">
        <f t="shared" si="87"/>
        <v>0.67</v>
      </c>
      <c r="Z106" s="240">
        <f t="shared" si="52"/>
        <v>0.43991316567323396</v>
      </c>
      <c r="AA106" s="240">
        <f t="shared" si="53"/>
        <v>0.62213116516156974</v>
      </c>
      <c r="AB106" s="241">
        <v>1</v>
      </c>
      <c r="AC106" s="242">
        <v>80</v>
      </c>
      <c r="AD106" s="243">
        <v>0.2</v>
      </c>
      <c r="AE106" s="243">
        <f t="shared" si="39"/>
        <v>-0.84162123357291452</v>
      </c>
      <c r="AF106" s="243">
        <f t="shared" si="54"/>
        <v>0.92836919358103009</v>
      </c>
      <c r="AG106" s="245">
        <f t="shared" si="42"/>
        <v>92.836919358103003</v>
      </c>
    </row>
    <row r="107" spans="2:33" ht="17" hidden="1" thickBot="1" x14ac:dyDescent="0.25">
      <c r="B107" s="1414"/>
      <c r="C107" s="243">
        <f t="shared" si="85"/>
        <v>0.55200000000000005</v>
      </c>
      <c r="D107" s="243">
        <f t="shared" si="47"/>
        <v>0.13071596811986333</v>
      </c>
      <c r="E107" s="243">
        <f t="shared" si="48"/>
        <v>0.18486029493383985</v>
      </c>
      <c r="F107" s="241">
        <v>1</v>
      </c>
      <c r="G107" s="242">
        <v>90</v>
      </c>
      <c r="H107" s="243">
        <v>0.1</v>
      </c>
      <c r="I107" s="243">
        <f t="shared" si="35"/>
        <v>-1.2815515655446006</v>
      </c>
      <c r="J107" s="243">
        <f t="shared" si="88"/>
        <v>0.92873194144772131</v>
      </c>
      <c r="K107" s="245">
        <f t="shared" si="40"/>
        <v>92.873194144772128</v>
      </c>
      <c r="M107" s="1414"/>
      <c r="N107" s="243">
        <f t="shared" si="86"/>
        <v>0.62</v>
      </c>
      <c r="O107" s="240">
        <f t="shared" si="49"/>
        <v>0.30548078809939727</v>
      </c>
      <c r="P107" s="240">
        <f t="shared" si="50"/>
        <v>0.43201507357458924</v>
      </c>
      <c r="Q107" s="241">
        <v>1</v>
      </c>
      <c r="R107" s="242">
        <v>90</v>
      </c>
      <c r="S107" s="243">
        <v>0.1</v>
      </c>
      <c r="T107" s="243">
        <f t="shared" si="37"/>
        <v>-1.2815515655446006</v>
      </c>
      <c r="U107" s="243">
        <f t="shared" si="51"/>
        <v>0.95669582756254401</v>
      </c>
      <c r="V107" s="245">
        <f t="shared" si="41"/>
        <v>95.6695827562544</v>
      </c>
      <c r="X107" s="1414"/>
      <c r="Y107" s="243">
        <f t="shared" si="87"/>
        <v>0.67</v>
      </c>
      <c r="Z107" s="240">
        <f t="shared" si="52"/>
        <v>0.43991316567323396</v>
      </c>
      <c r="AA107" s="240">
        <f t="shared" si="53"/>
        <v>0.62213116516156974</v>
      </c>
      <c r="AB107" s="241">
        <v>1</v>
      </c>
      <c r="AC107" s="242">
        <v>90</v>
      </c>
      <c r="AD107" s="243">
        <v>0.1</v>
      </c>
      <c r="AE107" s="243">
        <f t="shared" si="39"/>
        <v>-1.2815515655446006</v>
      </c>
      <c r="AF107" s="243">
        <f t="shared" si="54"/>
        <v>0.97152424156582362</v>
      </c>
      <c r="AG107" s="245">
        <f t="shared" si="42"/>
        <v>97.152424156582356</v>
      </c>
    </row>
    <row r="108" spans="2:33" ht="17" hidden="1" thickBot="1" x14ac:dyDescent="0.25">
      <c r="B108" s="1414"/>
      <c r="C108" s="243">
        <f t="shared" si="85"/>
        <v>0.55200000000000005</v>
      </c>
      <c r="D108" s="243">
        <f t="shared" si="47"/>
        <v>0.13071596811986333</v>
      </c>
      <c r="E108" s="243">
        <f t="shared" si="48"/>
        <v>0.18486029493383985</v>
      </c>
      <c r="F108" s="241">
        <v>1</v>
      </c>
      <c r="G108" s="242">
        <v>95</v>
      </c>
      <c r="H108" s="243">
        <v>0.05</v>
      </c>
      <c r="I108" s="243">
        <f t="shared" si="35"/>
        <v>-1.6448536269514726</v>
      </c>
      <c r="J108" s="243">
        <f t="shared" si="88"/>
        <v>0.96635363598948332</v>
      </c>
      <c r="K108" s="245">
        <f t="shared" si="40"/>
        <v>96.635363598948331</v>
      </c>
      <c r="M108" s="1414"/>
      <c r="N108" s="243">
        <f t="shared" si="86"/>
        <v>0.62</v>
      </c>
      <c r="O108" s="240">
        <f t="shared" si="49"/>
        <v>0.30548078809939727</v>
      </c>
      <c r="P108" s="240">
        <f t="shared" si="50"/>
        <v>0.43201507357458924</v>
      </c>
      <c r="Q108" s="241">
        <v>1</v>
      </c>
      <c r="R108" s="242">
        <v>95</v>
      </c>
      <c r="S108" s="243">
        <v>0.05</v>
      </c>
      <c r="T108" s="243">
        <f t="shared" si="37"/>
        <v>-1.6448536269514726</v>
      </c>
      <c r="U108" s="243">
        <f t="shared" si="51"/>
        <v>0.98109316036362837</v>
      </c>
      <c r="V108" s="245">
        <f t="shared" si="41"/>
        <v>98.109316036362841</v>
      </c>
      <c r="X108" s="1414"/>
      <c r="Y108" s="243">
        <f t="shared" si="87"/>
        <v>0.67</v>
      </c>
      <c r="Z108" s="240">
        <f t="shared" si="52"/>
        <v>0.43991316567323396</v>
      </c>
      <c r="AA108" s="240">
        <f t="shared" si="53"/>
        <v>0.62213116516156974</v>
      </c>
      <c r="AB108" s="241">
        <v>1</v>
      </c>
      <c r="AC108" s="242">
        <v>95</v>
      </c>
      <c r="AD108" s="243">
        <v>0.05</v>
      </c>
      <c r="AE108" s="243">
        <f t="shared" si="39"/>
        <v>-1.6448536269514726</v>
      </c>
      <c r="AF108" s="243">
        <f t="shared" si="54"/>
        <v>0.98830442262137264</v>
      </c>
      <c r="AG108" s="245">
        <f t="shared" si="42"/>
        <v>98.830442262137268</v>
      </c>
    </row>
    <row r="109" spans="2:33" ht="17" hidden="1" customHeight="1" x14ac:dyDescent="0.2">
      <c r="B109" s="1415"/>
      <c r="C109" s="243">
        <f t="shared" si="85"/>
        <v>0.55200000000000005</v>
      </c>
      <c r="D109" s="243">
        <f t="shared" si="47"/>
        <v>0.13071596811986333</v>
      </c>
      <c r="E109" s="243">
        <f t="shared" si="48"/>
        <v>0.18486029493383985</v>
      </c>
      <c r="F109" s="241">
        <v>1</v>
      </c>
      <c r="G109" s="242">
        <v>99</v>
      </c>
      <c r="H109" s="243">
        <v>0.01</v>
      </c>
      <c r="I109" s="243">
        <f t="shared" si="35"/>
        <v>-2.3263478740408408</v>
      </c>
      <c r="J109" s="243">
        <f t="shared" si="88"/>
        <v>0.99398406388115057</v>
      </c>
      <c r="K109" s="245">
        <f t="shared" si="40"/>
        <v>99.398406388115063</v>
      </c>
      <c r="M109" s="1415"/>
      <c r="N109" s="243">
        <f t="shared" si="86"/>
        <v>0.62</v>
      </c>
      <c r="O109" s="240">
        <f t="shared" si="49"/>
        <v>0.30548078809939727</v>
      </c>
      <c r="P109" s="240">
        <f t="shared" si="50"/>
        <v>0.43201507357458924</v>
      </c>
      <c r="Q109" s="241">
        <v>1</v>
      </c>
      <c r="R109" s="242">
        <v>99</v>
      </c>
      <c r="S109" s="243">
        <v>0.01</v>
      </c>
      <c r="T109" s="243">
        <f t="shared" si="37"/>
        <v>-2.3263478740408408</v>
      </c>
      <c r="U109" s="243">
        <f t="shared" si="51"/>
        <v>0.99709541705466564</v>
      </c>
      <c r="V109" s="245">
        <f t="shared" si="41"/>
        <v>99.709541705466563</v>
      </c>
      <c r="X109" s="1415"/>
      <c r="Y109" s="243">
        <f t="shared" si="87"/>
        <v>0.67</v>
      </c>
      <c r="Z109" s="240">
        <f t="shared" si="52"/>
        <v>0.43991316567323396</v>
      </c>
      <c r="AA109" s="240">
        <f t="shared" si="53"/>
        <v>0.62213116516156974</v>
      </c>
      <c r="AB109" s="241">
        <v>1</v>
      </c>
      <c r="AC109" s="242">
        <v>99</v>
      </c>
      <c r="AD109" s="243">
        <v>0.01</v>
      </c>
      <c r="AE109" s="243">
        <f t="shared" si="39"/>
        <v>-2.3263478740408408</v>
      </c>
      <c r="AF109" s="243">
        <f t="shared" si="54"/>
        <v>0.99840329102668723</v>
      </c>
      <c r="AG109" s="245">
        <f t="shared" si="42"/>
        <v>99.840329102668719</v>
      </c>
    </row>
    <row r="110" spans="2:33" ht="16" customHeight="1" x14ac:dyDescent="0.2">
      <c r="B110" s="1413" t="s">
        <v>17</v>
      </c>
      <c r="C110" s="251">
        <v>0.70299999999999996</v>
      </c>
      <c r="D110" s="256">
        <f t="shared" si="47"/>
        <v>0.53304851090290906</v>
      </c>
      <c r="E110" s="256">
        <f t="shared" si="48"/>
        <v>0.75384443352167663</v>
      </c>
      <c r="F110" s="253">
        <v>1</v>
      </c>
      <c r="G110" s="255">
        <v>1</v>
      </c>
      <c r="H110" s="256">
        <v>0.99</v>
      </c>
      <c r="I110" s="256">
        <f t="shared" si="35"/>
        <v>2.3263478740408408</v>
      </c>
      <c r="J110" s="256">
        <f t="shared" si="88"/>
        <v>5.7916920942495453E-2</v>
      </c>
      <c r="K110" s="257">
        <f t="shared" si="40"/>
        <v>5.7916920942495453</v>
      </c>
      <c r="M110" s="1413" t="s">
        <v>17</v>
      </c>
      <c r="N110" s="251">
        <v>0.84</v>
      </c>
      <c r="O110" s="252">
        <f t="shared" si="49"/>
        <v>0.9944578832097497</v>
      </c>
      <c r="P110" s="252">
        <f t="shared" si="50"/>
        <v>1.4063758256440675</v>
      </c>
      <c r="Q110" s="253">
        <v>1</v>
      </c>
      <c r="R110" s="255">
        <v>1</v>
      </c>
      <c r="S110" s="256">
        <v>0.99</v>
      </c>
      <c r="T110" s="256">
        <f t="shared" si="37"/>
        <v>2.3263478740408408</v>
      </c>
      <c r="U110" s="256">
        <f t="shared" si="51"/>
        <v>0.17879368307929755</v>
      </c>
      <c r="V110" s="257">
        <f t="shared" si="41"/>
        <v>17.879368307929756</v>
      </c>
      <c r="X110" s="1413" t="s">
        <v>17</v>
      </c>
      <c r="Y110" s="251">
        <v>0.88</v>
      </c>
      <c r="Z110" s="252">
        <f t="shared" si="52"/>
        <v>1.1749867920660904</v>
      </c>
      <c r="AA110" s="252">
        <f t="shared" si="53"/>
        <v>1.6616822569491208</v>
      </c>
      <c r="AB110" s="253">
        <v>1</v>
      </c>
      <c r="AC110" s="255">
        <v>1</v>
      </c>
      <c r="AD110" s="256">
        <v>0.99</v>
      </c>
      <c r="AE110" s="256">
        <f t="shared" si="39"/>
        <v>2.3263478740408408</v>
      </c>
      <c r="AF110" s="256">
        <f t="shared" si="54"/>
        <v>0.25313219498306394</v>
      </c>
      <c r="AG110" s="257">
        <f t="shared" si="42"/>
        <v>25.313219498306395</v>
      </c>
    </row>
    <row r="111" spans="2:33" x14ac:dyDescent="0.2">
      <c r="B111" s="1414"/>
      <c r="C111" s="243">
        <f>C110</f>
        <v>0.70299999999999996</v>
      </c>
      <c r="D111" s="243">
        <f t="shared" si="47"/>
        <v>0.53304851090290906</v>
      </c>
      <c r="E111" s="243">
        <f t="shared" si="48"/>
        <v>0.75384443352167663</v>
      </c>
      <c r="F111" s="241">
        <v>1</v>
      </c>
      <c r="G111" s="242">
        <v>5</v>
      </c>
      <c r="H111" s="243">
        <v>0.95</v>
      </c>
      <c r="I111" s="243">
        <f t="shared" ref="I111:I122" si="89">_xlfn.NORM.S.INV(H111)</f>
        <v>1.6448536269514715</v>
      </c>
      <c r="J111" s="243">
        <f t="shared" si="88"/>
        <v>0.18646211909603405</v>
      </c>
      <c r="K111" s="244">
        <f t="shared" si="40"/>
        <v>18.646211909603405</v>
      </c>
      <c r="M111" s="1414"/>
      <c r="N111" s="243">
        <f>N110</f>
        <v>0.84</v>
      </c>
      <c r="O111" s="240">
        <f t="shared" si="49"/>
        <v>0.9944578832097497</v>
      </c>
      <c r="P111" s="240">
        <f t="shared" si="50"/>
        <v>1.4063758256440675</v>
      </c>
      <c r="Q111" s="241">
        <v>1</v>
      </c>
      <c r="R111" s="242">
        <v>5</v>
      </c>
      <c r="S111" s="243">
        <v>0.95</v>
      </c>
      <c r="T111" s="243">
        <f t="shared" ref="T111:T122" si="90">_xlfn.NORM.S.INV(S111)</f>
        <v>1.6448536269514715</v>
      </c>
      <c r="U111" s="243">
        <f t="shared" si="51"/>
        <v>0.40575526536923778</v>
      </c>
      <c r="V111" s="244">
        <f t="shared" si="41"/>
        <v>40.575526536923775</v>
      </c>
      <c r="X111" s="1414"/>
      <c r="Y111" s="243">
        <f>Y110</f>
        <v>0.88</v>
      </c>
      <c r="Z111" s="240">
        <f t="shared" si="52"/>
        <v>1.1749867920660904</v>
      </c>
      <c r="AA111" s="240">
        <f t="shared" si="53"/>
        <v>1.6616822569491208</v>
      </c>
      <c r="AB111" s="241">
        <v>1</v>
      </c>
      <c r="AC111" s="242">
        <v>5</v>
      </c>
      <c r="AD111" s="243">
        <v>0.95</v>
      </c>
      <c r="AE111" s="243">
        <f t="shared" ref="AE111:AE122" si="91">_xlfn.NORM.S.INV(AD111)</f>
        <v>1.6448536269514715</v>
      </c>
      <c r="AF111" s="243">
        <f t="shared" si="54"/>
        <v>0.50671333515326034</v>
      </c>
      <c r="AG111" s="244">
        <f t="shared" si="42"/>
        <v>50.671333515326033</v>
      </c>
    </row>
    <row r="112" spans="2:33" x14ac:dyDescent="0.2">
      <c r="B112" s="1414"/>
      <c r="C112" s="243">
        <f t="shared" ref="C112:C122" si="92">C111</f>
        <v>0.70299999999999996</v>
      </c>
      <c r="D112" s="243">
        <f t="shared" si="47"/>
        <v>0.53304851090290906</v>
      </c>
      <c r="E112" s="243">
        <f t="shared" si="48"/>
        <v>0.75384443352167663</v>
      </c>
      <c r="F112" s="241">
        <v>1</v>
      </c>
      <c r="G112" s="242">
        <v>10</v>
      </c>
      <c r="H112" s="243">
        <v>0.9</v>
      </c>
      <c r="I112" s="243">
        <f t="shared" si="89"/>
        <v>1.2815515655446006</v>
      </c>
      <c r="J112" s="243">
        <f t="shared" si="88"/>
        <v>0.29885131117732111</v>
      </c>
      <c r="K112" s="244">
        <f t="shared" ref="K112:K122" si="93">J112*100</f>
        <v>29.885131117732112</v>
      </c>
      <c r="M112" s="1414"/>
      <c r="N112" s="243">
        <f t="shared" ref="N112:N122" si="94">N111</f>
        <v>0.84</v>
      </c>
      <c r="O112" s="240">
        <f t="shared" si="49"/>
        <v>0.9944578832097497</v>
      </c>
      <c r="P112" s="240">
        <f t="shared" si="50"/>
        <v>1.4063758256440675</v>
      </c>
      <c r="Q112" s="241">
        <v>1</v>
      </c>
      <c r="R112" s="242">
        <v>10</v>
      </c>
      <c r="S112" s="243">
        <v>0.9</v>
      </c>
      <c r="T112" s="243">
        <f t="shared" si="90"/>
        <v>1.2815515655446006</v>
      </c>
      <c r="U112" s="243">
        <f t="shared" si="51"/>
        <v>0.54966865959065614</v>
      </c>
      <c r="V112" s="244">
        <f t="shared" ref="V112:V122" si="95">U112*100</f>
        <v>54.966865959065615</v>
      </c>
      <c r="X112" s="1414"/>
      <c r="Y112" s="243">
        <f t="shared" ref="Y112:Y122" si="96">Y111</f>
        <v>0.88</v>
      </c>
      <c r="Z112" s="240">
        <f t="shared" si="52"/>
        <v>1.1749867920660904</v>
      </c>
      <c r="AA112" s="240">
        <f t="shared" si="53"/>
        <v>1.6616822569491208</v>
      </c>
      <c r="AB112" s="241">
        <v>1</v>
      </c>
      <c r="AC112" s="242">
        <v>10</v>
      </c>
      <c r="AD112" s="243">
        <v>0.9</v>
      </c>
      <c r="AE112" s="243">
        <f t="shared" si="91"/>
        <v>1.2815515655446006</v>
      </c>
      <c r="AF112" s="243">
        <f t="shared" si="54"/>
        <v>0.6480757978413455</v>
      </c>
      <c r="AG112" s="244">
        <f t="shared" ref="AG112:AG122" si="97">AF112*100</f>
        <v>64.807579784134546</v>
      </c>
    </row>
    <row r="113" spans="2:33" x14ac:dyDescent="0.2">
      <c r="B113" s="1414"/>
      <c r="C113" s="243">
        <f t="shared" si="92"/>
        <v>0.70299999999999996</v>
      </c>
      <c r="D113" s="243">
        <f t="shared" si="47"/>
        <v>0.53304851090290906</v>
      </c>
      <c r="E113" s="243">
        <f t="shared" si="48"/>
        <v>0.75384443352167663</v>
      </c>
      <c r="F113" s="241">
        <v>1</v>
      </c>
      <c r="G113" s="242">
        <v>20</v>
      </c>
      <c r="H113" s="243">
        <v>0.8</v>
      </c>
      <c r="I113" s="243">
        <f t="shared" si="89"/>
        <v>0.84162123357291474</v>
      </c>
      <c r="J113" s="243">
        <f t="shared" si="88"/>
        <v>0.46502703872738049</v>
      </c>
      <c r="K113" s="244">
        <f t="shared" si="93"/>
        <v>46.502703872738053</v>
      </c>
      <c r="M113" s="1414"/>
      <c r="N113" s="243">
        <f t="shared" si="94"/>
        <v>0.84</v>
      </c>
      <c r="O113" s="240">
        <f t="shared" si="49"/>
        <v>0.9944578832097497</v>
      </c>
      <c r="P113" s="240">
        <f t="shared" si="50"/>
        <v>1.4063758256440675</v>
      </c>
      <c r="Q113" s="241">
        <v>1</v>
      </c>
      <c r="R113" s="242">
        <v>20</v>
      </c>
      <c r="S113" s="243">
        <v>0.8</v>
      </c>
      <c r="T113" s="243">
        <f t="shared" si="90"/>
        <v>0.84162123357291474</v>
      </c>
      <c r="U113" s="243">
        <f t="shared" si="51"/>
        <v>0.71387965184628344</v>
      </c>
      <c r="V113" s="244">
        <f t="shared" si="95"/>
        <v>71.387965184628342</v>
      </c>
      <c r="X113" s="1414"/>
      <c r="Y113" s="243">
        <f t="shared" si="96"/>
        <v>0.88</v>
      </c>
      <c r="Z113" s="240">
        <f t="shared" si="52"/>
        <v>1.1749867920660904</v>
      </c>
      <c r="AA113" s="240">
        <f t="shared" si="53"/>
        <v>1.6616822569491208</v>
      </c>
      <c r="AB113" s="241">
        <v>1</v>
      </c>
      <c r="AC113" s="242">
        <v>20</v>
      </c>
      <c r="AD113" s="243">
        <v>0.8</v>
      </c>
      <c r="AE113" s="243">
        <f t="shared" si="91"/>
        <v>0.84162123357291474</v>
      </c>
      <c r="AF113" s="243">
        <f t="shared" si="54"/>
        <v>0.79390933985993217</v>
      </c>
      <c r="AG113" s="244">
        <f t="shared" si="97"/>
        <v>79.390933985993215</v>
      </c>
    </row>
    <row r="114" spans="2:33" hidden="1" x14ac:dyDescent="0.2">
      <c r="B114" s="1414"/>
      <c r="C114" s="243">
        <f t="shared" si="92"/>
        <v>0.70299999999999996</v>
      </c>
      <c r="D114" s="243"/>
      <c r="E114" s="243"/>
      <c r="F114" s="241">
        <v>1</v>
      </c>
      <c r="G114" s="242">
        <v>30</v>
      </c>
      <c r="H114" s="243">
        <v>0.7</v>
      </c>
      <c r="I114" s="243">
        <f t="shared" si="89"/>
        <v>0.52440051270804078</v>
      </c>
      <c r="J114" s="243" t="e">
        <f>1-_xlfn.NORM.DIST(I114,#REF!,F114,TRUE)</f>
        <v>#REF!</v>
      </c>
      <c r="K114" s="245" t="e">
        <f t="shared" si="93"/>
        <v>#REF!</v>
      </c>
      <c r="M114" s="1414"/>
      <c r="N114" s="243">
        <f t="shared" si="94"/>
        <v>0.84</v>
      </c>
      <c r="O114" s="240">
        <f t="shared" ref="O114:O122" si="98">(_xlfn.NORM.DIST(SQRT(2)*_xlfn.NORM.S.INV(N114)/2,SQRT(2)*_xlfn.NORM.S.INV(N114)*SQRT(2)*_xlfn.NORM.S.INV(N114),SQRT(2)*_xlfn.NORM.S.INV(N114),0) * _xlfn.NORM.DIST(-1*SQRT(2)*_xlfn.NORM.S.INV(N114)/2,0,SQRT(2)*_xlfn.NORM.S.INV(N114),0) ) / ( _xlfn.NORM.DIST(SQRT(2)*_xlfn.NORM.S.INV(N114)/2,0,SQRT(2)*_xlfn.NORM.S.INV(N114),0) * _xlfn.NORM.DIST(-1*SQRT(2)*_xlfn.NORM.S.INV(N114)/2,SQRT(2)*_xlfn.NORM.S.INV(N114)*SQRT(2)*_xlfn.NORM.S.INV(N114),SQRT(2)*_xlfn.NORM.S.INV(N114),0) )</f>
        <v>4.0811378145153796</v>
      </c>
      <c r="P114" s="240">
        <f t="shared" ref="P114:P122" si="99">LN(O114)</f>
        <v>1.4063758256440677</v>
      </c>
      <c r="Q114" s="241">
        <v>1</v>
      </c>
      <c r="R114" s="242">
        <v>30</v>
      </c>
      <c r="S114" s="243">
        <v>0.7</v>
      </c>
      <c r="T114" s="243">
        <f t="shared" si="90"/>
        <v>0.52440051270804078</v>
      </c>
      <c r="U114" s="243">
        <f t="shared" si="51"/>
        <v>0.81110492122813216</v>
      </c>
      <c r="V114" s="245">
        <f t="shared" si="95"/>
        <v>81.110492122813213</v>
      </c>
      <c r="X114" s="1414"/>
      <c r="Y114" s="243">
        <f t="shared" si="96"/>
        <v>0.88</v>
      </c>
      <c r="Z114" s="240">
        <f t="shared" si="52"/>
        <v>1.1749867920660904</v>
      </c>
      <c r="AA114" s="240">
        <f t="shared" ref="AA114:AA122" si="100">LN(Z114)</f>
        <v>0.16125690673812737</v>
      </c>
      <c r="AB114" s="241">
        <v>1</v>
      </c>
      <c r="AC114" s="242">
        <v>30</v>
      </c>
      <c r="AD114" s="243">
        <v>0.7</v>
      </c>
      <c r="AE114" s="243">
        <f t="shared" si="91"/>
        <v>0.52440051270804078</v>
      </c>
      <c r="AF114" s="243">
        <f t="shared" si="54"/>
        <v>0.35824880596887243</v>
      </c>
      <c r="AG114" s="245">
        <f t="shared" si="97"/>
        <v>35.82488059688724</v>
      </c>
    </row>
    <row r="115" spans="2:33" hidden="1" x14ac:dyDescent="0.2">
      <c r="B115" s="1414"/>
      <c r="C115" s="243">
        <f t="shared" si="92"/>
        <v>0.70299999999999996</v>
      </c>
      <c r="D115" s="243"/>
      <c r="E115" s="243"/>
      <c r="F115" s="241">
        <v>1</v>
      </c>
      <c r="G115" s="242">
        <v>40</v>
      </c>
      <c r="H115" s="243">
        <v>0.6</v>
      </c>
      <c r="I115" s="243">
        <f t="shared" si="89"/>
        <v>0.25334710313579978</v>
      </c>
      <c r="J115" s="243" t="e">
        <f>1-_xlfn.NORM.DIST(I115,#REF!,F115,TRUE)</f>
        <v>#REF!</v>
      </c>
      <c r="K115" s="245" t="e">
        <f t="shared" si="93"/>
        <v>#REF!</v>
      </c>
      <c r="M115" s="1414"/>
      <c r="N115" s="243">
        <f t="shared" si="94"/>
        <v>0.84</v>
      </c>
      <c r="O115" s="240">
        <f t="shared" si="98"/>
        <v>4.0811378145153796</v>
      </c>
      <c r="P115" s="240">
        <f t="shared" si="99"/>
        <v>1.4063758256440677</v>
      </c>
      <c r="Q115" s="241">
        <v>1</v>
      </c>
      <c r="R115" s="242">
        <v>40</v>
      </c>
      <c r="S115" s="243">
        <v>0.6</v>
      </c>
      <c r="T115" s="243">
        <f t="shared" si="90"/>
        <v>0.25334710313579978</v>
      </c>
      <c r="U115" s="243">
        <f t="shared" si="51"/>
        <v>0.87555070225946285</v>
      </c>
      <c r="V115" s="245">
        <f t="shared" si="95"/>
        <v>87.555070225946281</v>
      </c>
      <c r="X115" s="1414"/>
      <c r="Y115" s="243">
        <f t="shared" si="96"/>
        <v>0.88</v>
      </c>
      <c r="Z115" s="240">
        <f t="shared" si="52"/>
        <v>1.1749867920660904</v>
      </c>
      <c r="AA115" s="240">
        <f t="shared" si="100"/>
        <v>0.16125690673812737</v>
      </c>
      <c r="AB115" s="241">
        <v>1</v>
      </c>
      <c r="AC115" s="242">
        <v>40</v>
      </c>
      <c r="AD115" s="243">
        <v>0.6</v>
      </c>
      <c r="AE115" s="243">
        <f t="shared" si="91"/>
        <v>0.25334710313579978</v>
      </c>
      <c r="AF115" s="243">
        <f t="shared" si="54"/>
        <v>0.4633131887475388</v>
      </c>
      <c r="AG115" s="245">
        <f t="shared" si="97"/>
        <v>46.331318874753876</v>
      </c>
    </row>
    <row r="116" spans="2:33" hidden="1" x14ac:dyDescent="0.2">
      <c r="B116" s="1414"/>
      <c r="C116" s="243">
        <f t="shared" si="92"/>
        <v>0.70299999999999996</v>
      </c>
      <c r="D116" s="243"/>
      <c r="E116" s="243"/>
      <c r="F116" s="241">
        <v>1</v>
      </c>
      <c r="G116" s="242">
        <v>50</v>
      </c>
      <c r="H116" s="243">
        <v>0.5</v>
      </c>
      <c r="I116" s="243">
        <f t="shared" si="89"/>
        <v>0</v>
      </c>
      <c r="J116" s="243" t="e">
        <f>1-_xlfn.NORM.DIST(I116,#REF!,F116,TRUE)</f>
        <v>#REF!</v>
      </c>
      <c r="K116" s="245" t="e">
        <f t="shared" si="93"/>
        <v>#REF!</v>
      </c>
      <c r="M116" s="1414"/>
      <c r="N116" s="243">
        <f t="shared" si="94"/>
        <v>0.84</v>
      </c>
      <c r="O116" s="240">
        <f t="shared" si="98"/>
        <v>4.0811378145153796</v>
      </c>
      <c r="P116" s="240">
        <f t="shared" si="99"/>
        <v>1.4063758256440677</v>
      </c>
      <c r="Q116" s="241">
        <v>1</v>
      </c>
      <c r="R116" s="242">
        <v>50</v>
      </c>
      <c r="S116" s="243">
        <v>0.5</v>
      </c>
      <c r="T116" s="243">
        <f t="shared" si="90"/>
        <v>0</v>
      </c>
      <c r="U116" s="243">
        <f t="shared" si="51"/>
        <v>0.92019372258948418</v>
      </c>
      <c r="V116" s="245">
        <f t="shared" si="95"/>
        <v>92.019372258948422</v>
      </c>
      <c r="X116" s="1414"/>
      <c r="Y116" s="243">
        <f t="shared" si="96"/>
        <v>0.88</v>
      </c>
      <c r="Z116" s="240">
        <f t="shared" si="52"/>
        <v>1.1749867920660904</v>
      </c>
      <c r="AA116" s="240">
        <f t="shared" si="100"/>
        <v>0.16125690673812737</v>
      </c>
      <c r="AB116" s="241">
        <v>1</v>
      </c>
      <c r="AC116" s="242">
        <v>50</v>
      </c>
      <c r="AD116" s="243">
        <v>0.5</v>
      </c>
      <c r="AE116" s="243">
        <f t="shared" si="91"/>
        <v>0</v>
      </c>
      <c r="AF116" s="243">
        <f t="shared" si="54"/>
        <v>0.56405446878291321</v>
      </c>
      <c r="AG116" s="245">
        <f t="shared" si="97"/>
        <v>56.405446878291322</v>
      </c>
    </row>
    <row r="117" spans="2:33" hidden="1" x14ac:dyDescent="0.2">
      <c r="B117" s="1414"/>
      <c r="C117" s="243">
        <f t="shared" si="92"/>
        <v>0.70299999999999996</v>
      </c>
      <c r="D117" s="243"/>
      <c r="E117" s="243"/>
      <c r="F117" s="241">
        <v>1</v>
      </c>
      <c r="G117" s="242">
        <v>60</v>
      </c>
      <c r="H117" s="243">
        <v>0.4</v>
      </c>
      <c r="I117" s="243">
        <f t="shared" si="89"/>
        <v>-0.25334710313579978</v>
      </c>
      <c r="J117" s="243" t="e">
        <f>1-_xlfn.NORM.DIST(I117,#REF!,F117,TRUE)</f>
        <v>#REF!</v>
      </c>
      <c r="K117" s="245" t="e">
        <f t="shared" si="93"/>
        <v>#REF!</v>
      </c>
      <c r="M117" s="1414"/>
      <c r="N117" s="243">
        <f t="shared" si="94"/>
        <v>0.84</v>
      </c>
      <c r="O117" s="240">
        <f t="shared" si="98"/>
        <v>4.0811378145153796</v>
      </c>
      <c r="P117" s="240">
        <f t="shared" si="99"/>
        <v>1.4063758256440677</v>
      </c>
      <c r="Q117" s="241">
        <v>1</v>
      </c>
      <c r="R117" s="242">
        <v>60</v>
      </c>
      <c r="S117" s="243">
        <v>0.4</v>
      </c>
      <c r="T117" s="243">
        <f t="shared" si="90"/>
        <v>-0.25334710313579978</v>
      </c>
      <c r="U117" s="243">
        <f t="shared" si="51"/>
        <v>0.95151489773567788</v>
      </c>
      <c r="V117" s="245">
        <f t="shared" si="95"/>
        <v>95.151489773567789</v>
      </c>
      <c r="X117" s="1414"/>
      <c r="Y117" s="243">
        <f t="shared" si="96"/>
        <v>0.88</v>
      </c>
      <c r="Z117" s="240">
        <f t="shared" si="52"/>
        <v>1.1749867920660904</v>
      </c>
      <c r="AA117" s="240">
        <f t="shared" si="100"/>
        <v>0.16125690673812737</v>
      </c>
      <c r="AB117" s="241">
        <v>1</v>
      </c>
      <c r="AC117" s="242">
        <v>60</v>
      </c>
      <c r="AD117" s="243">
        <v>0.4</v>
      </c>
      <c r="AE117" s="243">
        <f t="shared" si="91"/>
        <v>-0.25334710313579978</v>
      </c>
      <c r="AF117" s="243">
        <f t="shared" si="54"/>
        <v>0.66078409386765624</v>
      </c>
      <c r="AG117" s="245">
        <f t="shared" si="97"/>
        <v>66.078409386765628</v>
      </c>
    </row>
    <row r="118" spans="2:33" hidden="1" x14ac:dyDescent="0.2">
      <c r="B118" s="1414"/>
      <c r="C118" s="243">
        <f t="shared" si="92"/>
        <v>0.70299999999999996</v>
      </c>
      <c r="D118" s="243"/>
      <c r="E118" s="243"/>
      <c r="F118" s="241">
        <v>1</v>
      </c>
      <c r="G118" s="242">
        <v>70</v>
      </c>
      <c r="H118" s="243">
        <v>0.3</v>
      </c>
      <c r="I118" s="243">
        <f t="shared" si="89"/>
        <v>-0.52440051270804089</v>
      </c>
      <c r="J118" s="243" t="e">
        <f>1-_xlfn.NORM.DIST(I118,#REF!,F118,TRUE)</f>
        <v>#REF!</v>
      </c>
      <c r="K118" s="245" t="e">
        <f t="shared" si="93"/>
        <v>#REF!</v>
      </c>
      <c r="M118" s="1414"/>
      <c r="N118" s="243">
        <f t="shared" si="94"/>
        <v>0.84</v>
      </c>
      <c r="O118" s="240">
        <f t="shared" si="98"/>
        <v>4.0811378145153796</v>
      </c>
      <c r="P118" s="240">
        <f t="shared" si="99"/>
        <v>1.4063758256440677</v>
      </c>
      <c r="Q118" s="241">
        <v>1</v>
      </c>
      <c r="R118" s="242">
        <v>70</v>
      </c>
      <c r="S118" s="243">
        <v>0.3</v>
      </c>
      <c r="T118" s="243">
        <f t="shared" si="90"/>
        <v>-0.52440051270804089</v>
      </c>
      <c r="U118" s="243">
        <f t="shared" si="51"/>
        <v>0.9732446411474085</v>
      </c>
      <c r="V118" s="245">
        <f t="shared" si="95"/>
        <v>97.324464114740849</v>
      </c>
      <c r="X118" s="1414"/>
      <c r="Y118" s="243">
        <f t="shared" si="96"/>
        <v>0.88</v>
      </c>
      <c r="Z118" s="240">
        <f t="shared" si="52"/>
        <v>1.1749867920660904</v>
      </c>
      <c r="AA118" s="240">
        <f t="shared" si="100"/>
        <v>0.16125690673812737</v>
      </c>
      <c r="AB118" s="241">
        <v>1</v>
      </c>
      <c r="AC118" s="242">
        <v>70</v>
      </c>
      <c r="AD118" s="243">
        <v>0.3</v>
      </c>
      <c r="AE118" s="243">
        <f t="shared" si="91"/>
        <v>-0.52440051270804089</v>
      </c>
      <c r="AF118" s="243">
        <f t="shared" si="54"/>
        <v>0.75353541808671076</v>
      </c>
      <c r="AG118" s="245">
        <f t="shared" si="97"/>
        <v>75.353541808671082</v>
      </c>
    </row>
    <row r="119" spans="2:33" hidden="1" x14ac:dyDescent="0.2">
      <c r="B119" s="1414"/>
      <c r="C119" s="243">
        <f t="shared" si="92"/>
        <v>0.70299999999999996</v>
      </c>
      <c r="D119" s="243"/>
      <c r="E119" s="243"/>
      <c r="F119" s="241">
        <v>1</v>
      </c>
      <c r="G119" s="242">
        <v>80</v>
      </c>
      <c r="H119" s="243">
        <v>0.2</v>
      </c>
      <c r="I119" s="243">
        <f t="shared" si="89"/>
        <v>-0.84162123357291452</v>
      </c>
      <c r="J119" s="243" t="e">
        <f>1-_xlfn.NORM.DIST(I119,#REF!,F119,TRUE)</f>
        <v>#REF!</v>
      </c>
      <c r="K119" s="245" t="e">
        <f t="shared" si="93"/>
        <v>#REF!</v>
      </c>
      <c r="M119" s="1414"/>
      <c r="N119" s="243">
        <f t="shared" si="94"/>
        <v>0.84</v>
      </c>
      <c r="O119" s="240">
        <f t="shared" si="98"/>
        <v>4.0811378145153796</v>
      </c>
      <c r="P119" s="240">
        <f t="shared" si="99"/>
        <v>1.4063758256440677</v>
      </c>
      <c r="Q119" s="241">
        <v>1</v>
      </c>
      <c r="R119" s="242">
        <v>80</v>
      </c>
      <c r="S119" s="243">
        <v>0.2</v>
      </c>
      <c r="T119" s="243">
        <f t="shared" si="90"/>
        <v>-0.84162123357291452</v>
      </c>
      <c r="U119" s="243">
        <f t="shared" si="51"/>
        <v>0.98771181128030405</v>
      </c>
      <c r="V119" s="245">
        <f t="shared" si="95"/>
        <v>98.771181128030406</v>
      </c>
      <c r="X119" s="1414"/>
      <c r="Y119" s="243">
        <f t="shared" si="96"/>
        <v>0.88</v>
      </c>
      <c r="Z119" s="240">
        <f t="shared" si="52"/>
        <v>1.1749867920660904</v>
      </c>
      <c r="AA119" s="240">
        <f t="shared" si="100"/>
        <v>0.16125690673812737</v>
      </c>
      <c r="AB119" s="241">
        <v>1</v>
      </c>
      <c r="AC119" s="242">
        <v>80</v>
      </c>
      <c r="AD119" s="243">
        <v>0.2</v>
      </c>
      <c r="AE119" s="243">
        <f t="shared" si="91"/>
        <v>-0.84162123357291452</v>
      </c>
      <c r="AF119" s="243">
        <f t="shared" si="54"/>
        <v>0.84204016956082128</v>
      </c>
      <c r="AG119" s="245">
        <f t="shared" si="97"/>
        <v>84.204016956082128</v>
      </c>
    </row>
    <row r="120" spans="2:33" hidden="1" x14ac:dyDescent="0.2">
      <c r="B120" s="1414"/>
      <c r="C120" s="243">
        <f t="shared" si="92"/>
        <v>0.70299999999999996</v>
      </c>
      <c r="D120" s="243"/>
      <c r="E120" s="243"/>
      <c r="F120" s="241">
        <v>1</v>
      </c>
      <c r="G120" s="242">
        <v>90</v>
      </c>
      <c r="H120" s="243">
        <v>0.1</v>
      </c>
      <c r="I120" s="243">
        <f t="shared" si="89"/>
        <v>-1.2815515655446006</v>
      </c>
      <c r="J120" s="243" t="e">
        <f>1-_xlfn.NORM.DIST(I120,#REF!,F120,TRUE)</f>
        <v>#REF!</v>
      </c>
      <c r="K120" s="245" t="e">
        <f t="shared" si="93"/>
        <v>#REF!</v>
      </c>
      <c r="M120" s="1414"/>
      <c r="N120" s="243">
        <f t="shared" si="94"/>
        <v>0.84</v>
      </c>
      <c r="O120" s="240">
        <f t="shared" si="98"/>
        <v>4.0811378145153796</v>
      </c>
      <c r="P120" s="240">
        <f t="shared" si="99"/>
        <v>1.4063758256440677</v>
      </c>
      <c r="Q120" s="241">
        <v>1</v>
      </c>
      <c r="R120" s="242">
        <v>90</v>
      </c>
      <c r="S120" s="243">
        <v>0.1</v>
      </c>
      <c r="T120" s="243">
        <f t="shared" si="90"/>
        <v>-1.2815515655446006</v>
      </c>
      <c r="U120" s="243">
        <f t="shared" si="51"/>
        <v>0.99640514857849094</v>
      </c>
      <c r="V120" s="245">
        <f t="shared" si="95"/>
        <v>99.640514857849098</v>
      </c>
      <c r="X120" s="1414"/>
      <c r="Y120" s="243">
        <f t="shared" si="96"/>
        <v>0.88</v>
      </c>
      <c r="Z120" s="240">
        <f t="shared" si="52"/>
        <v>1.1749867920660904</v>
      </c>
      <c r="AA120" s="240">
        <f t="shared" si="100"/>
        <v>0.16125690673812737</v>
      </c>
      <c r="AB120" s="241">
        <v>1</v>
      </c>
      <c r="AC120" s="242">
        <v>90</v>
      </c>
      <c r="AD120" s="243">
        <v>0.1</v>
      </c>
      <c r="AE120" s="243">
        <f t="shared" si="91"/>
        <v>-1.2815515655446006</v>
      </c>
      <c r="AF120" s="243">
        <f t="shared" si="54"/>
        <v>0.92546278406548721</v>
      </c>
      <c r="AG120" s="245">
        <f t="shared" si="97"/>
        <v>92.546278406548723</v>
      </c>
    </row>
    <row r="121" spans="2:33" hidden="1" x14ac:dyDescent="0.2">
      <c r="B121" s="1414"/>
      <c r="C121" s="243">
        <f t="shared" si="92"/>
        <v>0.70299999999999996</v>
      </c>
      <c r="D121" s="243"/>
      <c r="E121" s="243"/>
      <c r="F121" s="241">
        <v>1</v>
      </c>
      <c r="G121" s="242">
        <v>95</v>
      </c>
      <c r="H121" s="243">
        <v>0.05</v>
      </c>
      <c r="I121" s="243">
        <f t="shared" si="89"/>
        <v>-1.6448536269514726</v>
      </c>
      <c r="J121" s="243" t="e">
        <f>1-_xlfn.NORM.DIST(I121,#REF!,F121,TRUE)</f>
        <v>#REF!</v>
      </c>
      <c r="K121" s="245" t="e">
        <f t="shared" si="93"/>
        <v>#REF!</v>
      </c>
      <c r="M121" s="1414"/>
      <c r="N121" s="243">
        <f t="shared" si="94"/>
        <v>0.84</v>
      </c>
      <c r="O121" s="240">
        <f t="shared" si="98"/>
        <v>4.0811378145153796</v>
      </c>
      <c r="P121" s="240">
        <f t="shared" si="99"/>
        <v>1.4063758256440677</v>
      </c>
      <c r="Q121" s="241">
        <v>1</v>
      </c>
      <c r="R121" s="242">
        <v>95</v>
      </c>
      <c r="S121" s="243">
        <v>0.05</v>
      </c>
      <c r="T121" s="243">
        <f t="shared" si="90"/>
        <v>-1.6448536269514726</v>
      </c>
      <c r="U121" s="243">
        <f t="shared" si="51"/>
        <v>0.99886046831871089</v>
      </c>
      <c r="V121" s="245">
        <f t="shared" si="95"/>
        <v>99.886046831871084</v>
      </c>
      <c r="X121" s="1414"/>
      <c r="Y121" s="243">
        <f t="shared" si="96"/>
        <v>0.88</v>
      </c>
      <c r="Z121" s="240">
        <f t="shared" si="52"/>
        <v>1.1749867920660904</v>
      </c>
      <c r="AA121" s="240">
        <f t="shared" si="100"/>
        <v>0.16125690673812737</v>
      </c>
      <c r="AB121" s="241">
        <v>1</v>
      </c>
      <c r="AC121" s="242">
        <v>95</v>
      </c>
      <c r="AD121" s="243">
        <v>0.05</v>
      </c>
      <c r="AE121" s="243">
        <f t="shared" si="91"/>
        <v>-1.6448536269514726</v>
      </c>
      <c r="AF121" s="243">
        <f t="shared" si="54"/>
        <v>0.96454946211097392</v>
      </c>
      <c r="AG121" s="245">
        <f t="shared" si="97"/>
        <v>96.454946211097393</v>
      </c>
    </row>
    <row r="122" spans="2:33" ht="17" hidden="1" thickBot="1" x14ac:dyDescent="0.25">
      <c r="B122" s="1415"/>
      <c r="C122" s="249">
        <f t="shared" si="92"/>
        <v>0.70299999999999996</v>
      </c>
      <c r="D122" s="249"/>
      <c r="E122" s="249"/>
      <c r="F122" s="247">
        <v>1</v>
      </c>
      <c r="G122" s="248">
        <v>99</v>
      </c>
      <c r="H122" s="249">
        <v>0.01</v>
      </c>
      <c r="I122" s="249">
        <f t="shared" si="89"/>
        <v>-2.3263478740408408</v>
      </c>
      <c r="J122" s="249" t="e">
        <f>1-_xlfn.NORM.DIST(I122,#REF!,F122,TRUE)</f>
        <v>#REF!</v>
      </c>
      <c r="K122" s="250" t="e">
        <f t="shared" si="93"/>
        <v>#REF!</v>
      </c>
      <c r="M122" s="1415"/>
      <c r="N122" s="249">
        <f t="shared" si="94"/>
        <v>0.84</v>
      </c>
      <c r="O122" s="246">
        <f t="shared" si="98"/>
        <v>4.0811378145153796</v>
      </c>
      <c r="P122" s="246">
        <f t="shared" si="99"/>
        <v>1.4063758256440677</v>
      </c>
      <c r="Q122" s="247">
        <v>1</v>
      </c>
      <c r="R122" s="248">
        <v>99</v>
      </c>
      <c r="S122" s="249">
        <v>0.01</v>
      </c>
      <c r="T122" s="249">
        <f t="shared" si="90"/>
        <v>-2.3263478740408408</v>
      </c>
      <c r="U122" s="249">
        <f t="shared" si="51"/>
        <v>0.99990528982888938</v>
      </c>
      <c r="V122" s="250">
        <f t="shared" si="95"/>
        <v>99.990528982888932</v>
      </c>
      <c r="X122" s="1415"/>
      <c r="Y122" s="249">
        <f t="shared" si="96"/>
        <v>0.88</v>
      </c>
      <c r="Z122" s="246">
        <f t="shared" si="52"/>
        <v>1.1749867920660904</v>
      </c>
      <c r="AA122" s="246">
        <f t="shared" si="100"/>
        <v>0.16125690673812737</v>
      </c>
      <c r="AB122" s="247">
        <v>1</v>
      </c>
      <c r="AC122" s="248">
        <v>99</v>
      </c>
      <c r="AD122" s="249">
        <v>0.01</v>
      </c>
      <c r="AE122" s="249">
        <f t="shared" si="91"/>
        <v>-2.3263478740408408</v>
      </c>
      <c r="AF122" s="249">
        <f t="shared" si="54"/>
        <v>0.99356967185609069</v>
      </c>
      <c r="AG122" s="250">
        <f t="shared" si="97"/>
        <v>99.356967185609065</v>
      </c>
    </row>
    <row r="125" spans="2:33" x14ac:dyDescent="0.2">
      <c r="B125" s="1"/>
    </row>
  </sheetData>
  <mergeCells count="30">
    <mergeCell ref="X110:X122"/>
    <mergeCell ref="X4:AG4"/>
    <mergeCell ref="X6:X18"/>
    <mergeCell ref="X19:X31"/>
    <mergeCell ref="X32:X44"/>
    <mergeCell ref="X45:X57"/>
    <mergeCell ref="X58:X70"/>
    <mergeCell ref="X71:X83"/>
    <mergeCell ref="X84:X96"/>
    <mergeCell ref="B58:B70"/>
    <mergeCell ref="X97:X109"/>
    <mergeCell ref="B71:B83"/>
    <mergeCell ref="M84:M96"/>
    <mergeCell ref="M97:M109"/>
    <mergeCell ref="M110:M122"/>
    <mergeCell ref="M4:V4"/>
    <mergeCell ref="B84:B96"/>
    <mergeCell ref="B97:B109"/>
    <mergeCell ref="B110:B122"/>
    <mergeCell ref="B4:K4"/>
    <mergeCell ref="M6:M18"/>
    <mergeCell ref="M19:M31"/>
    <mergeCell ref="M32:M44"/>
    <mergeCell ref="M45:M57"/>
    <mergeCell ref="M58:M70"/>
    <mergeCell ref="M71:M83"/>
    <mergeCell ref="B6:B18"/>
    <mergeCell ref="B19:B31"/>
    <mergeCell ref="B32:B44"/>
    <mergeCell ref="B45:B5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AA057-E28E-B549-8A73-F0DCFE60B768}">
  <sheetPr>
    <tabColor theme="2"/>
  </sheetPr>
  <dimension ref="B2:T141"/>
  <sheetViews>
    <sheetView topLeftCell="A58" zoomScale="90" zoomScaleNormal="90" workbookViewId="0">
      <selection activeCell="D7" sqref="D7"/>
    </sheetView>
  </sheetViews>
  <sheetFormatPr baseColWidth="10" defaultColWidth="11" defaultRowHeight="16" x14ac:dyDescent="0.2"/>
  <cols>
    <col min="1" max="3" width="3.6640625" customWidth="1"/>
    <col min="4" max="4" width="10.33203125" customWidth="1"/>
    <col min="5" max="5" width="10.5" customWidth="1"/>
    <col min="6" max="7" width="15.6640625" customWidth="1"/>
    <col min="8" max="8" width="8" customWidth="1"/>
    <col min="9" max="18" width="15.6640625" customWidth="1"/>
    <col min="19" max="19" width="35.5" customWidth="1"/>
    <col min="20" max="20" width="15.6640625" customWidth="1"/>
  </cols>
  <sheetData>
    <row r="2" spans="2:20" x14ac:dyDescent="0.2">
      <c r="B2" s="1" t="s">
        <v>116</v>
      </c>
    </row>
    <row r="3" spans="2:20" ht="17" thickBot="1" x14ac:dyDescent="0.25"/>
    <row r="4" spans="2:20" x14ac:dyDescent="0.2">
      <c r="D4" s="1459" t="s">
        <v>117</v>
      </c>
      <c r="E4" s="1460"/>
      <c r="F4" s="1460"/>
      <c r="G4" s="1460"/>
      <c r="H4" s="1461"/>
      <c r="I4" s="1442" t="s">
        <v>118</v>
      </c>
      <c r="J4" s="1443"/>
      <c r="K4" s="1443"/>
      <c r="L4" s="1443"/>
      <c r="M4" s="1444"/>
      <c r="N4" s="1445" t="s">
        <v>119</v>
      </c>
      <c r="O4" s="1446"/>
      <c r="P4" s="1446"/>
      <c r="Q4" s="1446"/>
      <c r="R4" s="1446"/>
      <c r="S4" s="309"/>
      <c r="T4" s="1420" t="s">
        <v>96</v>
      </c>
    </row>
    <row r="5" spans="2:20" x14ac:dyDescent="0.2">
      <c r="D5" s="1423" t="s">
        <v>5</v>
      </c>
      <c r="E5" s="1425" t="s">
        <v>24</v>
      </c>
      <c r="F5" s="270" t="s">
        <v>25</v>
      </c>
      <c r="G5" s="270" t="s">
        <v>25</v>
      </c>
      <c r="H5" s="1427" t="s">
        <v>26</v>
      </c>
      <c r="I5" s="271" t="s">
        <v>118</v>
      </c>
      <c r="J5" s="1429" t="s">
        <v>28</v>
      </c>
      <c r="K5" s="1429" t="s">
        <v>29</v>
      </c>
      <c r="L5" s="272" t="s">
        <v>120</v>
      </c>
      <c r="M5" s="273" t="s">
        <v>120</v>
      </c>
      <c r="N5" s="274" t="s">
        <v>119</v>
      </c>
      <c r="O5" s="1431" t="s">
        <v>28</v>
      </c>
      <c r="P5" s="1431" t="s">
        <v>29</v>
      </c>
      <c r="Q5" s="275" t="s">
        <v>121</v>
      </c>
      <c r="R5" s="276" t="s">
        <v>122</v>
      </c>
      <c r="S5" s="310"/>
      <c r="T5" s="1421"/>
    </row>
    <row r="6" spans="2:20" ht="17" thickBot="1" x14ac:dyDescent="0.25">
      <c r="D6" s="1424"/>
      <c r="E6" s="1426"/>
      <c r="F6" s="277" t="s">
        <v>123</v>
      </c>
      <c r="G6" s="277" t="s">
        <v>124</v>
      </c>
      <c r="H6" s="1428"/>
      <c r="I6" s="278" t="s">
        <v>125</v>
      </c>
      <c r="J6" s="1430"/>
      <c r="K6" s="1430"/>
      <c r="L6" s="279" t="s">
        <v>126</v>
      </c>
      <c r="M6" s="280" t="s">
        <v>127</v>
      </c>
      <c r="N6" s="281" t="s">
        <v>125</v>
      </c>
      <c r="O6" s="1432"/>
      <c r="P6" s="1432"/>
      <c r="Q6" s="282" t="s">
        <v>126</v>
      </c>
      <c r="R6" s="283" t="s">
        <v>127</v>
      </c>
      <c r="S6" s="315" t="s">
        <v>128</v>
      </c>
      <c r="T6" s="1422"/>
    </row>
    <row r="7" spans="2:20" ht="17" customHeight="1" thickBot="1" x14ac:dyDescent="0.25">
      <c r="B7" s="1436" t="s">
        <v>8</v>
      </c>
      <c r="C7" s="1457" t="s">
        <v>129</v>
      </c>
      <c r="D7" s="308">
        <f>'S4 - Summ PRS Characteristics'!F5</f>
        <v>0.64300000000000002</v>
      </c>
      <c r="E7" s="284">
        <f xml:space="preserve"> _xlfn.NORM.S.INV(D7)</f>
        <v>0.36648929388943369</v>
      </c>
      <c r="F7" s="285">
        <f>(E7*SQRT(2))</f>
        <v>0.51829412988297618</v>
      </c>
      <c r="G7" s="285">
        <v>0</v>
      </c>
      <c r="H7" s="286">
        <v>1</v>
      </c>
      <c r="I7" s="287">
        <v>1</v>
      </c>
      <c r="J7" s="285">
        <f t="shared" ref="J7:J86" si="0">1-I7/100</f>
        <v>0.99</v>
      </c>
      <c r="K7" s="285">
        <f>_xlfn.NORM.S.INV(J7)</f>
        <v>2.3263478740408408</v>
      </c>
      <c r="L7" s="285">
        <f t="shared" ref="L7:L86" si="1">1-_xlfn.NORM.S.DIST(K7, TRUE)</f>
        <v>1.0000000000000009E-2</v>
      </c>
      <c r="M7" s="286">
        <f>1-_xlfn.NORM.DIST(K7,F7,H7,TRUE)</f>
        <v>3.5299068180741799E-2</v>
      </c>
      <c r="N7" s="285">
        <f t="shared" ref="N7:N86" si="2">100-I7</f>
        <v>99</v>
      </c>
      <c r="O7" s="285">
        <f t="shared" ref="O7:O86" si="3">N7/100</f>
        <v>0.99</v>
      </c>
      <c r="P7" s="285">
        <f t="shared" ref="P7:P86" si="4">_xlfn.NORM.S.INV(O7)</f>
        <v>2.3263478740408408</v>
      </c>
      <c r="Q7" s="285">
        <f t="shared" ref="Q7:Q86" si="5">_xlfn.NORM.S.DIST(P7, TRUE)</f>
        <v>0.99</v>
      </c>
      <c r="R7" s="285">
        <f>_xlfn.NORM.DIST(P7,F7,H7, TRUE)</f>
        <v>0.9647009318192582</v>
      </c>
      <c r="S7" s="311" t="s">
        <v>49</v>
      </c>
      <c r="T7" s="491">
        <f t="shared" ref="T7:T86" si="6">(M7/L7)/(R7/Q7)</f>
        <v>3.6224778422295216</v>
      </c>
    </row>
    <row r="8" spans="2:20" ht="17" thickTop="1" x14ac:dyDescent="0.2">
      <c r="B8" s="1437"/>
      <c r="C8" s="1440"/>
      <c r="D8" s="289">
        <f>$D$7</f>
        <v>0.64300000000000002</v>
      </c>
      <c r="E8" s="290">
        <f t="shared" ref="E8:E87" si="7" xml:space="preserve"> _xlfn.NORM.S.INV(D8)</f>
        <v>0.36648929388943369</v>
      </c>
      <c r="F8" s="291">
        <f t="shared" ref="F8:F87" si="8">(E8*SQRT(2))</f>
        <v>0.51829412988297618</v>
      </c>
      <c r="G8" s="291">
        <v>0</v>
      </c>
      <c r="H8" s="292">
        <v>1</v>
      </c>
      <c r="I8" s="289">
        <v>5</v>
      </c>
      <c r="J8" s="291">
        <f t="shared" si="0"/>
        <v>0.95</v>
      </c>
      <c r="K8" s="291">
        <f t="shared" ref="K8:K86" si="9">_xlfn.NORM.S.INV(J8)</f>
        <v>1.6448536269514715</v>
      </c>
      <c r="L8" s="291">
        <f t="shared" si="1"/>
        <v>5.0000000000000155E-2</v>
      </c>
      <c r="M8" s="292">
        <f t="shared" ref="M8:M21" si="10">1-_xlfn.NORM.DIST(K8,F8,H8,TRUE)</f>
        <v>0.12996438594412008</v>
      </c>
      <c r="N8" s="291">
        <f t="shared" si="2"/>
        <v>95</v>
      </c>
      <c r="O8" s="291">
        <f t="shared" si="3"/>
        <v>0.95</v>
      </c>
      <c r="P8" s="291">
        <f t="shared" si="4"/>
        <v>1.6448536269514715</v>
      </c>
      <c r="Q8" s="291">
        <f t="shared" si="5"/>
        <v>0.94999999999999984</v>
      </c>
      <c r="R8" s="291">
        <f t="shared" ref="R8:R21" si="11">_xlfn.NORM.DIST(P8,F8,H8, TRUE)</f>
        <v>0.87003561405587992</v>
      </c>
      <c r="S8" s="312" t="s">
        <v>51</v>
      </c>
      <c r="T8" s="492">
        <f t="shared" si="6"/>
        <v>2.8381864983973815</v>
      </c>
    </row>
    <row r="9" spans="2:20" x14ac:dyDescent="0.2">
      <c r="B9" s="1437"/>
      <c r="C9" s="1440"/>
      <c r="D9" s="289">
        <f t="shared" ref="D9:D11" si="12">$D$7</f>
        <v>0.64300000000000002</v>
      </c>
      <c r="E9" s="290">
        <f t="shared" si="7"/>
        <v>0.36648929388943369</v>
      </c>
      <c r="F9" s="291">
        <f t="shared" si="8"/>
        <v>0.51829412988297618</v>
      </c>
      <c r="G9" s="291">
        <v>0</v>
      </c>
      <c r="H9" s="292">
        <v>1</v>
      </c>
      <c r="I9" s="289">
        <v>10</v>
      </c>
      <c r="J9" s="291">
        <f t="shared" si="0"/>
        <v>0.9</v>
      </c>
      <c r="K9" s="291">
        <f t="shared" si="9"/>
        <v>1.2815515655446006</v>
      </c>
      <c r="L9" s="291">
        <f t="shared" si="1"/>
        <v>9.9999999999999978E-2</v>
      </c>
      <c r="M9" s="292">
        <f t="shared" si="10"/>
        <v>0.22265494062393565</v>
      </c>
      <c r="N9" s="291">
        <f t="shared" si="2"/>
        <v>90</v>
      </c>
      <c r="O9" s="291">
        <f t="shared" si="3"/>
        <v>0.9</v>
      </c>
      <c r="P9" s="291">
        <f t="shared" si="4"/>
        <v>1.2815515655446006</v>
      </c>
      <c r="Q9" s="291">
        <f t="shared" si="5"/>
        <v>0.9</v>
      </c>
      <c r="R9" s="291">
        <f t="shared" si="11"/>
        <v>0.77734505937606435</v>
      </c>
      <c r="S9" s="312" t="s">
        <v>52</v>
      </c>
      <c r="T9" s="492">
        <f t="shared" si="6"/>
        <v>2.5778699452002005</v>
      </c>
    </row>
    <row r="10" spans="2:20" x14ac:dyDescent="0.2">
      <c r="B10" s="1437"/>
      <c r="C10" s="1440"/>
      <c r="D10" s="289">
        <f t="shared" si="12"/>
        <v>0.64300000000000002</v>
      </c>
      <c r="E10" s="290">
        <f t="shared" si="7"/>
        <v>0.36648929388943369</v>
      </c>
      <c r="F10" s="291">
        <f t="shared" si="8"/>
        <v>0.51829412988297618</v>
      </c>
      <c r="G10" s="291">
        <v>0</v>
      </c>
      <c r="H10" s="292">
        <v>1</v>
      </c>
      <c r="I10" s="289">
        <v>20</v>
      </c>
      <c r="J10" s="291">
        <f t="shared" si="0"/>
        <v>0.8</v>
      </c>
      <c r="K10" s="291">
        <f t="shared" si="9"/>
        <v>0.84162123357291474</v>
      </c>
      <c r="L10" s="291">
        <f t="shared" si="1"/>
        <v>0.19999999999999984</v>
      </c>
      <c r="M10" s="292">
        <f t="shared" si="10"/>
        <v>0.37322376481683772</v>
      </c>
      <c r="N10" s="291">
        <f t="shared" si="2"/>
        <v>80</v>
      </c>
      <c r="O10" s="291">
        <f t="shared" si="3"/>
        <v>0.8</v>
      </c>
      <c r="P10" s="291">
        <f t="shared" si="4"/>
        <v>0.84162123357291474</v>
      </c>
      <c r="Q10" s="291">
        <f t="shared" si="5"/>
        <v>0.80000000000000016</v>
      </c>
      <c r="R10" s="291">
        <f t="shared" si="11"/>
        <v>0.62677623518316228</v>
      </c>
      <c r="S10" s="312" t="s">
        <v>54</v>
      </c>
      <c r="T10" s="492">
        <f t="shared" si="6"/>
        <v>2.381862896941338</v>
      </c>
    </row>
    <row r="11" spans="2:20" x14ac:dyDescent="0.2">
      <c r="B11" s="1437"/>
      <c r="C11" s="1458"/>
      <c r="D11" s="289">
        <f t="shared" si="12"/>
        <v>0.64300000000000002</v>
      </c>
      <c r="E11" s="290">
        <f t="shared" si="7"/>
        <v>0.36648929388943369</v>
      </c>
      <c r="F11" s="291">
        <f t="shared" si="8"/>
        <v>0.51829412988297618</v>
      </c>
      <c r="G11" s="291">
        <v>0</v>
      </c>
      <c r="H11" s="292">
        <v>1</v>
      </c>
      <c r="I11" s="289">
        <v>50</v>
      </c>
      <c r="J11" s="291">
        <f t="shared" si="0"/>
        <v>0.5</v>
      </c>
      <c r="K11" s="291">
        <f t="shared" si="9"/>
        <v>0</v>
      </c>
      <c r="L11" s="291">
        <f t="shared" si="1"/>
        <v>0.5</v>
      </c>
      <c r="M11" s="292">
        <f t="shared" si="10"/>
        <v>0.69787346603125922</v>
      </c>
      <c r="N11" s="291">
        <f t="shared" si="2"/>
        <v>50</v>
      </c>
      <c r="O11" s="291">
        <f t="shared" si="3"/>
        <v>0.5</v>
      </c>
      <c r="P11" s="291">
        <f t="shared" si="4"/>
        <v>0</v>
      </c>
      <c r="Q11" s="291">
        <f t="shared" si="5"/>
        <v>0.5</v>
      </c>
      <c r="R11" s="291">
        <f t="shared" si="11"/>
        <v>0.30212653396874078</v>
      </c>
      <c r="S11" s="312" t="s">
        <v>321</v>
      </c>
      <c r="T11" s="492">
        <f t="shared" si="6"/>
        <v>2.3098714861749414</v>
      </c>
    </row>
    <row r="12" spans="2:20" ht="17" customHeight="1" thickBot="1" x14ac:dyDescent="0.25">
      <c r="B12" s="1437"/>
      <c r="C12" s="1433" t="s">
        <v>130</v>
      </c>
      <c r="D12" s="487">
        <f>'S4 - Summ PRS Characteristics'!F13</f>
        <v>0.68799999999999994</v>
      </c>
      <c r="E12" s="327">
        <f t="shared" si="7"/>
        <v>0.49018923171520928</v>
      </c>
      <c r="F12" s="328">
        <f t="shared" si="8"/>
        <v>0.69323225962089674</v>
      </c>
      <c r="G12" s="328">
        <v>0</v>
      </c>
      <c r="H12" s="329">
        <v>1</v>
      </c>
      <c r="I12" s="330">
        <v>1</v>
      </c>
      <c r="J12" s="328">
        <f t="shared" si="0"/>
        <v>0.99</v>
      </c>
      <c r="K12" s="328">
        <f t="shared" si="9"/>
        <v>2.3263478740408408</v>
      </c>
      <c r="L12" s="328">
        <f t="shared" si="1"/>
        <v>1.0000000000000009E-2</v>
      </c>
      <c r="M12" s="329">
        <f>1-_xlfn.NORM.DIST(K12,F12,H12,TRUE)</f>
        <v>5.1222341600307475E-2</v>
      </c>
      <c r="N12" s="328">
        <f t="shared" si="2"/>
        <v>99</v>
      </c>
      <c r="O12" s="328">
        <f t="shared" si="3"/>
        <v>0.99</v>
      </c>
      <c r="P12" s="328">
        <f t="shared" si="4"/>
        <v>2.3263478740408408</v>
      </c>
      <c r="Q12" s="328">
        <f t="shared" si="5"/>
        <v>0.99</v>
      </c>
      <c r="R12" s="328">
        <f>_xlfn.NORM.DIST(P12,F12,H12, TRUE)</f>
        <v>0.94877765839969253</v>
      </c>
      <c r="S12" s="331" t="s">
        <v>55</v>
      </c>
      <c r="T12" s="485">
        <f t="shared" si="6"/>
        <v>5.3447841794501505</v>
      </c>
    </row>
    <row r="13" spans="2:20" ht="17" thickTop="1" x14ac:dyDescent="0.2">
      <c r="B13" s="1437"/>
      <c r="C13" s="1434"/>
      <c r="D13" s="143">
        <f>$D$12</f>
        <v>0.68799999999999994</v>
      </c>
      <c r="E13" s="9">
        <f t="shared" si="7"/>
        <v>0.49018923171520928</v>
      </c>
      <c r="F13">
        <f t="shared" si="8"/>
        <v>0.69323225962089674</v>
      </c>
      <c r="G13">
        <v>0</v>
      </c>
      <c r="H13" s="144">
        <v>1</v>
      </c>
      <c r="I13" s="143">
        <v>5</v>
      </c>
      <c r="J13">
        <f t="shared" si="0"/>
        <v>0.95</v>
      </c>
      <c r="K13">
        <f t="shared" si="9"/>
        <v>1.6448536269514715</v>
      </c>
      <c r="L13">
        <f t="shared" si="1"/>
        <v>5.0000000000000155E-2</v>
      </c>
      <c r="M13" s="144">
        <f t="shared" si="10"/>
        <v>0.17064452051406387</v>
      </c>
      <c r="N13">
        <f t="shared" si="2"/>
        <v>95</v>
      </c>
      <c r="O13">
        <f t="shared" si="3"/>
        <v>0.95</v>
      </c>
      <c r="P13">
        <f t="shared" si="4"/>
        <v>1.6448536269514715</v>
      </c>
      <c r="Q13">
        <f t="shared" si="5"/>
        <v>0.94999999999999984</v>
      </c>
      <c r="R13">
        <f t="shared" si="11"/>
        <v>0.82935547948593613</v>
      </c>
      <c r="S13" s="29" t="s">
        <v>56</v>
      </c>
      <c r="T13" s="8">
        <f t="shared" si="6"/>
        <v>3.9093560842895276</v>
      </c>
    </row>
    <row r="14" spans="2:20" x14ac:dyDescent="0.2">
      <c r="B14" s="1437"/>
      <c r="C14" s="1434"/>
      <c r="D14" s="143">
        <f t="shared" ref="D14:D16" si="13">$D$12</f>
        <v>0.68799999999999994</v>
      </c>
      <c r="E14" s="9">
        <f t="shared" si="7"/>
        <v>0.49018923171520928</v>
      </c>
      <c r="F14">
        <f t="shared" si="8"/>
        <v>0.69323225962089674</v>
      </c>
      <c r="G14">
        <v>0</v>
      </c>
      <c r="H14" s="144">
        <v>1</v>
      </c>
      <c r="I14" s="143">
        <v>10</v>
      </c>
      <c r="J14">
        <f t="shared" si="0"/>
        <v>0.9</v>
      </c>
      <c r="K14">
        <f t="shared" si="9"/>
        <v>1.2815515655446006</v>
      </c>
      <c r="L14">
        <f t="shared" si="1"/>
        <v>9.9999999999999978E-2</v>
      </c>
      <c r="M14" s="144">
        <f t="shared" si="10"/>
        <v>0.27815899475091144</v>
      </c>
      <c r="N14">
        <f t="shared" si="2"/>
        <v>90</v>
      </c>
      <c r="O14">
        <f t="shared" si="3"/>
        <v>0.9</v>
      </c>
      <c r="P14">
        <f t="shared" si="4"/>
        <v>1.2815515655446006</v>
      </c>
      <c r="Q14">
        <f t="shared" si="5"/>
        <v>0.9</v>
      </c>
      <c r="R14">
        <f t="shared" si="11"/>
        <v>0.72184100524908856</v>
      </c>
      <c r="S14" s="29" t="s">
        <v>57</v>
      </c>
      <c r="T14" s="8">
        <f t="shared" si="6"/>
        <v>3.4681196199076201</v>
      </c>
    </row>
    <row r="15" spans="2:20" x14ac:dyDescent="0.2">
      <c r="B15" s="1437"/>
      <c r="C15" s="1434"/>
      <c r="D15" s="143">
        <f t="shared" si="13"/>
        <v>0.68799999999999994</v>
      </c>
      <c r="E15" s="9">
        <f t="shared" si="7"/>
        <v>0.49018923171520928</v>
      </c>
      <c r="F15">
        <f t="shared" si="8"/>
        <v>0.69323225962089674</v>
      </c>
      <c r="G15">
        <v>0</v>
      </c>
      <c r="H15" s="144">
        <v>1</v>
      </c>
      <c r="I15" s="143">
        <v>20</v>
      </c>
      <c r="J15">
        <f t="shared" si="0"/>
        <v>0.8</v>
      </c>
      <c r="K15">
        <f t="shared" si="9"/>
        <v>0.84162123357291474</v>
      </c>
      <c r="L15">
        <f t="shared" si="1"/>
        <v>0.19999999999999984</v>
      </c>
      <c r="M15" s="144">
        <f t="shared" si="10"/>
        <v>0.44101790062599278</v>
      </c>
      <c r="N15">
        <f t="shared" si="2"/>
        <v>80</v>
      </c>
      <c r="O15">
        <f t="shared" si="3"/>
        <v>0.8</v>
      </c>
      <c r="P15">
        <f t="shared" si="4"/>
        <v>0.84162123357291474</v>
      </c>
      <c r="Q15">
        <f t="shared" si="5"/>
        <v>0.80000000000000016</v>
      </c>
      <c r="R15">
        <f t="shared" si="11"/>
        <v>0.55898209937400722</v>
      </c>
      <c r="S15" s="29" t="s">
        <v>58</v>
      </c>
      <c r="T15" s="8">
        <f t="shared" si="6"/>
        <v>3.1558642118943006</v>
      </c>
    </row>
    <row r="16" spans="2:20" x14ac:dyDescent="0.2">
      <c r="B16" s="1437"/>
      <c r="C16" s="1463"/>
      <c r="D16" s="320">
        <f t="shared" si="13"/>
        <v>0.68799999999999994</v>
      </c>
      <c r="E16" s="321">
        <f t="shared" si="7"/>
        <v>0.49018923171520928</v>
      </c>
      <c r="F16" s="322">
        <f t="shared" si="8"/>
        <v>0.69323225962089674</v>
      </c>
      <c r="G16" s="322">
        <v>0</v>
      </c>
      <c r="H16" s="323">
        <v>1</v>
      </c>
      <c r="I16" s="320">
        <v>50</v>
      </c>
      <c r="J16" s="322">
        <f t="shared" si="0"/>
        <v>0.5</v>
      </c>
      <c r="K16" s="322">
        <f t="shared" si="9"/>
        <v>0</v>
      </c>
      <c r="L16" s="322">
        <f t="shared" si="1"/>
        <v>0.5</v>
      </c>
      <c r="M16" s="323">
        <f t="shared" si="10"/>
        <v>0.75591809681581101</v>
      </c>
      <c r="N16" s="322">
        <f t="shared" si="2"/>
        <v>50</v>
      </c>
      <c r="O16" s="322">
        <f t="shared" si="3"/>
        <v>0.5</v>
      </c>
      <c r="P16" s="322">
        <f t="shared" si="4"/>
        <v>0</v>
      </c>
      <c r="Q16" s="322">
        <f t="shared" si="5"/>
        <v>0.5</v>
      </c>
      <c r="R16" s="322">
        <f t="shared" si="11"/>
        <v>0.24408190318418893</v>
      </c>
      <c r="S16" s="324" t="s">
        <v>322</v>
      </c>
      <c r="T16" s="493">
        <f t="shared" si="6"/>
        <v>3.0969854256068325</v>
      </c>
    </row>
    <row r="17" spans="2:20" ht="17" thickBot="1" x14ac:dyDescent="0.25">
      <c r="B17" s="1437"/>
      <c r="C17" s="1462" t="s">
        <v>131</v>
      </c>
      <c r="D17" s="319">
        <f>'S4 - Summ PRS Characteristics'!F21</f>
        <v>0.71</v>
      </c>
      <c r="E17" s="290">
        <f t="shared" si="7"/>
        <v>0.5533847195556727</v>
      </c>
      <c r="F17" s="291">
        <f t="shared" si="8"/>
        <v>0.78260417560566409</v>
      </c>
      <c r="G17" s="291">
        <v>0</v>
      </c>
      <c r="H17" s="292">
        <v>1</v>
      </c>
      <c r="I17" s="289">
        <v>1</v>
      </c>
      <c r="J17" s="291">
        <f t="shared" si="0"/>
        <v>0.99</v>
      </c>
      <c r="K17" s="291">
        <f t="shared" si="9"/>
        <v>2.3263478740408408</v>
      </c>
      <c r="L17" s="291">
        <f t="shared" si="1"/>
        <v>1.0000000000000009E-2</v>
      </c>
      <c r="M17" s="292">
        <f t="shared" si="10"/>
        <v>6.1325217777951857E-2</v>
      </c>
      <c r="N17" s="291">
        <f t="shared" si="2"/>
        <v>99</v>
      </c>
      <c r="O17" s="291">
        <f t="shared" si="3"/>
        <v>0.99</v>
      </c>
      <c r="P17" s="291">
        <f t="shared" si="4"/>
        <v>2.3263478740408408</v>
      </c>
      <c r="Q17" s="291">
        <f t="shared" si="5"/>
        <v>0.99</v>
      </c>
      <c r="R17" s="291">
        <f t="shared" si="11"/>
        <v>0.93867478222204814</v>
      </c>
      <c r="S17" s="316" t="s">
        <v>59</v>
      </c>
      <c r="T17" s="492">
        <f t="shared" si="6"/>
        <v>6.4678381426689446</v>
      </c>
    </row>
    <row r="18" spans="2:20" ht="17" thickTop="1" x14ac:dyDescent="0.2">
      <c r="B18" s="1437"/>
      <c r="C18" s="1462"/>
      <c r="D18" s="289">
        <f>$D$17</f>
        <v>0.71</v>
      </c>
      <c r="E18" s="290">
        <f t="shared" si="7"/>
        <v>0.5533847195556727</v>
      </c>
      <c r="F18" s="291">
        <f t="shared" si="8"/>
        <v>0.78260417560566409</v>
      </c>
      <c r="G18" s="291">
        <v>0</v>
      </c>
      <c r="H18" s="292">
        <v>1</v>
      </c>
      <c r="I18" s="289">
        <v>5</v>
      </c>
      <c r="J18" s="291">
        <f t="shared" si="0"/>
        <v>0.95</v>
      </c>
      <c r="K18" s="291">
        <f t="shared" si="9"/>
        <v>1.6448536269514715</v>
      </c>
      <c r="L18" s="291">
        <f t="shared" si="1"/>
        <v>5.0000000000000155E-2</v>
      </c>
      <c r="M18" s="292">
        <f t="shared" si="10"/>
        <v>0.19427513124430007</v>
      </c>
      <c r="N18" s="291">
        <f t="shared" si="2"/>
        <v>95</v>
      </c>
      <c r="O18" s="291">
        <f t="shared" si="3"/>
        <v>0.95</v>
      </c>
      <c r="P18" s="291">
        <f t="shared" si="4"/>
        <v>1.6448536269514715</v>
      </c>
      <c r="Q18" s="291">
        <f t="shared" si="5"/>
        <v>0.94999999999999984</v>
      </c>
      <c r="R18" s="291">
        <f t="shared" si="11"/>
        <v>0.80572486875569993</v>
      </c>
      <c r="S18" s="316" t="s">
        <v>60</v>
      </c>
      <c r="T18" s="492">
        <f t="shared" si="6"/>
        <v>4.5812505444223657</v>
      </c>
    </row>
    <row r="19" spans="2:20" x14ac:dyDescent="0.2">
      <c r="B19" s="1437"/>
      <c r="C19" s="1462"/>
      <c r="D19" s="289">
        <f t="shared" ref="D19:D21" si="14">$D$17</f>
        <v>0.71</v>
      </c>
      <c r="E19" s="290">
        <f t="shared" si="7"/>
        <v>0.5533847195556727</v>
      </c>
      <c r="F19" s="291">
        <f t="shared" si="8"/>
        <v>0.78260417560566409</v>
      </c>
      <c r="G19" s="291">
        <v>0</v>
      </c>
      <c r="H19" s="292">
        <v>1</v>
      </c>
      <c r="I19" s="289">
        <v>10</v>
      </c>
      <c r="J19" s="291">
        <f t="shared" si="0"/>
        <v>0.9</v>
      </c>
      <c r="K19" s="291">
        <f t="shared" si="9"/>
        <v>1.2815515655446006</v>
      </c>
      <c r="L19" s="291">
        <f t="shared" si="1"/>
        <v>9.9999999999999978E-2</v>
      </c>
      <c r="M19" s="292">
        <f t="shared" si="10"/>
        <v>0.30890822370077409</v>
      </c>
      <c r="N19" s="291">
        <f t="shared" si="2"/>
        <v>90</v>
      </c>
      <c r="O19" s="291">
        <f t="shared" si="3"/>
        <v>0.9</v>
      </c>
      <c r="P19" s="291">
        <f t="shared" si="4"/>
        <v>1.2815515655446006</v>
      </c>
      <c r="Q19" s="291">
        <f t="shared" si="5"/>
        <v>0.9</v>
      </c>
      <c r="R19" s="291">
        <f t="shared" si="11"/>
        <v>0.69109177629922591</v>
      </c>
      <c r="S19" s="316" t="s">
        <v>61</v>
      </c>
      <c r="T19" s="492">
        <f t="shared" si="6"/>
        <v>4.0228723718790427</v>
      </c>
    </row>
    <row r="20" spans="2:20" x14ac:dyDescent="0.2">
      <c r="B20" s="1437"/>
      <c r="C20" s="1462"/>
      <c r="D20" s="289">
        <f t="shared" si="14"/>
        <v>0.71</v>
      </c>
      <c r="E20" s="290">
        <f t="shared" si="7"/>
        <v>0.5533847195556727</v>
      </c>
      <c r="F20" s="291">
        <f t="shared" si="8"/>
        <v>0.78260417560566409</v>
      </c>
      <c r="G20" s="291">
        <v>0</v>
      </c>
      <c r="H20" s="292">
        <v>1</v>
      </c>
      <c r="I20" s="289">
        <v>20</v>
      </c>
      <c r="J20" s="291">
        <f t="shared" si="0"/>
        <v>0.8</v>
      </c>
      <c r="K20" s="291">
        <f t="shared" si="9"/>
        <v>0.84162123357291474</v>
      </c>
      <c r="L20" s="291">
        <f t="shared" si="1"/>
        <v>0.19999999999999984</v>
      </c>
      <c r="M20" s="292">
        <f t="shared" si="10"/>
        <v>0.47646926074981577</v>
      </c>
      <c r="N20" s="291">
        <f t="shared" si="2"/>
        <v>80</v>
      </c>
      <c r="O20" s="291">
        <f t="shared" si="3"/>
        <v>0.8</v>
      </c>
      <c r="P20" s="291">
        <f t="shared" si="4"/>
        <v>0.84162123357291474</v>
      </c>
      <c r="Q20" s="291">
        <f t="shared" si="5"/>
        <v>0.80000000000000016</v>
      </c>
      <c r="R20" s="291">
        <f t="shared" si="11"/>
        <v>0.52353073925018423</v>
      </c>
      <c r="S20" s="316" t="s">
        <v>62</v>
      </c>
      <c r="T20" s="492">
        <f t="shared" si="6"/>
        <v>3.6404300647731147</v>
      </c>
    </row>
    <row r="21" spans="2:20" ht="17" thickBot="1" x14ac:dyDescent="0.25">
      <c r="B21" s="1438"/>
      <c r="C21" s="489"/>
      <c r="D21" s="294">
        <f t="shared" si="14"/>
        <v>0.71</v>
      </c>
      <c r="E21" s="295">
        <f t="shared" si="7"/>
        <v>0.5533847195556727</v>
      </c>
      <c r="F21" s="296">
        <f t="shared" si="8"/>
        <v>0.78260417560566409</v>
      </c>
      <c r="G21" s="296">
        <v>0</v>
      </c>
      <c r="H21" s="297">
        <v>1</v>
      </c>
      <c r="I21" s="294">
        <v>50</v>
      </c>
      <c r="J21" s="296">
        <f t="shared" si="0"/>
        <v>0.5</v>
      </c>
      <c r="K21" s="296">
        <f t="shared" si="9"/>
        <v>0</v>
      </c>
      <c r="L21" s="296">
        <f t="shared" si="1"/>
        <v>0.5</v>
      </c>
      <c r="M21" s="297">
        <f t="shared" si="10"/>
        <v>0.78307020565528895</v>
      </c>
      <c r="N21" s="296">
        <f t="shared" si="2"/>
        <v>50</v>
      </c>
      <c r="O21" s="296">
        <f t="shared" si="3"/>
        <v>0.5</v>
      </c>
      <c r="P21" s="296">
        <f t="shared" si="4"/>
        <v>0</v>
      </c>
      <c r="Q21" s="296">
        <f t="shared" si="5"/>
        <v>0.5</v>
      </c>
      <c r="R21" s="296">
        <f t="shared" si="11"/>
        <v>0.2169297943447111</v>
      </c>
      <c r="S21" s="317" t="s">
        <v>323</v>
      </c>
      <c r="T21" s="490">
        <f t="shared" si="6"/>
        <v>3.6097863275108977</v>
      </c>
    </row>
    <row r="22" spans="2:20" ht="17" customHeight="1" thickBot="1" x14ac:dyDescent="0.25">
      <c r="B22" s="1449" t="s">
        <v>10</v>
      </c>
      <c r="C22" s="1447" t="s">
        <v>129</v>
      </c>
      <c r="D22" s="304">
        <f>'S4 - Summ PRS Characteristics'!F6</f>
        <v>0.69899999999999995</v>
      </c>
      <c r="E22" s="109">
        <f t="shared" si="7"/>
        <v>0.52152657182893203</v>
      </c>
      <c r="F22" s="142">
        <f t="shared" si="8"/>
        <v>0.7375499510184218</v>
      </c>
      <c r="G22" s="142">
        <v>0</v>
      </c>
      <c r="H22" s="142">
        <v>1</v>
      </c>
      <c r="I22" s="141">
        <v>1</v>
      </c>
      <c r="J22" s="142">
        <f t="shared" si="0"/>
        <v>0.99</v>
      </c>
      <c r="K22" s="142">
        <f t="shared" si="9"/>
        <v>2.3263478740408408</v>
      </c>
      <c r="L22" s="142">
        <f t="shared" si="1"/>
        <v>1.0000000000000009E-2</v>
      </c>
      <c r="M22" s="299">
        <f>1-_xlfn.NORM.DIST(K22,F22,H22,TRUE)</f>
        <v>5.6053011172116363E-2</v>
      </c>
      <c r="N22" s="142">
        <f t="shared" si="2"/>
        <v>99</v>
      </c>
      <c r="O22" s="142">
        <f t="shared" si="3"/>
        <v>0.99</v>
      </c>
      <c r="P22" s="142">
        <f t="shared" si="4"/>
        <v>2.3263478740408408</v>
      </c>
      <c r="Q22" s="142">
        <f t="shared" si="5"/>
        <v>0.99</v>
      </c>
      <c r="R22" s="142">
        <f>_xlfn.NORM.DIST(P22,F22,H22, TRUE)</f>
        <v>0.94394698882788364</v>
      </c>
      <c r="S22" s="28" t="s">
        <v>49</v>
      </c>
      <c r="T22" s="108">
        <f t="shared" si="6"/>
        <v>5.8787709179835606</v>
      </c>
    </row>
    <row r="23" spans="2:20" ht="17" thickTop="1" x14ac:dyDescent="0.2">
      <c r="B23" s="1450"/>
      <c r="C23" s="1448"/>
      <c r="D23" s="31">
        <f>$D$22</f>
        <v>0.69899999999999995</v>
      </c>
      <c r="E23" s="9">
        <f t="shared" si="7"/>
        <v>0.52152657182893203</v>
      </c>
      <c r="F23">
        <f t="shared" si="8"/>
        <v>0.7375499510184218</v>
      </c>
      <c r="G23">
        <v>0</v>
      </c>
      <c r="H23">
        <v>1</v>
      </c>
      <c r="I23" s="143">
        <v>5</v>
      </c>
      <c r="J23">
        <f t="shared" si="0"/>
        <v>0.95</v>
      </c>
      <c r="K23">
        <f t="shared" si="9"/>
        <v>1.6448536269514715</v>
      </c>
      <c r="L23">
        <f t="shared" si="1"/>
        <v>5.0000000000000155E-2</v>
      </c>
      <c r="M23" s="144">
        <f t="shared" ref="M23:M26" si="15">1-_xlfn.NORM.DIST(K23,F23,H23,TRUE)</f>
        <v>0.18212311541677906</v>
      </c>
      <c r="N23">
        <f t="shared" si="2"/>
        <v>95</v>
      </c>
      <c r="O23">
        <f t="shared" si="3"/>
        <v>0.95</v>
      </c>
      <c r="P23">
        <f t="shared" si="4"/>
        <v>1.6448536269514715</v>
      </c>
      <c r="Q23">
        <f t="shared" si="5"/>
        <v>0.94999999999999984</v>
      </c>
      <c r="R23">
        <f t="shared" ref="R23:R36" si="16">_xlfn.NORM.DIST(P23,F23,H23, TRUE)</f>
        <v>0.81787688458322094</v>
      </c>
      <c r="S23" s="29" t="s">
        <v>51</v>
      </c>
      <c r="T23" s="8">
        <f t="shared" si="6"/>
        <v>4.2308802927987541</v>
      </c>
    </row>
    <row r="24" spans="2:20" x14ac:dyDescent="0.2">
      <c r="B24" s="1450"/>
      <c r="C24" s="1448"/>
      <c r="D24" s="31">
        <f t="shared" ref="D24:D26" si="17">$D$22</f>
        <v>0.69899999999999995</v>
      </c>
      <c r="E24" s="9">
        <f t="shared" si="7"/>
        <v>0.52152657182893203</v>
      </c>
      <c r="F24">
        <f t="shared" si="8"/>
        <v>0.7375499510184218</v>
      </c>
      <c r="G24">
        <v>0</v>
      </c>
      <c r="H24">
        <v>1</v>
      </c>
      <c r="I24" s="143">
        <v>10</v>
      </c>
      <c r="J24">
        <f t="shared" si="0"/>
        <v>0.9</v>
      </c>
      <c r="K24">
        <f t="shared" si="9"/>
        <v>1.2815515655446006</v>
      </c>
      <c r="L24">
        <f t="shared" si="1"/>
        <v>9.9999999999999978E-2</v>
      </c>
      <c r="M24" s="144">
        <f t="shared" si="15"/>
        <v>0.29322018091207069</v>
      </c>
      <c r="N24">
        <f t="shared" si="2"/>
        <v>90</v>
      </c>
      <c r="O24">
        <f t="shared" si="3"/>
        <v>0.9</v>
      </c>
      <c r="P24">
        <f t="shared" si="4"/>
        <v>1.2815515655446006</v>
      </c>
      <c r="Q24">
        <f t="shared" si="5"/>
        <v>0.9</v>
      </c>
      <c r="R24">
        <f t="shared" si="16"/>
        <v>0.70677981908792931</v>
      </c>
      <c r="S24" s="29" t="s">
        <v>52</v>
      </c>
      <c r="T24" s="8">
        <f t="shared" si="6"/>
        <v>3.7338101017289027</v>
      </c>
    </row>
    <row r="25" spans="2:20" x14ac:dyDescent="0.2">
      <c r="B25" s="1450"/>
      <c r="C25" s="1448"/>
      <c r="D25" s="31">
        <f t="shared" si="17"/>
        <v>0.69899999999999995</v>
      </c>
      <c r="E25" s="9">
        <f t="shared" si="7"/>
        <v>0.52152657182893203</v>
      </c>
      <c r="F25">
        <f t="shared" si="8"/>
        <v>0.7375499510184218</v>
      </c>
      <c r="G25">
        <v>0</v>
      </c>
      <c r="H25">
        <v>1</v>
      </c>
      <c r="I25" s="143">
        <v>20</v>
      </c>
      <c r="J25">
        <f t="shared" si="0"/>
        <v>0.8</v>
      </c>
      <c r="K25">
        <f t="shared" si="9"/>
        <v>0.84162123357291474</v>
      </c>
      <c r="L25">
        <f t="shared" si="1"/>
        <v>0.19999999999999984</v>
      </c>
      <c r="M25" s="144">
        <f t="shared" si="15"/>
        <v>0.45855639014124017</v>
      </c>
      <c r="N25">
        <f t="shared" si="2"/>
        <v>80</v>
      </c>
      <c r="O25">
        <f t="shared" si="3"/>
        <v>0.8</v>
      </c>
      <c r="P25">
        <f t="shared" si="4"/>
        <v>0.84162123357291474</v>
      </c>
      <c r="Q25">
        <f t="shared" si="5"/>
        <v>0.80000000000000016</v>
      </c>
      <c r="R25">
        <f t="shared" si="16"/>
        <v>0.54144360985875983</v>
      </c>
      <c r="S25" s="29" t="s">
        <v>54</v>
      </c>
      <c r="T25" s="8">
        <f t="shared" si="6"/>
        <v>3.3876576012106523</v>
      </c>
    </row>
    <row r="26" spans="2:20" ht="17" thickBot="1" x14ac:dyDescent="0.25">
      <c r="B26" s="1450"/>
      <c r="C26" s="1448"/>
      <c r="D26" s="31">
        <f t="shared" si="17"/>
        <v>0.69899999999999995</v>
      </c>
      <c r="E26" s="9">
        <f t="shared" si="7"/>
        <v>0.52152657182893203</v>
      </c>
      <c r="F26">
        <f t="shared" si="8"/>
        <v>0.7375499510184218</v>
      </c>
      <c r="G26">
        <v>0</v>
      </c>
      <c r="H26">
        <v>1</v>
      </c>
      <c r="I26" s="320">
        <v>50</v>
      </c>
      <c r="J26" s="322">
        <f t="shared" si="0"/>
        <v>0.5</v>
      </c>
      <c r="K26" s="322">
        <f t="shared" si="9"/>
        <v>0</v>
      </c>
      <c r="L26" s="322">
        <f t="shared" si="1"/>
        <v>0.5</v>
      </c>
      <c r="M26" s="323">
        <f t="shared" si="15"/>
        <v>0.76960601073499069</v>
      </c>
      <c r="N26" s="322">
        <f t="shared" si="2"/>
        <v>50</v>
      </c>
      <c r="O26" s="322">
        <f t="shared" si="3"/>
        <v>0.5</v>
      </c>
      <c r="P26" s="322">
        <f t="shared" si="4"/>
        <v>0</v>
      </c>
      <c r="Q26" s="322">
        <f t="shared" si="5"/>
        <v>0.5</v>
      </c>
      <c r="R26" s="322">
        <f t="shared" si="16"/>
        <v>0.23039398926500929</v>
      </c>
      <c r="S26" s="324" t="s">
        <v>321</v>
      </c>
      <c r="T26" s="493">
        <f t="shared" si="6"/>
        <v>3.3403910110248409</v>
      </c>
    </row>
    <row r="27" spans="2:20" ht="16" customHeight="1" thickBot="1" x14ac:dyDescent="0.25">
      <c r="B27" s="1450"/>
      <c r="C27" s="1452" t="s">
        <v>130</v>
      </c>
      <c r="D27" s="488">
        <f>'S4 - Summ PRS Characteristics'!F14</f>
        <v>0.71499999999999997</v>
      </c>
      <c r="E27" s="333">
        <f t="shared" si="7"/>
        <v>0.56805149833898272</v>
      </c>
      <c r="F27" s="334">
        <f t="shared" si="8"/>
        <v>0.80334613307734704</v>
      </c>
      <c r="G27" s="334">
        <v>0</v>
      </c>
      <c r="H27" s="335">
        <v>1</v>
      </c>
      <c r="I27" s="336">
        <v>1</v>
      </c>
      <c r="J27" s="334">
        <f t="shared" si="0"/>
        <v>0.99</v>
      </c>
      <c r="K27" s="334">
        <f t="shared" si="9"/>
        <v>2.3263478740408408</v>
      </c>
      <c r="L27" s="334">
        <f t="shared" si="1"/>
        <v>1.0000000000000009E-2</v>
      </c>
      <c r="M27" s="335">
        <f>1-_xlfn.NORM.DIST(K27,F27,H27,TRUE)</f>
        <v>6.3879134932299908E-2</v>
      </c>
      <c r="N27" s="334">
        <f t="shared" si="2"/>
        <v>99</v>
      </c>
      <c r="O27" s="334">
        <f t="shared" si="3"/>
        <v>0.99</v>
      </c>
      <c r="P27" s="334">
        <f t="shared" si="4"/>
        <v>2.3263478740408408</v>
      </c>
      <c r="Q27" s="334">
        <f t="shared" si="5"/>
        <v>0.99</v>
      </c>
      <c r="R27" s="334">
        <f t="shared" si="16"/>
        <v>0.93612086506770009</v>
      </c>
      <c r="S27" s="337" t="s">
        <v>55</v>
      </c>
      <c r="T27" s="494">
        <f t="shared" si="6"/>
        <v>6.7555746210617063</v>
      </c>
    </row>
    <row r="28" spans="2:20" ht="17" thickTop="1" x14ac:dyDescent="0.2">
      <c r="B28" s="1450"/>
      <c r="C28" s="1453"/>
      <c r="D28" s="305">
        <f>$D$27</f>
        <v>0.71499999999999997</v>
      </c>
      <c r="E28" s="486">
        <f t="shared" si="7"/>
        <v>0.56805149833898272</v>
      </c>
      <c r="F28" s="339">
        <f t="shared" si="8"/>
        <v>0.80334613307734704</v>
      </c>
      <c r="G28" s="339">
        <v>0</v>
      </c>
      <c r="H28" s="306">
        <v>1</v>
      </c>
      <c r="I28" s="305">
        <v>5</v>
      </c>
      <c r="J28" s="339">
        <f t="shared" si="0"/>
        <v>0.95</v>
      </c>
      <c r="K28" s="339">
        <f t="shared" si="9"/>
        <v>1.6448536269514715</v>
      </c>
      <c r="L28" s="339">
        <f t="shared" si="1"/>
        <v>5.0000000000000155E-2</v>
      </c>
      <c r="M28" s="306">
        <f t="shared" ref="M28:M35" si="18">1-_xlfn.NORM.DIST(K28,F28,H28,TRUE)</f>
        <v>0.20003184430856691</v>
      </c>
      <c r="N28" s="339">
        <f t="shared" si="2"/>
        <v>95</v>
      </c>
      <c r="O28" s="339">
        <f t="shared" si="3"/>
        <v>0.95</v>
      </c>
      <c r="P28" s="339">
        <f t="shared" si="4"/>
        <v>1.6448536269514715</v>
      </c>
      <c r="Q28" s="339">
        <f t="shared" si="5"/>
        <v>0.94999999999999984</v>
      </c>
      <c r="R28" s="339">
        <f t="shared" si="16"/>
        <v>0.79996815569143309</v>
      </c>
      <c r="S28" s="314" t="s">
        <v>56</v>
      </c>
      <c r="T28" s="495">
        <f t="shared" si="6"/>
        <v>4.7509454155431952</v>
      </c>
    </row>
    <row r="29" spans="2:20" x14ac:dyDescent="0.2">
      <c r="B29" s="1450"/>
      <c r="C29" s="1453"/>
      <c r="D29" s="305">
        <f t="shared" ref="D29:D31" si="19">$D$27</f>
        <v>0.71499999999999997</v>
      </c>
      <c r="E29" s="486">
        <f t="shared" si="7"/>
        <v>0.56805149833898272</v>
      </c>
      <c r="F29" s="339">
        <f t="shared" si="8"/>
        <v>0.80334613307734704</v>
      </c>
      <c r="G29" s="339">
        <v>0</v>
      </c>
      <c r="H29" s="306">
        <v>1</v>
      </c>
      <c r="I29" s="305">
        <v>10</v>
      </c>
      <c r="J29" s="339">
        <f t="shared" si="0"/>
        <v>0.9</v>
      </c>
      <c r="K29" s="339">
        <f t="shared" si="9"/>
        <v>1.2815515655446006</v>
      </c>
      <c r="L29" s="339">
        <f t="shared" si="1"/>
        <v>9.9999999999999978E-2</v>
      </c>
      <c r="M29" s="306">
        <f t="shared" si="18"/>
        <v>0.31625199818082117</v>
      </c>
      <c r="N29" s="339">
        <f t="shared" si="2"/>
        <v>90</v>
      </c>
      <c r="O29" s="339">
        <f t="shared" si="3"/>
        <v>0.9</v>
      </c>
      <c r="P29" s="339">
        <f t="shared" si="4"/>
        <v>1.2815515655446006</v>
      </c>
      <c r="Q29" s="339">
        <f t="shared" si="5"/>
        <v>0.9</v>
      </c>
      <c r="R29" s="339">
        <f t="shared" si="16"/>
        <v>0.68374800181917883</v>
      </c>
      <c r="S29" s="314" t="s">
        <v>57</v>
      </c>
      <c r="T29" s="495">
        <f t="shared" si="6"/>
        <v>4.1627441338835585</v>
      </c>
    </row>
    <row r="30" spans="2:20" x14ac:dyDescent="0.2">
      <c r="B30" s="1450"/>
      <c r="C30" s="1453"/>
      <c r="D30" s="305">
        <f t="shared" si="19"/>
        <v>0.71499999999999997</v>
      </c>
      <c r="E30" s="486">
        <f t="shared" si="7"/>
        <v>0.56805149833898272</v>
      </c>
      <c r="F30" s="339">
        <f t="shared" si="8"/>
        <v>0.80334613307734704</v>
      </c>
      <c r="G30" s="339">
        <v>0</v>
      </c>
      <c r="H30" s="306">
        <v>1</v>
      </c>
      <c r="I30" s="305">
        <v>20</v>
      </c>
      <c r="J30" s="339">
        <f t="shared" si="0"/>
        <v>0.8</v>
      </c>
      <c r="K30" s="339">
        <f t="shared" si="9"/>
        <v>0.84162123357291474</v>
      </c>
      <c r="L30" s="339">
        <f t="shared" si="1"/>
        <v>0.19999999999999984</v>
      </c>
      <c r="M30" s="306">
        <f t="shared" si="18"/>
        <v>0.48473417158067289</v>
      </c>
      <c r="N30" s="339">
        <f t="shared" si="2"/>
        <v>80</v>
      </c>
      <c r="O30" s="339">
        <f t="shared" si="3"/>
        <v>0.8</v>
      </c>
      <c r="P30" s="339">
        <f t="shared" si="4"/>
        <v>0.84162123357291474</v>
      </c>
      <c r="Q30" s="339">
        <f t="shared" si="5"/>
        <v>0.80000000000000016</v>
      </c>
      <c r="R30" s="339">
        <f t="shared" si="16"/>
        <v>0.51526582841932711</v>
      </c>
      <c r="S30" s="314" t="s">
        <v>58</v>
      </c>
      <c r="T30" s="495">
        <f t="shared" si="6"/>
        <v>3.762983259089272</v>
      </c>
    </row>
    <row r="31" spans="2:20" ht="17" thickBot="1" x14ac:dyDescent="0.25">
      <c r="B31" s="1450"/>
      <c r="C31" s="1454"/>
      <c r="D31" s="341">
        <f t="shared" si="19"/>
        <v>0.71499999999999997</v>
      </c>
      <c r="E31" s="342">
        <f t="shared" si="7"/>
        <v>0.56805149833898272</v>
      </c>
      <c r="F31" s="343">
        <f t="shared" si="8"/>
        <v>0.80334613307734704</v>
      </c>
      <c r="G31" s="343">
        <v>0</v>
      </c>
      <c r="H31" s="344">
        <v>1</v>
      </c>
      <c r="I31" s="341">
        <v>50</v>
      </c>
      <c r="J31" s="343">
        <f t="shared" si="0"/>
        <v>0.5</v>
      </c>
      <c r="K31" s="343">
        <f t="shared" si="9"/>
        <v>0</v>
      </c>
      <c r="L31" s="343">
        <f t="shared" si="1"/>
        <v>0.5</v>
      </c>
      <c r="M31" s="344">
        <f t="shared" si="18"/>
        <v>0.78911264983024221</v>
      </c>
      <c r="N31" s="343">
        <f t="shared" si="2"/>
        <v>50</v>
      </c>
      <c r="O31" s="343">
        <f t="shared" si="3"/>
        <v>0.5</v>
      </c>
      <c r="P31" s="343">
        <f t="shared" si="4"/>
        <v>0</v>
      </c>
      <c r="Q31" s="343">
        <f t="shared" si="5"/>
        <v>0.5</v>
      </c>
      <c r="R31" s="343">
        <f t="shared" si="16"/>
        <v>0.21088735016975779</v>
      </c>
      <c r="S31" s="345" t="s">
        <v>322</v>
      </c>
      <c r="T31" s="496">
        <f t="shared" si="6"/>
        <v>3.7418681072858613</v>
      </c>
    </row>
    <row r="32" spans="2:20" ht="17" customHeight="1" thickBot="1" x14ac:dyDescent="0.25">
      <c r="B32" s="1450"/>
      <c r="C32" s="1455" t="s">
        <v>131</v>
      </c>
      <c r="D32" s="340">
        <f>'S4 - Summ PRS Characteristics'!F22</f>
        <v>0.73</v>
      </c>
      <c r="E32" s="9">
        <f t="shared" si="7"/>
        <v>0.61281299101662734</v>
      </c>
      <c r="F32">
        <f t="shared" si="8"/>
        <v>0.86664844309413613</v>
      </c>
      <c r="G32">
        <v>0</v>
      </c>
      <c r="H32">
        <v>1</v>
      </c>
      <c r="I32" s="143">
        <v>1</v>
      </c>
      <c r="J32">
        <f t="shared" si="0"/>
        <v>0.99</v>
      </c>
      <c r="K32">
        <f t="shared" si="9"/>
        <v>2.3263478740408408</v>
      </c>
      <c r="L32">
        <f t="shared" si="1"/>
        <v>1.0000000000000009E-2</v>
      </c>
      <c r="M32" s="144">
        <f t="shared" si="18"/>
        <v>7.2186349188266163E-2</v>
      </c>
      <c r="N32">
        <f t="shared" si="2"/>
        <v>99</v>
      </c>
      <c r="O32">
        <f t="shared" si="3"/>
        <v>0.99</v>
      </c>
      <c r="P32">
        <f t="shared" si="4"/>
        <v>2.3263478740408408</v>
      </c>
      <c r="Q32">
        <f t="shared" si="5"/>
        <v>0.99</v>
      </c>
      <c r="R32">
        <f t="shared" si="16"/>
        <v>0.92781365081173384</v>
      </c>
      <c r="S32" s="29" t="s">
        <v>59</v>
      </c>
      <c r="T32" s="8">
        <f t="shared" si="6"/>
        <v>7.7024611174733151</v>
      </c>
    </row>
    <row r="33" spans="2:20" ht="17" thickTop="1" x14ac:dyDescent="0.2">
      <c r="B33" s="1450"/>
      <c r="C33" s="1434"/>
      <c r="D33" s="143">
        <f>$D$32</f>
        <v>0.73</v>
      </c>
      <c r="E33" s="9">
        <f t="shared" si="7"/>
        <v>0.61281299101662734</v>
      </c>
      <c r="F33">
        <f t="shared" si="8"/>
        <v>0.86664844309413613</v>
      </c>
      <c r="G33">
        <v>0</v>
      </c>
      <c r="H33">
        <v>1</v>
      </c>
      <c r="I33" s="143">
        <v>5</v>
      </c>
      <c r="J33">
        <f t="shared" si="0"/>
        <v>0.95</v>
      </c>
      <c r="K33">
        <f t="shared" si="9"/>
        <v>1.6448536269514715</v>
      </c>
      <c r="L33">
        <f t="shared" si="1"/>
        <v>5.0000000000000155E-2</v>
      </c>
      <c r="M33" s="144">
        <f t="shared" si="18"/>
        <v>0.21822403063769746</v>
      </c>
      <c r="N33">
        <f t="shared" si="2"/>
        <v>95</v>
      </c>
      <c r="O33">
        <f t="shared" si="3"/>
        <v>0.95</v>
      </c>
      <c r="P33">
        <f t="shared" si="4"/>
        <v>1.6448536269514715</v>
      </c>
      <c r="Q33">
        <f t="shared" si="5"/>
        <v>0.94999999999999984</v>
      </c>
      <c r="R33">
        <f t="shared" si="16"/>
        <v>0.78177596936230254</v>
      </c>
      <c r="S33" s="29" t="s">
        <v>60</v>
      </c>
      <c r="T33" s="8">
        <f t="shared" si="6"/>
        <v>5.3036377998397093</v>
      </c>
    </row>
    <row r="34" spans="2:20" x14ac:dyDescent="0.2">
      <c r="B34" s="1450"/>
      <c r="C34" s="1434"/>
      <c r="D34" s="143">
        <f t="shared" ref="D34:D36" si="20">$D$32</f>
        <v>0.73</v>
      </c>
      <c r="E34" s="9">
        <f t="shared" si="7"/>
        <v>0.61281299101662734</v>
      </c>
      <c r="F34">
        <f t="shared" si="8"/>
        <v>0.86664844309413613</v>
      </c>
      <c r="G34">
        <v>0</v>
      </c>
      <c r="H34">
        <v>1</v>
      </c>
      <c r="I34" s="143">
        <v>10</v>
      </c>
      <c r="J34">
        <f t="shared" si="0"/>
        <v>0.9</v>
      </c>
      <c r="K34">
        <f t="shared" si="9"/>
        <v>1.2815515655446006</v>
      </c>
      <c r="L34">
        <f t="shared" si="1"/>
        <v>9.9999999999999978E-2</v>
      </c>
      <c r="M34" s="144">
        <f t="shared" si="18"/>
        <v>0.33910641197217162</v>
      </c>
      <c r="N34">
        <f t="shared" si="2"/>
        <v>90</v>
      </c>
      <c r="O34">
        <f t="shared" si="3"/>
        <v>0.9</v>
      </c>
      <c r="P34">
        <f t="shared" si="4"/>
        <v>1.2815515655446006</v>
      </c>
      <c r="Q34">
        <f t="shared" si="5"/>
        <v>0.9</v>
      </c>
      <c r="R34">
        <f t="shared" si="16"/>
        <v>0.66089358802782838</v>
      </c>
      <c r="S34" s="29" t="s">
        <v>61</v>
      </c>
      <c r="T34" s="8">
        <f t="shared" si="6"/>
        <v>4.6179260368630421</v>
      </c>
    </row>
    <row r="35" spans="2:20" x14ac:dyDescent="0.2">
      <c r="B35" s="1450"/>
      <c r="C35" s="1434"/>
      <c r="D35" s="143">
        <f t="shared" si="20"/>
        <v>0.73</v>
      </c>
      <c r="E35" s="9">
        <f t="shared" si="7"/>
        <v>0.61281299101662734</v>
      </c>
      <c r="F35">
        <f t="shared" si="8"/>
        <v>0.86664844309413613</v>
      </c>
      <c r="G35">
        <v>0</v>
      </c>
      <c r="H35">
        <v>1</v>
      </c>
      <c r="I35" s="143">
        <v>20</v>
      </c>
      <c r="J35">
        <f t="shared" si="0"/>
        <v>0.8</v>
      </c>
      <c r="K35">
        <f t="shared" si="9"/>
        <v>0.84162123357291474</v>
      </c>
      <c r="L35">
        <f t="shared" si="1"/>
        <v>0.19999999999999984</v>
      </c>
      <c r="M35" s="144">
        <f t="shared" si="18"/>
        <v>0.50998336982832415</v>
      </c>
      <c r="N35">
        <f t="shared" si="2"/>
        <v>80</v>
      </c>
      <c r="O35">
        <f t="shared" si="3"/>
        <v>0.8</v>
      </c>
      <c r="P35">
        <f t="shared" si="4"/>
        <v>0.84162123357291474</v>
      </c>
      <c r="Q35">
        <f t="shared" si="5"/>
        <v>0.80000000000000016</v>
      </c>
      <c r="R35">
        <f t="shared" si="16"/>
        <v>0.49001663017167585</v>
      </c>
      <c r="S35" s="29" t="s">
        <v>62</v>
      </c>
      <c r="T35" s="8">
        <f t="shared" si="6"/>
        <v>4.1629882614363805</v>
      </c>
    </row>
    <row r="36" spans="2:20" ht="17" thickBot="1" x14ac:dyDescent="0.25">
      <c r="B36" s="1451"/>
      <c r="C36" s="1456"/>
      <c r="D36" s="143">
        <f t="shared" si="20"/>
        <v>0.73</v>
      </c>
      <c r="E36" s="9">
        <f t="shared" si="7"/>
        <v>0.61281299101662734</v>
      </c>
      <c r="F36">
        <f t="shared" si="8"/>
        <v>0.86664844309413613</v>
      </c>
      <c r="G36">
        <v>0</v>
      </c>
      <c r="H36">
        <v>1</v>
      </c>
      <c r="I36" s="302">
        <v>50</v>
      </c>
      <c r="J36" s="5">
        <f t="shared" si="0"/>
        <v>0.5</v>
      </c>
      <c r="K36" s="5">
        <f t="shared" si="9"/>
        <v>0</v>
      </c>
      <c r="L36" s="5">
        <f t="shared" si="1"/>
        <v>0.5</v>
      </c>
      <c r="M36" s="144">
        <f>1-_xlfn.NORM.DIST(K36,F36,H36,TRUE)</f>
        <v>0.80693266889521709</v>
      </c>
      <c r="N36" s="5">
        <f t="shared" si="2"/>
        <v>50</v>
      </c>
      <c r="O36" s="5">
        <f t="shared" si="3"/>
        <v>0.5</v>
      </c>
      <c r="P36" s="5">
        <f t="shared" si="4"/>
        <v>0</v>
      </c>
      <c r="Q36" s="5">
        <f t="shared" si="5"/>
        <v>0.5</v>
      </c>
      <c r="R36">
        <f t="shared" si="16"/>
        <v>0.19306733110478289</v>
      </c>
      <c r="S36" s="30" t="s">
        <v>323</v>
      </c>
      <c r="T36" s="8">
        <f t="shared" si="6"/>
        <v>4.1795401856840959</v>
      </c>
    </row>
    <row r="37" spans="2:20" ht="17" customHeight="1" thickBot="1" x14ac:dyDescent="0.25">
      <c r="B37" s="1436" t="s">
        <v>11</v>
      </c>
      <c r="C37" s="1457" t="s">
        <v>129</v>
      </c>
      <c r="D37" s="308">
        <f>'S4 - Summ PRS Characteristics'!F7</f>
        <v>0.61699999999999999</v>
      </c>
      <c r="E37" s="284">
        <f t="shared" si="7"/>
        <v>0.29761110223347992</v>
      </c>
      <c r="F37" s="285">
        <f t="shared" si="8"/>
        <v>0.42088565709139303</v>
      </c>
      <c r="G37" s="285">
        <v>0</v>
      </c>
      <c r="H37" s="286">
        <v>1</v>
      </c>
      <c r="I37" s="287">
        <v>1</v>
      </c>
      <c r="J37" s="285">
        <f t="shared" si="0"/>
        <v>0.99</v>
      </c>
      <c r="K37" s="285">
        <f t="shared" si="9"/>
        <v>2.3263478740408408</v>
      </c>
      <c r="L37" s="285">
        <f t="shared" si="1"/>
        <v>1.0000000000000009E-2</v>
      </c>
      <c r="M37" s="286">
        <f>1-_xlfn.NORM.DIST(K37,F37,H37,TRUE)</f>
        <v>2.8360007167782197E-2</v>
      </c>
      <c r="N37" s="285">
        <f t="shared" si="2"/>
        <v>99</v>
      </c>
      <c r="O37" s="285">
        <f t="shared" si="3"/>
        <v>0.99</v>
      </c>
      <c r="P37" s="285">
        <f t="shared" si="4"/>
        <v>2.3263478740408408</v>
      </c>
      <c r="Q37" s="285">
        <f t="shared" si="5"/>
        <v>0.99</v>
      </c>
      <c r="R37" s="286">
        <f>_xlfn.NORM.DIST(P37,F37,H37, TRUE)</f>
        <v>0.9716399928322178</v>
      </c>
      <c r="S37" s="286" t="s">
        <v>49</v>
      </c>
      <c r="T37" s="288">
        <f t="shared" si="6"/>
        <v>2.8895894882079607</v>
      </c>
    </row>
    <row r="38" spans="2:20" ht="17" thickTop="1" x14ac:dyDescent="0.2">
      <c r="B38" s="1437"/>
      <c r="C38" s="1440"/>
      <c r="D38" s="289">
        <f>$D$37</f>
        <v>0.61699999999999999</v>
      </c>
      <c r="E38" s="290">
        <f t="shared" si="7"/>
        <v>0.29761110223347992</v>
      </c>
      <c r="F38" s="291">
        <f t="shared" si="8"/>
        <v>0.42088565709139303</v>
      </c>
      <c r="G38" s="291">
        <v>0</v>
      </c>
      <c r="H38" s="292">
        <v>1</v>
      </c>
      <c r="I38" s="289">
        <v>5</v>
      </c>
      <c r="J38" s="291">
        <f t="shared" si="0"/>
        <v>0.95</v>
      </c>
      <c r="K38" s="291">
        <f t="shared" si="9"/>
        <v>1.6448536269514715</v>
      </c>
      <c r="L38" s="291">
        <f t="shared" si="1"/>
        <v>5.0000000000000155E-2</v>
      </c>
      <c r="M38" s="292">
        <f t="shared" ref="M38:M41" si="21">1-_xlfn.NORM.DIST(K38,F38,H38,TRUE)</f>
        <v>0.11048215537472994</v>
      </c>
      <c r="N38" s="291">
        <f t="shared" si="2"/>
        <v>95</v>
      </c>
      <c r="O38" s="291">
        <f t="shared" si="3"/>
        <v>0.95</v>
      </c>
      <c r="P38" s="291">
        <f t="shared" si="4"/>
        <v>1.6448536269514715</v>
      </c>
      <c r="Q38" s="291">
        <f t="shared" si="5"/>
        <v>0.94999999999999984</v>
      </c>
      <c r="R38" s="292">
        <f t="shared" ref="R38:R41" si="22">_xlfn.NORM.DIST(P38,F38,H38, TRUE)</f>
        <v>0.88951784462527006</v>
      </c>
      <c r="S38" s="292" t="s">
        <v>51</v>
      </c>
      <c r="T38" s="293">
        <f t="shared" si="6"/>
        <v>2.3598862741243627</v>
      </c>
    </row>
    <row r="39" spans="2:20" x14ac:dyDescent="0.2">
      <c r="B39" s="1437"/>
      <c r="C39" s="1440"/>
      <c r="D39" s="289">
        <f t="shared" ref="D39:D41" si="23">$D$37</f>
        <v>0.61699999999999999</v>
      </c>
      <c r="E39" s="290">
        <f t="shared" si="7"/>
        <v>0.29761110223347992</v>
      </c>
      <c r="F39" s="291">
        <f t="shared" si="8"/>
        <v>0.42088565709139303</v>
      </c>
      <c r="G39" s="291">
        <v>0</v>
      </c>
      <c r="H39" s="292">
        <v>1</v>
      </c>
      <c r="I39" s="289">
        <v>10</v>
      </c>
      <c r="J39" s="291">
        <f t="shared" si="0"/>
        <v>0.9</v>
      </c>
      <c r="K39" s="291">
        <f t="shared" si="9"/>
        <v>1.2815515655446006</v>
      </c>
      <c r="L39" s="291">
        <f t="shared" si="1"/>
        <v>9.9999999999999978E-2</v>
      </c>
      <c r="M39" s="292">
        <f t="shared" si="21"/>
        <v>0.19471103728866224</v>
      </c>
      <c r="N39" s="291">
        <f t="shared" si="2"/>
        <v>90</v>
      </c>
      <c r="O39" s="291">
        <f t="shared" si="3"/>
        <v>0.9</v>
      </c>
      <c r="P39" s="291">
        <f t="shared" si="4"/>
        <v>1.2815515655446006</v>
      </c>
      <c r="Q39" s="291">
        <f t="shared" si="5"/>
        <v>0.9</v>
      </c>
      <c r="R39" s="292">
        <f t="shared" si="22"/>
        <v>0.80528896271133776</v>
      </c>
      <c r="S39" s="292" t="s">
        <v>52</v>
      </c>
      <c r="T39" s="293">
        <f t="shared" si="6"/>
        <v>2.1761124475092575</v>
      </c>
    </row>
    <row r="40" spans="2:20" x14ac:dyDescent="0.2">
      <c r="B40" s="1437"/>
      <c r="C40" s="1440"/>
      <c r="D40" s="289">
        <f t="shared" si="23"/>
        <v>0.61699999999999999</v>
      </c>
      <c r="E40" s="290">
        <f t="shared" si="7"/>
        <v>0.29761110223347992</v>
      </c>
      <c r="F40" s="291">
        <f t="shared" si="8"/>
        <v>0.42088565709139303</v>
      </c>
      <c r="G40" s="291">
        <v>0</v>
      </c>
      <c r="H40" s="292">
        <v>1</v>
      </c>
      <c r="I40" s="289">
        <v>20</v>
      </c>
      <c r="J40" s="291">
        <f t="shared" si="0"/>
        <v>0.8</v>
      </c>
      <c r="K40" s="291">
        <f t="shared" si="9"/>
        <v>0.84162123357291474</v>
      </c>
      <c r="L40" s="291">
        <f t="shared" si="1"/>
        <v>0.19999999999999984</v>
      </c>
      <c r="M40" s="292">
        <f t="shared" si="21"/>
        <v>0.33697408973971399</v>
      </c>
      <c r="N40" s="291">
        <f t="shared" si="2"/>
        <v>80</v>
      </c>
      <c r="O40" s="291">
        <f t="shared" si="3"/>
        <v>0.8</v>
      </c>
      <c r="P40" s="291">
        <f t="shared" si="4"/>
        <v>0.84162123357291474</v>
      </c>
      <c r="Q40" s="291">
        <f t="shared" si="5"/>
        <v>0.80000000000000016</v>
      </c>
      <c r="R40" s="292">
        <f t="shared" si="22"/>
        <v>0.66302591026028601</v>
      </c>
      <c r="S40" s="292" t="s">
        <v>54</v>
      </c>
      <c r="T40" s="293">
        <f t="shared" si="6"/>
        <v>2.0329467342078829</v>
      </c>
    </row>
    <row r="41" spans="2:20" x14ac:dyDescent="0.2">
      <c r="B41" s="1437"/>
      <c r="C41" s="1458"/>
      <c r="D41" s="289">
        <f t="shared" si="23"/>
        <v>0.61699999999999999</v>
      </c>
      <c r="E41" s="290">
        <f t="shared" si="7"/>
        <v>0.29761110223347992</v>
      </c>
      <c r="F41" s="291">
        <f t="shared" si="8"/>
        <v>0.42088565709139303</v>
      </c>
      <c r="G41" s="291">
        <v>0</v>
      </c>
      <c r="H41" s="292">
        <v>1</v>
      </c>
      <c r="I41" s="289">
        <v>50</v>
      </c>
      <c r="J41" s="291">
        <f t="shared" si="0"/>
        <v>0.5</v>
      </c>
      <c r="K41" s="291">
        <f t="shared" si="9"/>
        <v>0</v>
      </c>
      <c r="L41" s="291">
        <f t="shared" si="1"/>
        <v>0.5</v>
      </c>
      <c r="M41" s="292">
        <f t="shared" si="21"/>
        <v>0.6630807104265144</v>
      </c>
      <c r="N41" s="291">
        <f t="shared" si="2"/>
        <v>50</v>
      </c>
      <c r="O41" s="291">
        <f t="shared" si="3"/>
        <v>0.5</v>
      </c>
      <c r="P41" s="291">
        <f t="shared" si="4"/>
        <v>0</v>
      </c>
      <c r="Q41" s="291">
        <f t="shared" si="5"/>
        <v>0.5</v>
      </c>
      <c r="R41" s="292">
        <f t="shared" si="22"/>
        <v>0.3369192895734856</v>
      </c>
      <c r="S41" s="292" t="s">
        <v>321</v>
      </c>
      <c r="T41" s="504">
        <f t="shared" si="6"/>
        <v>1.9680698937301113</v>
      </c>
    </row>
    <row r="42" spans="2:20" ht="17" customHeight="1" thickBot="1" x14ac:dyDescent="0.25">
      <c r="B42" s="1437"/>
      <c r="C42" s="1433" t="s">
        <v>130</v>
      </c>
      <c r="D42" s="487">
        <f>'S4 - Summ PRS Characteristics'!F15</f>
        <v>0.64100000000000001</v>
      </c>
      <c r="E42" s="327">
        <f t="shared" si="7"/>
        <v>0.36113303355721232</v>
      </c>
      <c r="F42" s="328">
        <f t="shared" si="8"/>
        <v>0.51071923387754781</v>
      </c>
      <c r="G42" s="328">
        <v>0</v>
      </c>
      <c r="H42" s="329">
        <v>1</v>
      </c>
      <c r="I42" s="330">
        <v>1</v>
      </c>
      <c r="J42" s="328">
        <f t="shared" si="0"/>
        <v>0.99</v>
      </c>
      <c r="K42" s="328">
        <f t="shared" si="9"/>
        <v>2.3263478740408408</v>
      </c>
      <c r="L42" s="328">
        <f t="shared" si="1"/>
        <v>1.0000000000000009E-2</v>
      </c>
      <c r="M42" s="329">
        <f>1-_xlfn.NORM.DIST(K42,F42,H42,TRUE)</f>
        <v>3.4713678601375975E-2</v>
      </c>
      <c r="N42" s="328">
        <f t="shared" si="2"/>
        <v>99</v>
      </c>
      <c r="O42" s="328">
        <f t="shared" si="3"/>
        <v>0.99</v>
      </c>
      <c r="P42" s="328">
        <f t="shared" si="4"/>
        <v>2.3263478740408408</v>
      </c>
      <c r="Q42" s="328">
        <f t="shared" si="5"/>
        <v>0.99</v>
      </c>
      <c r="R42" s="329">
        <f>_xlfn.NORM.DIST(P42,F42,H42, TRUE)</f>
        <v>0.96528632139862403</v>
      </c>
      <c r="S42" s="329" t="s">
        <v>55</v>
      </c>
      <c r="T42" s="301">
        <f t="shared" si="6"/>
        <v>3.5602433240292646</v>
      </c>
    </row>
    <row r="43" spans="2:20" ht="17" thickTop="1" x14ac:dyDescent="0.2">
      <c r="B43" s="1437"/>
      <c r="C43" s="1434"/>
      <c r="D43" s="143">
        <f>$D$42</f>
        <v>0.64100000000000001</v>
      </c>
      <c r="E43" s="9">
        <f t="shared" si="7"/>
        <v>0.36113303355721232</v>
      </c>
      <c r="F43">
        <f t="shared" si="8"/>
        <v>0.51071923387754781</v>
      </c>
      <c r="G43">
        <v>0</v>
      </c>
      <c r="H43" s="144">
        <v>1</v>
      </c>
      <c r="I43" s="143">
        <v>5</v>
      </c>
      <c r="J43">
        <f t="shared" si="0"/>
        <v>0.95</v>
      </c>
      <c r="K43">
        <f t="shared" si="9"/>
        <v>1.6448536269514715</v>
      </c>
      <c r="L43">
        <f t="shared" si="1"/>
        <v>5.0000000000000155E-2</v>
      </c>
      <c r="M43" s="144">
        <f t="shared" ref="M43:M51" si="24">1-_xlfn.NORM.DIST(K43,F43,H43,TRUE)</f>
        <v>0.12836908939175151</v>
      </c>
      <c r="N43">
        <f t="shared" si="2"/>
        <v>95</v>
      </c>
      <c r="O43">
        <f t="shared" si="3"/>
        <v>0.95</v>
      </c>
      <c r="P43">
        <f t="shared" si="4"/>
        <v>1.6448536269514715</v>
      </c>
      <c r="Q43">
        <f t="shared" si="5"/>
        <v>0.94999999999999984</v>
      </c>
      <c r="R43" s="144">
        <f t="shared" ref="R43:R51" si="25">_xlfn.NORM.DIST(P43,F43,H43, TRUE)</f>
        <v>0.87163091060824849</v>
      </c>
      <c r="S43" s="144" t="s">
        <v>56</v>
      </c>
      <c r="T43" s="301">
        <f t="shared" si="6"/>
        <v>2.7982173059251183</v>
      </c>
    </row>
    <row r="44" spans="2:20" x14ac:dyDescent="0.2">
      <c r="B44" s="1437"/>
      <c r="C44" s="1434"/>
      <c r="D44" s="143">
        <f t="shared" ref="D44:D46" si="26">$D$42</f>
        <v>0.64100000000000001</v>
      </c>
      <c r="E44" s="9">
        <f t="shared" si="7"/>
        <v>0.36113303355721232</v>
      </c>
      <c r="F44">
        <f t="shared" si="8"/>
        <v>0.51071923387754781</v>
      </c>
      <c r="G44">
        <v>0</v>
      </c>
      <c r="H44" s="144">
        <v>1</v>
      </c>
      <c r="I44" s="143">
        <v>10</v>
      </c>
      <c r="J44">
        <f t="shared" si="0"/>
        <v>0.9</v>
      </c>
      <c r="K44">
        <f t="shared" si="9"/>
        <v>1.2815515655446006</v>
      </c>
      <c r="L44">
        <f t="shared" si="1"/>
        <v>9.9999999999999978E-2</v>
      </c>
      <c r="M44" s="144">
        <f t="shared" si="24"/>
        <v>0.22040316025476503</v>
      </c>
      <c r="N44">
        <f t="shared" si="2"/>
        <v>90</v>
      </c>
      <c r="O44">
        <f t="shared" si="3"/>
        <v>0.9</v>
      </c>
      <c r="P44">
        <f t="shared" si="4"/>
        <v>1.2815515655446006</v>
      </c>
      <c r="Q44">
        <f t="shared" si="5"/>
        <v>0.9</v>
      </c>
      <c r="R44" s="144">
        <f t="shared" si="25"/>
        <v>0.77959683974523497</v>
      </c>
      <c r="S44" s="144" t="s">
        <v>57</v>
      </c>
      <c r="T44" s="301">
        <f t="shared" si="6"/>
        <v>2.5444285317281654</v>
      </c>
    </row>
    <row r="45" spans="2:20" x14ac:dyDescent="0.2">
      <c r="B45" s="1437"/>
      <c r="C45" s="1434"/>
      <c r="D45" s="143">
        <f t="shared" si="26"/>
        <v>0.64100000000000001</v>
      </c>
      <c r="E45" s="9">
        <f t="shared" si="7"/>
        <v>0.36113303355721232</v>
      </c>
      <c r="F45">
        <f t="shared" si="8"/>
        <v>0.51071923387754781</v>
      </c>
      <c r="G45">
        <v>0</v>
      </c>
      <c r="H45" s="144">
        <v>1</v>
      </c>
      <c r="I45" s="143">
        <v>20</v>
      </c>
      <c r="J45">
        <f t="shared" si="0"/>
        <v>0.8</v>
      </c>
      <c r="K45">
        <f t="shared" si="9"/>
        <v>0.84162123357291474</v>
      </c>
      <c r="L45">
        <f t="shared" si="1"/>
        <v>0.19999999999999984</v>
      </c>
      <c r="M45" s="144">
        <f t="shared" si="24"/>
        <v>0.37035925572306261</v>
      </c>
      <c r="N45">
        <f t="shared" si="2"/>
        <v>80</v>
      </c>
      <c r="O45">
        <f t="shared" si="3"/>
        <v>0.8</v>
      </c>
      <c r="P45">
        <f t="shared" si="4"/>
        <v>0.84162123357291474</v>
      </c>
      <c r="Q45">
        <f t="shared" si="5"/>
        <v>0.80000000000000016</v>
      </c>
      <c r="R45" s="144">
        <f t="shared" si="25"/>
        <v>0.62964074427693739</v>
      </c>
      <c r="S45" s="144" t="s">
        <v>58</v>
      </c>
      <c r="T45" s="301">
        <f t="shared" si="6"/>
        <v>2.3528290320434939</v>
      </c>
    </row>
    <row r="46" spans="2:20" x14ac:dyDescent="0.2">
      <c r="B46" s="1437"/>
      <c r="C46" s="1435"/>
      <c r="D46" s="143">
        <f t="shared" si="26"/>
        <v>0.64100000000000001</v>
      </c>
      <c r="E46" s="9">
        <f t="shared" si="7"/>
        <v>0.36113303355721232</v>
      </c>
      <c r="F46">
        <f t="shared" si="8"/>
        <v>0.51071923387754781</v>
      </c>
      <c r="G46">
        <v>0</v>
      </c>
      <c r="H46" s="144">
        <v>1</v>
      </c>
      <c r="I46" s="143">
        <v>50</v>
      </c>
      <c r="J46">
        <f t="shared" si="0"/>
        <v>0.5</v>
      </c>
      <c r="K46">
        <f t="shared" si="9"/>
        <v>0</v>
      </c>
      <c r="L46">
        <f t="shared" si="1"/>
        <v>0.5</v>
      </c>
      <c r="M46" s="144">
        <f t="shared" si="24"/>
        <v>0.69522616466523368</v>
      </c>
      <c r="N46">
        <f t="shared" si="2"/>
        <v>50</v>
      </c>
      <c r="O46">
        <f t="shared" si="3"/>
        <v>0.5</v>
      </c>
      <c r="P46">
        <f t="shared" si="4"/>
        <v>0</v>
      </c>
      <c r="Q46">
        <f t="shared" si="5"/>
        <v>0.5</v>
      </c>
      <c r="R46" s="144">
        <f t="shared" si="25"/>
        <v>0.30477383533476632</v>
      </c>
      <c r="S46" s="144" t="s">
        <v>322</v>
      </c>
      <c r="T46" s="325">
        <f t="shared" si="6"/>
        <v>2.2811215533039149</v>
      </c>
    </row>
    <row r="47" spans="2:20" ht="17" customHeight="1" thickBot="1" x14ac:dyDescent="0.25">
      <c r="B47" s="1437"/>
      <c r="C47" s="1439" t="s">
        <v>131</v>
      </c>
      <c r="D47" s="497">
        <f>'S4 - Summ PRS Characteristics'!F23</f>
        <v>0.68</v>
      </c>
      <c r="E47" s="498">
        <f t="shared" si="7"/>
        <v>0.46769879911450835</v>
      </c>
      <c r="F47" s="499">
        <f t="shared" si="8"/>
        <v>0.66142598481334747</v>
      </c>
      <c r="G47" s="499">
        <v>0</v>
      </c>
      <c r="H47" s="500">
        <v>1</v>
      </c>
      <c r="I47" s="501">
        <v>1</v>
      </c>
      <c r="J47" s="499">
        <f t="shared" si="0"/>
        <v>0.99</v>
      </c>
      <c r="K47" s="499">
        <f t="shared" si="9"/>
        <v>2.3263478740408408</v>
      </c>
      <c r="L47" s="499">
        <f t="shared" si="1"/>
        <v>1.0000000000000009E-2</v>
      </c>
      <c r="M47" s="500">
        <f t="shared" si="24"/>
        <v>4.7964170257762007E-2</v>
      </c>
      <c r="N47" s="499">
        <f t="shared" si="2"/>
        <v>99</v>
      </c>
      <c r="O47" s="499">
        <f t="shared" si="3"/>
        <v>0.99</v>
      </c>
      <c r="P47" s="499">
        <f t="shared" si="4"/>
        <v>2.3263478740408408</v>
      </c>
      <c r="Q47" s="499">
        <f t="shared" si="5"/>
        <v>0.99</v>
      </c>
      <c r="R47" s="500">
        <f t="shared" si="25"/>
        <v>0.95203582974223799</v>
      </c>
      <c r="S47" s="499" t="s">
        <v>59</v>
      </c>
      <c r="T47" s="293">
        <f t="shared" si="6"/>
        <v>4.9876829287024513</v>
      </c>
    </row>
    <row r="48" spans="2:20" ht="17" thickTop="1" x14ac:dyDescent="0.2">
      <c r="B48" s="1437"/>
      <c r="C48" s="1440"/>
      <c r="D48" s="289">
        <f>$D$47</f>
        <v>0.68</v>
      </c>
      <c r="E48" s="290">
        <f t="shared" si="7"/>
        <v>0.46769879911450835</v>
      </c>
      <c r="F48" s="291">
        <f t="shared" si="8"/>
        <v>0.66142598481334747</v>
      </c>
      <c r="G48" s="291">
        <v>0</v>
      </c>
      <c r="H48" s="292">
        <v>1</v>
      </c>
      <c r="I48" s="289">
        <v>5</v>
      </c>
      <c r="J48" s="291">
        <f t="shared" si="0"/>
        <v>0.95</v>
      </c>
      <c r="K48" s="291">
        <f t="shared" si="9"/>
        <v>1.6448536269514715</v>
      </c>
      <c r="L48" s="291">
        <f t="shared" si="1"/>
        <v>5.0000000000000155E-2</v>
      </c>
      <c r="M48" s="292">
        <f t="shared" si="24"/>
        <v>0.16269850563262678</v>
      </c>
      <c r="N48" s="291">
        <f t="shared" si="2"/>
        <v>95</v>
      </c>
      <c r="O48" s="291">
        <f t="shared" si="3"/>
        <v>0.95</v>
      </c>
      <c r="P48" s="291">
        <f t="shared" si="4"/>
        <v>1.6448536269514715</v>
      </c>
      <c r="Q48" s="291">
        <f t="shared" si="5"/>
        <v>0.94999999999999984</v>
      </c>
      <c r="R48" s="292">
        <f t="shared" si="25"/>
        <v>0.83730149436737322</v>
      </c>
      <c r="S48" s="291" t="s">
        <v>60</v>
      </c>
      <c r="T48" s="293">
        <f t="shared" si="6"/>
        <v>3.6919456465983287</v>
      </c>
    </row>
    <row r="49" spans="2:20" x14ac:dyDescent="0.2">
      <c r="B49" s="1437"/>
      <c r="C49" s="1440"/>
      <c r="D49" s="289">
        <f t="shared" ref="D49:D51" si="27">$D$47</f>
        <v>0.68</v>
      </c>
      <c r="E49" s="290">
        <f t="shared" si="7"/>
        <v>0.46769879911450835</v>
      </c>
      <c r="F49" s="291">
        <f t="shared" si="8"/>
        <v>0.66142598481334747</v>
      </c>
      <c r="G49" s="291">
        <v>0</v>
      </c>
      <c r="H49" s="292">
        <v>1</v>
      </c>
      <c r="I49" s="289">
        <v>10</v>
      </c>
      <c r="J49" s="291">
        <f t="shared" si="0"/>
        <v>0.9</v>
      </c>
      <c r="K49" s="291">
        <f t="shared" si="9"/>
        <v>1.2815515655446006</v>
      </c>
      <c r="L49" s="291">
        <f t="shared" si="1"/>
        <v>9.9999999999999978E-2</v>
      </c>
      <c r="M49" s="292">
        <f t="shared" si="24"/>
        <v>0.26758755591587424</v>
      </c>
      <c r="N49" s="291">
        <f t="shared" si="2"/>
        <v>90</v>
      </c>
      <c r="O49" s="291">
        <f t="shared" si="3"/>
        <v>0.9</v>
      </c>
      <c r="P49" s="291">
        <f t="shared" si="4"/>
        <v>1.2815515655446006</v>
      </c>
      <c r="Q49" s="291">
        <f t="shared" si="5"/>
        <v>0.9</v>
      </c>
      <c r="R49" s="292">
        <f t="shared" si="25"/>
        <v>0.73241244408412576</v>
      </c>
      <c r="S49" s="291" t="s">
        <v>61</v>
      </c>
      <c r="T49" s="293">
        <f t="shared" si="6"/>
        <v>3.2881582265500802</v>
      </c>
    </row>
    <row r="50" spans="2:20" x14ac:dyDescent="0.2">
      <c r="B50" s="1437"/>
      <c r="C50" s="1440"/>
      <c r="D50" s="289">
        <f t="shared" si="27"/>
        <v>0.68</v>
      </c>
      <c r="E50" s="290">
        <f t="shared" si="7"/>
        <v>0.46769879911450835</v>
      </c>
      <c r="F50" s="291">
        <f t="shared" si="8"/>
        <v>0.66142598481334747</v>
      </c>
      <c r="G50" s="291">
        <v>0</v>
      </c>
      <c r="H50" s="292">
        <v>1</v>
      </c>
      <c r="I50" s="289">
        <v>20</v>
      </c>
      <c r="J50" s="291">
        <f t="shared" si="0"/>
        <v>0.8</v>
      </c>
      <c r="K50" s="291">
        <f t="shared" si="9"/>
        <v>0.84162123357291474</v>
      </c>
      <c r="L50" s="291">
        <f t="shared" si="1"/>
        <v>0.19999999999999984</v>
      </c>
      <c r="M50" s="292">
        <f t="shared" si="24"/>
        <v>0.42849964416117048</v>
      </c>
      <c r="N50" s="291">
        <f t="shared" si="2"/>
        <v>80</v>
      </c>
      <c r="O50" s="291">
        <f t="shared" si="3"/>
        <v>0.8</v>
      </c>
      <c r="P50" s="291">
        <f t="shared" si="4"/>
        <v>0.84162123357291474</v>
      </c>
      <c r="Q50" s="291">
        <f t="shared" si="5"/>
        <v>0.80000000000000016</v>
      </c>
      <c r="R50" s="292">
        <f t="shared" si="25"/>
        <v>0.57150035583882952</v>
      </c>
      <c r="S50" s="291" t="s">
        <v>62</v>
      </c>
      <c r="T50" s="293">
        <f t="shared" si="6"/>
        <v>2.9991207514279363</v>
      </c>
    </row>
    <row r="51" spans="2:20" ht="17" thickBot="1" x14ac:dyDescent="0.25">
      <c r="B51" s="1438"/>
      <c r="C51" s="1441"/>
      <c r="D51" s="294">
        <f t="shared" si="27"/>
        <v>0.68</v>
      </c>
      <c r="E51" s="295">
        <f t="shared" si="7"/>
        <v>0.46769879911450835</v>
      </c>
      <c r="F51" s="296">
        <f t="shared" si="8"/>
        <v>0.66142598481334747</v>
      </c>
      <c r="G51" s="296">
        <v>0</v>
      </c>
      <c r="H51" s="297">
        <v>1</v>
      </c>
      <c r="I51" s="296">
        <v>50</v>
      </c>
      <c r="J51" s="296">
        <f t="shared" si="0"/>
        <v>0.5</v>
      </c>
      <c r="K51" s="296">
        <f t="shared" si="9"/>
        <v>0</v>
      </c>
      <c r="L51" s="296">
        <f t="shared" si="1"/>
        <v>0.5</v>
      </c>
      <c r="M51" s="297">
        <f t="shared" si="24"/>
        <v>0.74583041684243678</v>
      </c>
      <c r="N51" s="296">
        <f t="shared" si="2"/>
        <v>50</v>
      </c>
      <c r="O51" s="296">
        <f t="shared" si="3"/>
        <v>0.5</v>
      </c>
      <c r="P51" s="296">
        <f t="shared" si="4"/>
        <v>0</v>
      </c>
      <c r="Q51" s="296">
        <f t="shared" si="5"/>
        <v>0.5</v>
      </c>
      <c r="R51" s="297">
        <f t="shared" si="25"/>
        <v>0.25416958315756322</v>
      </c>
      <c r="S51" s="291" t="s">
        <v>323</v>
      </c>
      <c r="T51" s="298">
        <f t="shared" si="6"/>
        <v>2.9343810835936504</v>
      </c>
    </row>
    <row r="52" spans="2:20" ht="17" customHeight="1" thickBot="1" x14ac:dyDescent="0.25">
      <c r="B52" s="1449" t="s">
        <v>12</v>
      </c>
      <c r="C52" s="1447" t="s">
        <v>129</v>
      </c>
      <c r="D52" s="304">
        <f>'S4 - Summ PRS Characteristics'!F8</f>
        <v>0.57899999999999996</v>
      </c>
      <c r="E52" s="109">
        <f t="shared" si="7"/>
        <v>0.19933589806120677</v>
      </c>
      <c r="F52" s="142">
        <f t="shared" si="8"/>
        <v>0.28190353050597938</v>
      </c>
      <c r="G52" s="142">
        <v>0</v>
      </c>
      <c r="H52" s="299">
        <v>1</v>
      </c>
      <c r="I52" s="142">
        <v>1</v>
      </c>
      <c r="J52" s="142">
        <f t="shared" si="0"/>
        <v>0.99</v>
      </c>
      <c r="K52" s="142">
        <f t="shared" si="9"/>
        <v>2.3263478740408408</v>
      </c>
      <c r="L52" s="142">
        <f t="shared" si="1"/>
        <v>1.0000000000000009E-2</v>
      </c>
      <c r="M52" s="142">
        <f>1-_xlfn.NORM.DIST(K52,F52,H52,TRUE)</f>
        <v>2.0454835200405697E-2</v>
      </c>
      <c r="N52" s="141">
        <f t="shared" si="2"/>
        <v>99</v>
      </c>
      <c r="O52" s="142">
        <f t="shared" si="3"/>
        <v>0.99</v>
      </c>
      <c r="P52" s="142">
        <f t="shared" si="4"/>
        <v>2.3263478740408408</v>
      </c>
      <c r="Q52" s="142">
        <f t="shared" si="5"/>
        <v>0.99</v>
      </c>
      <c r="R52" s="299">
        <f>_xlfn.NORM.DIST(P52,F52,H52, TRUE)</f>
        <v>0.9795451647995943</v>
      </c>
      <c r="S52" s="28" t="s">
        <v>49</v>
      </c>
      <c r="T52" s="300">
        <f t="shared" si="6"/>
        <v>2.0673152781622521</v>
      </c>
    </row>
    <row r="53" spans="2:20" ht="17" thickTop="1" x14ac:dyDescent="0.2">
      <c r="B53" s="1450"/>
      <c r="C53" s="1448"/>
      <c r="D53" s="143">
        <f>$D$52</f>
        <v>0.57899999999999996</v>
      </c>
      <c r="E53" s="9">
        <f t="shared" si="7"/>
        <v>0.19933589806120677</v>
      </c>
      <c r="F53">
        <f t="shared" si="8"/>
        <v>0.28190353050597938</v>
      </c>
      <c r="G53">
        <v>0</v>
      </c>
      <c r="H53" s="144">
        <v>1</v>
      </c>
      <c r="I53">
        <v>5</v>
      </c>
      <c r="J53">
        <f t="shared" si="0"/>
        <v>0.95</v>
      </c>
      <c r="K53">
        <f t="shared" si="9"/>
        <v>1.6448536269514715</v>
      </c>
      <c r="L53">
        <f t="shared" si="1"/>
        <v>5.0000000000000155E-2</v>
      </c>
      <c r="M53">
        <f t="shared" ref="M53:M56" si="28">1-_xlfn.NORM.DIST(K53,F53,H53,TRUE)</f>
        <v>8.6449119367474569E-2</v>
      </c>
      <c r="N53" s="143">
        <f t="shared" si="2"/>
        <v>95</v>
      </c>
      <c r="O53">
        <f t="shared" si="3"/>
        <v>0.95</v>
      </c>
      <c r="P53">
        <f t="shared" si="4"/>
        <v>1.6448536269514715</v>
      </c>
      <c r="Q53">
        <f t="shared" si="5"/>
        <v>0.94999999999999984</v>
      </c>
      <c r="R53" s="144">
        <f t="shared" ref="R53:R56" si="29">_xlfn.NORM.DIST(P53,F53,H53, TRUE)</f>
        <v>0.91355088063252543</v>
      </c>
      <c r="S53" s="29" t="s">
        <v>51</v>
      </c>
      <c r="T53" s="301">
        <f t="shared" si="6"/>
        <v>1.7979658306987263</v>
      </c>
    </row>
    <row r="54" spans="2:20" x14ac:dyDescent="0.2">
      <c r="B54" s="1450"/>
      <c r="C54" s="1448"/>
      <c r="D54" s="143">
        <f t="shared" ref="D54:D56" si="30">$D$52</f>
        <v>0.57899999999999996</v>
      </c>
      <c r="E54" s="9">
        <f t="shared" si="7"/>
        <v>0.19933589806120677</v>
      </c>
      <c r="F54">
        <f t="shared" si="8"/>
        <v>0.28190353050597938</v>
      </c>
      <c r="G54">
        <v>0</v>
      </c>
      <c r="H54" s="144">
        <v>1</v>
      </c>
      <c r="I54">
        <v>10</v>
      </c>
      <c r="J54">
        <f t="shared" si="0"/>
        <v>0.9</v>
      </c>
      <c r="K54">
        <f t="shared" si="9"/>
        <v>1.2815515655446006</v>
      </c>
      <c r="L54">
        <f t="shared" si="1"/>
        <v>9.9999999999999978E-2</v>
      </c>
      <c r="M54">
        <f t="shared" si="28"/>
        <v>0.15874043413575301</v>
      </c>
      <c r="N54" s="143">
        <f t="shared" si="2"/>
        <v>90</v>
      </c>
      <c r="O54">
        <f t="shared" si="3"/>
        <v>0.9</v>
      </c>
      <c r="P54">
        <f t="shared" si="4"/>
        <v>1.2815515655446006</v>
      </c>
      <c r="Q54">
        <f t="shared" si="5"/>
        <v>0.9</v>
      </c>
      <c r="R54" s="144">
        <f t="shared" si="29"/>
        <v>0.84125956586424699</v>
      </c>
      <c r="S54" s="29" t="s">
        <v>52</v>
      </c>
      <c r="T54" s="301">
        <f t="shared" si="6"/>
        <v>1.6982438776242328</v>
      </c>
    </row>
    <row r="55" spans="2:20" x14ac:dyDescent="0.2">
      <c r="B55" s="1450"/>
      <c r="C55" s="1448"/>
      <c r="D55" s="143">
        <f t="shared" si="30"/>
        <v>0.57899999999999996</v>
      </c>
      <c r="E55" s="9">
        <f t="shared" si="7"/>
        <v>0.19933589806120677</v>
      </c>
      <c r="F55">
        <f t="shared" si="8"/>
        <v>0.28190353050597938</v>
      </c>
      <c r="G55">
        <v>0</v>
      </c>
      <c r="H55" s="144">
        <v>1</v>
      </c>
      <c r="I55">
        <v>20</v>
      </c>
      <c r="J55">
        <f t="shared" si="0"/>
        <v>0.8</v>
      </c>
      <c r="K55">
        <f t="shared" si="9"/>
        <v>0.84162123357291474</v>
      </c>
      <c r="L55">
        <f t="shared" si="1"/>
        <v>0.19999999999999984</v>
      </c>
      <c r="M55">
        <f t="shared" si="28"/>
        <v>0.28783600263828579</v>
      </c>
      <c r="N55" s="143">
        <f t="shared" si="2"/>
        <v>80</v>
      </c>
      <c r="O55">
        <f t="shared" si="3"/>
        <v>0.8</v>
      </c>
      <c r="P55">
        <f t="shared" si="4"/>
        <v>0.84162123357291474</v>
      </c>
      <c r="Q55">
        <f t="shared" si="5"/>
        <v>0.80000000000000016</v>
      </c>
      <c r="R55" s="144">
        <f t="shared" si="29"/>
        <v>0.71216399736171421</v>
      </c>
      <c r="S55" s="29" t="s">
        <v>54</v>
      </c>
      <c r="T55" s="301">
        <f t="shared" si="6"/>
        <v>1.6166838183598415</v>
      </c>
    </row>
    <row r="56" spans="2:20" x14ac:dyDescent="0.2">
      <c r="B56" s="1450"/>
      <c r="C56" s="1448"/>
      <c r="D56" s="143">
        <f t="shared" si="30"/>
        <v>0.57899999999999996</v>
      </c>
      <c r="E56" s="9">
        <f t="shared" si="7"/>
        <v>0.19933589806120677</v>
      </c>
      <c r="F56">
        <f t="shared" si="8"/>
        <v>0.28190353050597938</v>
      </c>
      <c r="G56">
        <v>0</v>
      </c>
      <c r="H56" s="144">
        <v>1</v>
      </c>
      <c r="I56">
        <v>50</v>
      </c>
      <c r="J56">
        <f t="shared" si="0"/>
        <v>0.5</v>
      </c>
      <c r="K56">
        <f t="shared" si="9"/>
        <v>0</v>
      </c>
      <c r="L56">
        <f t="shared" si="1"/>
        <v>0.5</v>
      </c>
      <c r="M56">
        <f t="shared" si="28"/>
        <v>0.61099125883317629</v>
      </c>
      <c r="N56" s="143">
        <f t="shared" si="2"/>
        <v>50</v>
      </c>
      <c r="O56">
        <f t="shared" si="3"/>
        <v>0.5</v>
      </c>
      <c r="P56">
        <f t="shared" si="4"/>
        <v>0</v>
      </c>
      <c r="Q56">
        <f t="shared" si="5"/>
        <v>0.5</v>
      </c>
      <c r="R56" s="144">
        <f t="shared" si="29"/>
        <v>0.38900874116682371</v>
      </c>
      <c r="S56" s="29" t="s">
        <v>321</v>
      </c>
      <c r="T56" s="301">
        <f t="shared" si="6"/>
        <v>1.5706363229795828</v>
      </c>
    </row>
    <row r="57" spans="2:20" ht="17" customHeight="1" thickBot="1" x14ac:dyDescent="0.25">
      <c r="B57" s="1450"/>
      <c r="C57" s="1477" t="s">
        <v>130</v>
      </c>
      <c r="D57" s="488">
        <f>'S4 - Summ PRS Characteristics'!F16</f>
        <v>0.65</v>
      </c>
      <c r="E57" s="333">
        <f t="shared" si="7"/>
        <v>0.38532046640756784</v>
      </c>
      <c r="F57" s="334">
        <f t="shared" si="8"/>
        <v>0.54492542945350908</v>
      </c>
      <c r="G57" s="334">
        <v>0</v>
      </c>
      <c r="H57" s="335">
        <v>1</v>
      </c>
      <c r="I57" s="334">
        <v>1</v>
      </c>
      <c r="J57" s="334">
        <f t="shared" si="0"/>
        <v>0.99</v>
      </c>
      <c r="K57" s="334">
        <f t="shared" si="9"/>
        <v>2.3263478740408408</v>
      </c>
      <c r="L57" s="334">
        <f t="shared" si="1"/>
        <v>1.0000000000000009E-2</v>
      </c>
      <c r="M57" s="334">
        <f>1-_xlfn.NORM.DIST(K57,F57,H57,TRUE)</f>
        <v>3.7421732140198283E-2</v>
      </c>
      <c r="N57" s="336">
        <f t="shared" si="2"/>
        <v>99</v>
      </c>
      <c r="O57" s="334">
        <f t="shared" si="3"/>
        <v>0.99</v>
      </c>
      <c r="P57" s="334">
        <f t="shared" si="4"/>
        <v>2.3263478740408408</v>
      </c>
      <c r="Q57" s="334">
        <f t="shared" si="5"/>
        <v>0.99</v>
      </c>
      <c r="R57" s="335">
        <f>_xlfn.NORM.DIST(P57,F57,H57, TRUE)</f>
        <v>0.96257826785980172</v>
      </c>
      <c r="S57" s="337" t="s">
        <v>55</v>
      </c>
      <c r="T57" s="338">
        <f t="shared" si="6"/>
        <v>3.8487794765165209</v>
      </c>
    </row>
    <row r="58" spans="2:20" ht="17" thickTop="1" x14ac:dyDescent="0.2">
      <c r="B58" s="1450"/>
      <c r="C58" s="1453"/>
      <c r="D58" s="305">
        <f>$D$57</f>
        <v>0.65</v>
      </c>
      <c r="E58" s="486">
        <f t="shared" si="7"/>
        <v>0.38532046640756784</v>
      </c>
      <c r="F58" s="339">
        <f t="shared" si="8"/>
        <v>0.54492542945350908</v>
      </c>
      <c r="G58" s="339">
        <v>0</v>
      </c>
      <c r="H58" s="306">
        <v>1</v>
      </c>
      <c r="I58" s="339">
        <v>5</v>
      </c>
      <c r="J58" s="339">
        <f t="shared" si="0"/>
        <v>0.95</v>
      </c>
      <c r="K58" s="339">
        <f t="shared" si="9"/>
        <v>1.6448536269514715</v>
      </c>
      <c r="L58" s="339">
        <f t="shared" si="1"/>
        <v>5.0000000000000155E-2</v>
      </c>
      <c r="M58" s="339">
        <f t="shared" ref="M58:M66" si="31">1-_xlfn.NORM.DIST(K58,F58,H58,TRUE)</f>
        <v>0.13568170389550793</v>
      </c>
      <c r="N58" s="305">
        <f t="shared" si="2"/>
        <v>95</v>
      </c>
      <c r="O58" s="339">
        <f t="shared" si="3"/>
        <v>0.95</v>
      </c>
      <c r="P58" s="339">
        <f t="shared" si="4"/>
        <v>1.6448536269514715</v>
      </c>
      <c r="Q58" s="339">
        <f t="shared" si="5"/>
        <v>0.94999999999999984</v>
      </c>
      <c r="R58" s="306">
        <f t="shared" ref="R58:R66" si="32">_xlfn.NORM.DIST(P58,F58,H58, TRUE)</f>
        <v>0.86431829610449207</v>
      </c>
      <c r="S58" s="314" t="s">
        <v>56</v>
      </c>
      <c r="T58" s="307">
        <f t="shared" si="6"/>
        <v>2.9826423733404113</v>
      </c>
    </row>
    <row r="59" spans="2:20" x14ac:dyDescent="0.2">
      <c r="B59" s="1450"/>
      <c r="C59" s="1453"/>
      <c r="D59" s="305">
        <f t="shared" ref="D59:D61" si="33">$D$57</f>
        <v>0.65</v>
      </c>
      <c r="E59" s="486">
        <f t="shared" si="7"/>
        <v>0.38532046640756784</v>
      </c>
      <c r="F59" s="339">
        <f t="shared" si="8"/>
        <v>0.54492542945350908</v>
      </c>
      <c r="G59" s="339">
        <v>0</v>
      </c>
      <c r="H59" s="306">
        <v>1</v>
      </c>
      <c r="I59" s="339">
        <v>10</v>
      </c>
      <c r="J59" s="339">
        <f t="shared" si="0"/>
        <v>0.9</v>
      </c>
      <c r="K59" s="339">
        <f t="shared" si="9"/>
        <v>1.2815515655446006</v>
      </c>
      <c r="L59" s="339">
        <f t="shared" si="1"/>
        <v>9.9999999999999978E-2</v>
      </c>
      <c r="M59" s="339">
        <f t="shared" si="31"/>
        <v>0.230674868221037</v>
      </c>
      <c r="N59" s="305">
        <f t="shared" si="2"/>
        <v>90</v>
      </c>
      <c r="O59" s="339">
        <f t="shared" si="3"/>
        <v>0.9</v>
      </c>
      <c r="P59" s="339">
        <f t="shared" si="4"/>
        <v>1.2815515655446006</v>
      </c>
      <c r="Q59" s="339">
        <f t="shared" si="5"/>
        <v>0.9</v>
      </c>
      <c r="R59" s="306">
        <f t="shared" si="32"/>
        <v>0.769325131778963</v>
      </c>
      <c r="S59" s="314" t="s">
        <v>57</v>
      </c>
      <c r="T59" s="307">
        <f t="shared" si="6"/>
        <v>2.6985649216849144</v>
      </c>
    </row>
    <row r="60" spans="2:20" x14ac:dyDescent="0.2">
      <c r="B60" s="1450"/>
      <c r="C60" s="1453"/>
      <c r="D60" s="305">
        <f t="shared" si="33"/>
        <v>0.65</v>
      </c>
      <c r="E60" s="486">
        <f t="shared" si="7"/>
        <v>0.38532046640756784</v>
      </c>
      <c r="F60" s="339">
        <f t="shared" si="8"/>
        <v>0.54492542945350908</v>
      </c>
      <c r="G60" s="339">
        <v>0</v>
      </c>
      <c r="H60" s="306">
        <v>1</v>
      </c>
      <c r="I60" s="339">
        <v>20</v>
      </c>
      <c r="J60" s="339">
        <f t="shared" si="0"/>
        <v>0.8</v>
      </c>
      <c r="K60" s="339">
        <f t="shared" si="9"/>
        <v>0.84162123357291474</v>
      </c>
      <c r="L60" s="339">
        <f t="shared" si="1"/>
        <v>0.19999999999999984</v>
      </c>
      <c r="M60" s="339">
        <f t="shared" si="31"/>
        <v>0.38334938035373667</v>
      </c>
      <c r="N60" s="305">
        <f t="shared" si="2"/>
        <v>80</v>
      </c>
      <c r="O60" s="339">
        <f t="shared" si="3"/>
        <v>0.8</v>
      </c>
      <c r="P60" s="339">
        <f t="shared" si="4"/>
        <v>0.84162123357291474</v>
      </c>
      <c r="Q60" s="339">
        <f t="shared" si="5"/>
        <v>0.80000000000000016</v>
      </c>
      <c r="R60" s="306">
        <f t="shared" si="32"/>
        <v>0.61665061964626333</v>
      </c>
      <c r="S60" s="314" t="s">
        <v>58</v>
      </c>
      <c r="T60" s="307">
        <f t="shared" si="6"/>
        <v>2.4866552834967868</v>
      </c>
    </row>
    <row r="61" spans="2:20" x14ac:dyDescent="0.2">
      <c r="B61" s="1450"/>
      <c r="C61" s="1453"/>
      <c r="D61" s="305">
        <f t="shared" si="33"/>
        <v>0.65</v>
      </c>
      <c r="E61" s="486">
        <f t="shared" si="7"/>
        <v>0.38532046640756784</v>
      </c>
      <c r="F61" s="339">
        <f t="shared" si="8"/>
        <v>0.54492542945350908</v>
      </c>
      <c r="G61" s="339">
        <v>0</v>
      </c>
      <c r="H61" s="306">
        <v>1</v>
      </c>
      <c r="I61" s="339">
        <v>50</v>
      </c>
      <c r="J61" s="339">
        <f t="shared" si="0"/>
        <v>0.5</v>
      </c>
      <c r="K61" s="339">
        <f t="shared" si="9"/>
        <v>0</v>
      </c>
      <c r="L61" s="339">
        <f t="shared" si="1"/>
        <v>0.5</v>
      </c>
      <c r="M61" s="339">
        <f t="shared" si="31"/>
        <v>0.70709759705904096</v>
      </c>
      <c r="N61" s="305">
        <f t="shared" si="2"/>
        <v>50</v>
      </c>
      <c r="O61" s="339">
        <f t="shared" si="3"/>
        <v>0.5</v>
      </c>
      <c r="P61" s="339">
        <f t="shared" si="4"/>
        <v>0</v>
      </c>
      <c r="Q61" s="339">
        <f t="shared" si="5"/>
        <v>0.5</v>
      </c>
      <c r="R61" s="306">
        <f t="shared" si="32"/>
        <v>0.29290240294095904</v>
      </c>
      <c r="S61" s="314" t="s">
        <v>322</v>
      </c>
      <c r="T61" s="307">
        <f t="shared" si="6"/>
        <v>2.4141065076942101</v>
      </c>
    </row>
    <row r="62" spans="2:20" ht="17" customHeight="1" thickBot="1" x14ac:dyDescent="0.25">
      <c r="B62" s="1450"/>
      <c r="C62" s="1475" t="s">
        <v>131</v>
      </c>
      <c r="D62" s="326">
        <f>'S4 - Summ PRS Characteristics'!F24</f>
        <v>0.71</v>
      </c>
      <c r="E62" s="327">
        <f t="shared" si="7"/>
        <v>0.5533847195556727</v>
      </c>
      <c r="F62" s="328">
        <f t="shared" si="8"/>
        <v>0.78260417560566409</v>
      </c>
      <c r="G62" s="328">
        <v>0</v>
      </c>
      <c r="H62" s="329">
        <v>1</v>
      </c>
      <c r="I62" s="328">
        <v>1</v>
      </c>
      <c r="J62" s="328">
        <f t="shared" si="0"/>
        <v>0.99</v>
      </c>
      <c r="K62" s="328">
        <f t="shared" si="9"/>
        <v>2.3263478740408408</v>
      </c>
      <c r="L62" s="328">
        <f t="shared" si="1"/>
        <v>1.0000000000000009E-2</v>
      </c>
      <c r="M62" s="328">
        <f t="shared" si="31"/>
        <v>6.1325217777951857E-2</v>
      </c>
      <c r="N62" s="330">
        <f t="shared" si="2"/>
        <v>99</v>
      </c>
      <c r="O62" s="328">
        <f t="shared" si="3"/>
        <v>0.99</v>
      </c>
      <c r="P62" s="328">
        <f t="shared" si="4"/>
        <v>2.3263478740408408</v>
      </c>
      <c r="Q62" s="328">
        <f t="shared" si="5"/>
        <v>0.99</v>
      </c>
      <c r="R62" s="329">
        <f t="shared" si="32"/>
        <v>0.93867478222204814</v>
      </c>
      <c r="S62" s="331" t="s">
        <v>59</v>
      </c>
      <c r="T62" s="332">
        <f t="shared" si="6"/>
        <v>6.4678381426689446</v>
      </c>
    </row>
    <row r="63" spans="2:20" ht="17" thickTop="1" x14ac:dyDescent="0.2">
      <c r="B63" s="1450"/>
      <c r="C63" s="1435"/>
      <c r="D63" s="143">
        <f>$D$62</f>
        <v>0.71</v>
      </c>
      <c r="E63" s="9">
        <f t="shared" si="7"/>
        <v>0.5533847195556727</v>
      </c>
      <c r="F63">
        <f t="shared" si="8"/>
        <v>0.78260417560566409</v>
      </c>
      <c r="G63">
        <v>0</v>
      </c>
      <c r="H63" s="144">
        <v>1</v>
      </c>
      <c r="I63">
        <v>5</v>
      </c>
      <c r="J63">
        <f t="shared" si="0"/>
        <v>0.95</v>
      </c>
      <c r="K63">
        <f t="shared" si="9"/>
        <v>1.6448536269514715</v>
      </c>
      <c r="L63">
        <f t="shared" si="1"/>
        <v>5.0000000000000155E-2</v>
      </c>
      <c r="M63">
        <f t="shared" si="31"/>
        <v>0.19427513124430007</v>
      </c>
      <c r="N63" s="143">
        <f t="shared" si="2"/>
        <v>95</v>
      </c>
      <c r="O63">
        <f t="shared" si="3"/>
        <v>0.95</v>
      </c>
      <c r="P63">
        <f t="shared" si="4"/>
        <v>1.6448536269514715</v>
      </c>
      <c r="Q63">
        <f t="shared" si="5"/>
        <v>0.94999999999999984</v>
      </c>
      <c r="R63" s="144">
        <f t="shared" si="32"/>
        <v>0.80572486875569993</v>
      </c>
      <c r="S63" s="29" t="s">
        <v>60</v>
      </c>
      <c r="T63" s="301">
        <f t="shared" si="6"/>
        <v>4.5812505444223657</v>
      </c>
    </row>
    <row r="64" spans="2:20" x14ac:dyDescent="0.2">
      <c r="B64" s="1450"/>
      <c r="C64" s="1435"/>
      <c r="D64" s="143">
        <f t="shared" ref="D64:D66" si="34">$D$62</f>
        <v>0.71</v>
      </c>
      <c r="E64" s="9">
        <f t="shared" si="7"/>
        <v>0.5533847195556727</v>
      </c>
      <c r="F64">
        <f t="shared" si="8"/>
        <v>0.78260417560566409</v>
      </c>
      <c r="G64">
        <v>0</v>
      </c>
      <c r="H64" s="144">
        <v>1</v>
      </c>
      <c r="I64">
        <v>10</v>
      </c>
      <c r="J64">
        <f t="shared" si="0"/>
        <v>0.9</v>
      </c>
      <c r="K64">
        <f t="shared" si="9"/>
        <v>1.2815515655446006</v>
      </c>
      <c r="L64">
        <f t="shared" si="1"/>
        <v>9.9999999999999978E-2</v>
      </c>
      <c r="M64">
        <f t="shared" si="31"/>
        <v>0.30890822370077409</v>
      </c>
      <c r="N64" s="143">
        <f t="shared" si="2"/>
        <v>90</v>
      </c>
      <c r="O64">
        <f t="shared" si="3"/>
        <v>0.9</v>
      </c>
      <c r="P64">
        <f t="shared" si="4"/>
        <v>1.2815515655446006</v>
      </c>
      <c r="Q64">
        <f t="shared" si="5"/>
        <v>0.9</v>
      </c>
      <c r="R64" s="144">
        <f t="shared" si="32"/>
        <v>0.69109177629922591</v>
      </c>
      <c r="S64" s="29" t="s">
        <v>61</v>
      </c>
      <c r="T64" s="301">
        <f t="shared" si="6"/>
        <v>4.0228723718790427</v>
      </c>
    </row>
    <row r="65" spans="2:20" x14ac:dyDescent="0.2">
      <c r="B65" s="1450"/>
      <c r="C65" s="1435"/>
      <c r="D65" s="143">
        <f t="shared" si="34"/>
        <v>0.71</v>
      </c>
      <c r="E65" s="9">
        <f t="shared" si="7"/>
        <v>0.5533847195556727</v>
      </c>
      <c r="F65">
        <f t="shared" si="8"/>
        <v>0.78260417560566409</v>
      </c>
      <c r="G65">
        <v>0</v>
      </c>
      <c r="H65" s="144">
        <v>1</v>
      </c>
      <c r="I65">
        <v>20</v>
      </c>
      <c r="J65">
        <f t="shared" si="0"/>
        <v>0.8</v>
      </c>
      <c r="K65">
        <f t="shared" si="9"/>
        <v>0.84162123357291474</v>
      </c>
      <c r="L65">
        <f t="shared" si="1"/>
        <v>0.19999999999999984</v>
      </c>
      <c r="M65">
        <f t="shared" si="31"/>
        <v>0.47646926074981577</v>
      </c>
      <c r="N65" s="143">
        <f t="shared" si="2"/>
        <v>80</v>
      </c>
      <c r="O65">
        <f t="shared" si="3"/>
        <v>0.8</v>
      </c>
      <c r="P65">
        <f t="shared" si="4"/>
        <v>0.84162123357291474</v>
      </c>
      <c r="Q65">
        <f t="shared" si="5"/>
        <v>0.80000000000000016</v>
      </c>
      <c r="R65" s="144">
        <f t="shared" si="32"/>
        <v>0.52353073925018423</v>
      </c>
      <c r="S65" s="29" t="s">
        <v>62</v>
      </c>
      <c r="T65" s="301">
        <f t="shared" si="6"/>
        <v>3.6404300647731147</v>
      </c>
    </row>
    <row r="66" spans="2:20" ht="17" thickBot="1" x14ac:dyDescent="0.25">
      <c r="B66" s="1450"/>
      <c r="C66" s="1435"/>
      <c r="D66" s="143">
        <f t="shared" si="34"/>
        <v>0.71</v>
      </c>
      <c r="E66" s="9">
        <f t="shared" si="7"/>
        <v>0.5533847195556727</v>
      </c>
      <c r="F66">
        <f t="shared" si="8"/>
        <v>0.78260417560566409</v>
      </c>
      <c r="G66">
        <v>0</v>
      </c>
      <c r="H66" s="144">
        <v>1</v>
      </c>
      <c r="I66" s="5">
        <v>50</v>
      </c>
      <c r="J66" s="5">
        <f t="shared" si="0"/>
        <v>0.5</v>
      </c>
      <c r="K66" s="5">
        <f t="shared" si="9"/>
        <v>0</v>
      </c>
      <c r="L66" s="5">
        <f t="shared" si="1"/>
        <v>0.5</v>
      </c>
      <c r="M66" s="5">
        <f t="shared" si="31"/>
        <v>0.78307020565528895</v>
      </c>
      <c r="N66" s="302">
        <f t="shared" si="2"/>
        <v>50</v>
      </c>
      <c r="O66" s="5">
        <f t="shared" si="3"/>
        <v>0.5</v>
      </c>
      <c r="P66" s="5">
        <f t="shared" si="4"/>
        <v>0</v>
      </c>
      <c r="Q66" s="5">
        <f t="shared" si="5"/>
        <v>0.5</v>
      </c>
      <c r="R66" s="265">
        <f t="shared" si="32"/>
        <v>0.2169297943447111</v>
      </c>
      <c r="S66" s="30" t="s">
        <v>323</v>
      </c>
      <c r="T66" s="303">
        <f t="shared" si="6"/>
        <v>3.6097863275108977</v>
      </c>
    </row>
    <row r="67" spans="2:20" ht="17" customHeight="1" thickBot="1" x14ac:dyDescent="0.25">
      <c r="B67" s="1436" t="s">
        <v>13</v>
      </c>
      <c r="C67" s="1464" t="s">
        <v>129</v>
      </c>
      <c r="D67" s="308">
        <f>'S4 - Summ PRS Characteristics'!F9</f>
        <v>0.55800000000000005</v>
      </c>
      <c r="E67" s="284">
        <f t="shared" si="7"/>
        <v>0.14590042003299397</v>
      </c>
      <c r="F67" s="285">
        <f t="shared" si="8"/>
        <v>0.20633435276659129</v>
      </c>
      <c r="G67" s="285">
        <v>0</v>
      </c>
      <c r="H67" s="286">
        <v>1</v>
      </c>
      <c r="I67" s="287">
        <v>1</v>
      </c>
      <c r="J67" s="285">
        <f t="shared" si="0"/>
        <v>0.99</v>
      </c>
      <c r="K67" s="285">
        <f t="shared" si="9"/>
        <v>2.3263478740408408</v>
      </c>
      <c r="L67" s="285">
        <f t="shared" si="1"/>
        <v>1.0000000000000009E-2</v>
      </c>
      <c r="M67" s="285">
        <f>1-_xlfn.NORM.DIST(K67,F67,H67,TRUE)</f>
        <v>1.7002452516308053E-2</v>
      </c>
      <c r="N67" s="287">
        <f t="shared" si="2"/>
        <v>99</v>
      </c>
      <c r="O67" s="285">
        <f t="shared" si="3"/>
        <v>0.99</v>
      </c>
      <c r="P67" s="285">
        <f t="shared" si="4"/>
        <v>2.3263478740408408</v>
      </c>
      <c r="Q67" s="285">
        <f t="shared" si="5"/>
        <v>0.99</v>
      </c>
      <c r="R67" s="286">
        <f>_xlfn.NORM.DIST(P67,F67,H67, TRUE)</f>
        <v>0.98299754748369195</v>
      </c>
      <c r="S67" s="285" t="s">
        <v>49</v>
      </c>
      <c r="T67" s="288">
        <f t="shared" si="6"/>
        <v>1.7123570688689036</v>
      </c>
    </row>
    <row r="68" spans="2:20" ht="17" thickTop="1" x14ac:dyDescent="0.2">
      <c r="B68" s="1437"/>
      <c r="C68" s="1462"/>
      <c r="D68" s="289">
        <f>$D$67</f>
        <v>0.55800000000000005</v>
      </c>
      <c r="E68" s="290">
        <f t="shared" si="7"/>
        <v>0.14590042003299397</v>
      </c>
      <c r="F68" s="291">
        <f t="shared" si="8"/>
        <v>0.20633435276659129</v>
      </c>
      <c r="G68" s="291">
        <v>0</v>
      </c>
      <c r="H68" s="292">
        <v>1</v>
      </c>
      <c r="I68" s="289">
        <v>5</v>
      </c>
      <c r="J68" s="291">
        <f t="shared" si="0"/>
        <v>0.95</v>
      </c>
      <c r="K68" s="291">
        <f t="shared" si="9"/>
        <v>1.6448536269514715</v>
      </c>
      <c r="L68" s="291">
        <f t="shared" si="1"/>
        <v>5.0000000000000155E-2</v>
      </c>
      <c r="M68" s="291">
        <f t="shared" ref="M68:M71" si="35">1-_xlfn.NORM.DIST(K68,F68,H68,TRUE)</f>
        <v>7.514338635246598E-2</v>
      </c>
      <c r="N68" s="289">
        <f t="shared" si="2"/>
        <v>95</v>
      </c>
      <c r="O68" s="291">
        <f t="shared" si="3"/>
        <v>0.95</v>
      </c>
      <c r="P68" s="291">
        <f t="shared" si="4"/>
        <v>1.6448536269514715</v>
      </c>
      <c r="Q68" s="291">
        <f t="shared" si="5"/>
        <v>0.94999999999999984</v>
      </c>
      <c r="R68" s="292">
        <f t="shared" ref="R68:R71" si="36">_xlfn.NORM.DIST(P68,F68,H68, TRUE)</f>
        <v>0.92485661364753402</v>
      </c>
      <c r="S68" s="291" t="s">
        <v>51</v>
      </c>
      <c r="T68" s="293">
        <f t="shared" si="6"/>
        <v>1.5437250700582215</v>
      </c>
    </row>
    <row r="69" spans="2:20" x14ac:dyDescent="0.2">
      <c r="B69" s="1437"/>
      <c r="C69" s="1462"/>
      <c r="D69" s="289">
        <f t="shared" ref="D69:D71" si="37">$D$67</f>
        <v>0.55800000000000005</v>
      </c>
      <c r="E69" s="290">
        <f t="shared" si="7"/>
        <v>0.14590042003299397</v>
      </c>
      <c r="F69" s="291">
        <f t="shared" si="8"/>
        <v>0.20633435276659129</v>
      </c>
      <c r="G69" s="291">
        <v>0</v>
      </c>
      <c r="H69" s="292">
        <v>1</v>
      </c>
      <c r="I69" s="289">
        <v>10</v>
      </c>
      <c r="J69" s="291">
        <f t="shared" si="0"/>
        <v>0.9</v>
      </c>
      <c r="K69" s="291">
        <f t="shared" si="9"/>
        <v>1.2815515655446006</v>
      </c>
      <c r="L69" s="291">
        <f t="shared" si="1"/>
        <v>9.9999999999999978E-2</v>
      </c>
      <c r="M69" s="291">
        <f t="shared" si="35"/>
        <v>0.141138745397271</v>
      </c>
      <c r="N69" s="289">
        <f t="shared" si="2"/>
        <v>90</v>
      </c>
      <c r="O69" s="291">
        <f t="shared" si="3"/>
        <v>0.9</v>
      </c>
      <c r="P69" s="291">
        <f t="shared" si="4"/>
        <v>1.2815515655446006</v>
      </c>
      <c r="Q69" s="291">
        <f t="shared" si="5"/>
        <v>0.9</v>
      </c>
      <c r="R69" s="292">
        <f t="shared" si="36"/>
        <v>0.858861254602729</v>
      </c>
      <c r="S69" s="291" t="s">
        <v>52</v>
      </c>
      <c r="T69" s="293">
        <f t="shared" si="6"/>
        <v>1.478991748397126</v>
      </c>
    </row>
    <row r="70" spans="2:20" x14ac:dyDescent="0.2">
      <c r="B70" s="1437"/>
      <c r="C70" s="1462"/>
      <c r="D70" s="289">
        <f t="shared" si="37"/>
        <v>0.55800000000000005</v>
      </c>
      <c r="E70" s="290">
        <f t="shared" si="7"/>
        <v>0.14590042003299397</v>
      </c>
      <c r="F70" s="291">
        <f t="shared" si="8"/>
        <v>0.20633435276659129</v>
      </c>
      <c r="G70" s="291">
        <v>0</v>
      </c>
      <c r="H70" s="292">
        <v>1</v>
      </c>
      <c r="I70" s="289">
        <v>20</v>
      </c>
      <c r="J70" s="291">
        <f t="shared" si="0"/>
        <v>0.8</v>
      </c>
      <c r="K70" s="291">
        <f t="shared" si="9"/>
        <v>0.84162123357291474</v>
      </c>
      <c r="L70" s="291">
        <f t="shared" si="1"/>
        <v>0.19999999999999984</v>
      </c>
      <c r="M70" s="291">
        <f t="shared" si="35"/>
        <v>0.26262066417481478</v>
      </c>
      <c r="N70" s="289">
        <f t="shared" si="2"/>
        <v>80</v>
      </c>
      <c r="O70" s="291">
        <f t="shared" si="3"/>
        <v>0.8</v>
      </c>
      <c r="P70" s="291">
        <f t="shared" si="4"/>
        <v>0.84162123357291474</v>
      </c>
      <c r="Q70" s="291">
        <f t="shared" si="5"/>
        <v>0.80000000000000016</v>
      </c>
      <c r="R70" s="292">
        <f t="shared" si="36"/>
        <v>0.73737933582518522</v>
      </c>
      <c r="S70" s="291" t="s">
        <v>54</v>
      </c>
      <c r="T70" s="293">
        <f t="shared" si="6"/>
        <v>1.4246163482784446</v>
      </c>
    </row>
    <row r="71" spans="2:20" x14ac:dyDescent="0.2">
      <c r="B71" s="1437"/>
      <c r="C71" s="1465"/>
      <c r="D71" s="289">
        <f t="shared" si="37"/>
        <v>0.55800000000000005</v>
      </c>
      <c r="E71" s="290">
        <f t="shared" si="7"/>
        <v>0.14590042003299397</v>
      </c>
      <c r="F71" s="291">
        <f t="shared" si="8"/>
        <v>0.20633435276659129</v>
      </c>
      <c r="G71" s="291">
        <v>0</v>
      </c>
      <c r="H71" s="292">
        <v>1</v>
      </c>
      <c r="I71" s="289">
        <v>50</v>
      </c>
      <c r="J71" s="291">
        <f t="shared" si="0"/>
        <v>0.5</v>
      </c>
      <c r="K71" s="291">
        <f t="shared" si="9"/>
        <v>0</v>
      </c>
      <c r="L71" s="291">
        <f t="shared" si="1"/>
        <v>0.5</v>
      </c>
      <c r="M71" s="291">
        <f t="shared" si="35"/>
        <v>0.58173512690251183</v>
      </c>
      <c r="N71" s="289">
        <f t="shared" si="2"/>
        <v>50</v>
      </c>
      <c r="O71" s="291">
        <f t="shared" si="3"/>
        <v>0.5</v>
      </c>
      <c r="P71" s="291">
        <f t="shared" si="4"/>
        <v>0</v>
      </c>
      <c r="Q71" s="291">
        <f t="shared" si="5"/>
        <v>0.5</v>
      </c>
      <c r="R71" s="292">
        <f t="shared" si="36"/>
        <v>0.41826487309748817</v>
      </c>
      <c r="S71" s="291" t="s">
        <v>321</v>
      </c>
      <c r="T71" s="293">
        <f t="shared" si="6"/>
        <v>1.3908295061797418</v>
      </c>
    </row>
    <row r="72" spans="2:20" ht="17" customHeight="1" thickBot="1" x14ac:dyDescent="0.25">
      <c r="B72" s="1437"/>
      <c r="C72" s="1466" t="s">
        <v>130</v>
      </c>
      <c r="D72" s="487">
        <f>'S4 - Summ PRS Characteristics'!F17</f>
        <v>0.61399999999999999</v>
      </c>
      <c r="E72" s="327">
        <f t="shared" si="7"/>
        <v>0.28975980522891426</v>
      </c>
      <c r="F72" s="328">
        <f t="shared" si="8"/>
        <v>0.40978224638531702</v>
      </c>
      <c r="G72" s="328">
        <v>0</v>
      </c>
      <c r="H72" s="329">
        <v>1</v>
      </c>
      <c r="I72" s="330">
        <v>1</v>
      </c>
      <c r="J72" s="328">
        <f t="shared" si="0"/>
        <v>0.99</v>
      </c>
      <c r="K72" s="328">
        <f t="shared" si="9"/>
        <v>2.3263478740408408</v>
      </c>
      <c r="L72" s="328">
        <f t="shared" si="1"/>
        <v>1.0000000000000009E-2</v>
      </c>
      <c r="M72" s="328">
        <f>1-_xlfn.NORM.DIST(K72,F72,H72,TRUE)</f>
        <v>2.7646569126869358E-2</v>
      </c>
      <c r="N72" s="330">
        <f t="shared" si="2"/>
        <v>99</v>
      </c>
      <c r="O72" s="328">
        <f t="shared" si="3"/>
        <v>0.99</v>
      </c>
      <c r="P72" s="328">
        <f t="shared" si="4"/>
        <v>2.3263478740408408</v>
      </c>
      <c r="Q72" s="328">
        <f t="shared" si="5"/>
        <v>0.99</v>
      </c>
      <c r="R72" s="329">
        <f>_xlfn.NORM.DIST(P72,F72,H72, TRUE)</f>
        <v>0.97235343087313064</v>
      </c>
      <c r="S72" s="328" t="s">
        <v>55</v>
      </c>
      <c r="T72" s="332">
        <f t="shared" si="6"/>
        <v>2.8148307566543465</v>
      </c>
    </row>
    <row r="73" spans="2:20" ht="17" thickTop="1" x14ac:dyDescent="0.2">
      <c r="B73" s="1437"/>
      <c r="C73" s="1448"/>
      <c r="D73" s="143">
        <f>$D$72</f>
        <v>0.61399999999999999</v>
      </c>
      <c r="E73" s="9">
        <f t="shared" si="7"/>
        <v>0.28975980522891426</v>
      </c>
      <c r="F73">
        <f t="shared" si="8"/>
        <v>0.40978224638531702</v>
      </c>
      <c r="G73">
        <v>0</v>
      </c>
      <c r="H73" s="144">
        <v>1</v>
      </c>
      <c r="I73" s="143">
        <v>5</v>
      </c>
      <c r="J73">
        <f t="shared" si="0"/>
        <v>0.95</v>
      </c>
      <c r="K73">
        <f t="shared" si="9"/>
        <v>1.6448536269514715</v>
      </c>
      <c r="L73">
        <f t="shared" si="1"/>
        <v>5.0000000000000155E-2</v>
      </c>
      <c r="M73">
        <f t="shared" ref="M73:M81" si="38">1-_xlfn.NORM.DIST(K73,F73,H73,TRUE)</f>
        <v>0.10840196979349248</v>
      </c>
      <c r="N73" s="143">
        <f t="shared" si="2"/>
        <v>95</v>
      </c>
      <c r="O73">
        <f t="shared" si="3"/>
        <v>0.95</v>
      </c>
      <c r="P73">
        <f t="shared" si="4"/>
        <v>1.6448536269514715</v>
      </c>
      <c r="Q73">
        <f t="shared" si="5"/>
        <v>0.94999999999999984</v>
      </c>
      <c r="R73" s="144">
        <f t="shared" ref="R73:R81" si="39">_xlfn.NORM.DIST(P73,F73,H73, TRUE)</f>
        <v>0.89159803020650752</v>
      </c>
      <c r="S73" t="s">
        <v>56</v>
      </c>
      <c r="T73" s="301">
        <f t="shared" si="6"/>
        <v>2.3100515661741734</v>
      </c>
    </row>
    <row r="74" spans="2:20" x14ac:dyDescent="0.2">
      <c r="B74" s="1437"/>
      <c r="C74" s="1448"/>
      <c r="D74" s="143">
        <f t="shared" ref="D74:D76" si="40">$D$72</f>
        <v>0.61399999999999999</v>
      </c>
      <c r="E74" s="9">
        <f t="shared" si="7"/>
        <v>0.28975980522891426</v>
      </c>
      <c r="F74">
        <f t="shared" si="8"/>
        <v>0.40978224638531702</v>
      </c>
      <c r="G74">
        <v>0</v>
      </c>
      <c r="H74" s="144">
        <v>1</v>
      </c>
      <c r="I74" s="143">
        <v>10</v>
      </c>
      <c r="J74">
        <f t="shared" si="0"/>
        <v>0.9</v>
      </c>
      <c r="K74">
        <f t="shared" si="9"/>
        <v>1.2815515655446006</v>
      </c>
      <c r="L74">
        <f t="shared" si="1"/>
        <v>9.9999999999999978E-2</v>
      </c>
      <c r="M74">
        <f t="shared" si="38"/>
        <v>0.19166711765232003</v>
      </c>
      <c r="N74" s="143">
        <f t="shared" si="2"/>
        <v>90</v>
      </c>
      <c r="O74">
        <f t="shared" si="3"/>
        <v>0.9</v>
      </c>
      <c r="P74">
        <f t="shared" si="4"/>
        <v>1.2815515655446006</v>
      </c>
      <c r="Q74">
        <f t="shared" si="5"/>
        <v>0.9</v>
      </c>
      <c r="R74" s="144">
        <f t="shared" si="39"/>
        <v>0.80833288234767997</v>
      </c>
      <c r="S74" t="s">
        <v>57</v>
      </c>
      <c r="T74" s="301">
        <f t="shared" si="6"/>
        <v>2.1340268304573589</v>
      </c>
    </row>
    <row r="75" spans="2:20" x14ac:dyDescent="0.2">
      <c r="B75" s="1437"/>
      <c r="C75" s="1448"/>
      <c r="D75" s="143">
        <f t="shared" si="40"/>
        <v>0.61399999999999999</v>
      </c>
      <c r="E75" s="9">
        <f t="shared" si="7"/>
        <v>0.28975980522891426</v>
      </c>
      <c r="F75">
        <f t="shared" si="8"/>
        <v>0.40978224638531702</v>
      </c>
      <c r="G75">
        <v>0</v>
      </c>
      <c r="H75" s="144">
        <v>1</v>
      </c>
      <c r="I75" s="143">
        <v>20</v>
      </c>
      <c r="J75">
        <f t="shared" si="0"/>
        <v>0.8</v>
      </c>
      <c r="K75">
        <f t="shared" si="9"/>
        <v>0.84162123357291474</v>
      </c>
      <c r="L75">
        <f t="shared" si="1"/>
        <v>0.19999999999999984</v>
      </c>
      <c r="M75">
        <f t="shared" si="38"/>
        <v>0.33292922070870778</v>
      </c>
      <c r="N75" s="143">
        <f t="shared" si="2"/>
        <v>80</v>
      </c>
      <c r="O75">
        <f t="shared" si="3"/>
        <v>0.8</v>
      </c>
      <c r="P75">
        <f t="shared" si="4"/>
        <v>0.84162123357291474</v>
      </c>
      <c r="Q75">
        <f t="shared" si="5"/>
        <v>0.80000000000000016</v>
      </c>
      <c r="R75" s="144">
        <f t="shared" si="39"/>
        <v>0.66707077929129222</v>
      </c>
      <c r="S75" t="s">
        <v>58</v>
      </c>
      <c r="T75" s="301">
        <f t="shared" si="6"/>
        <v>1.996365189687475</v>
      </c>
    </row>
    <row r="76" spans="2:20" x14ac:dyDescent="0.2">
      <c r="B76" s="1437"/>
      <c r="C76" s="1467"/>
      <c r="D76" s="320">
        <f t="shared" si="40"/>
        <v>0.61399999999999999</v>
      </c>
      <c r="E76" s="321">
        <f t="shared" si="7"/>
        <v>0.28975980522891426</v>
      </c>
      <c r="F76" s="322">
        <f t="shared" si="8"/>
        <v>0.40978224638531702</v>
      </c>
      <c r="G76" s="322">
        <v>0</v>
      </c>
      <c r="H76" s="323">
        <v>1</v>
      </c>
      <c r="I76" s="320">
        <v>50</v>
      </c>
      <c r="J76" s="322">
        <f t="shared" si="0"/>
        <v>0.5</v>
      </c>
      <c r="K76" s="322">
        <f t="shared" si="9"/>
        <v>0</v>
      </c>
      <c r="L76" s="322">
        <f t="shared" si="1"/>
        <v>0.5</v>
      </c>
      <c r="M76" s="322">
        <f t="shared" si="38"/>
        <v>0.65901715463013899</v>
      </c>
      <c r="N76" s="320">
        <f t="shared" si="2"/>
        <v>50</v>
      </c>
      <c r="O76" s="322">
        <f t="shared" si="3"/>
        <v>0.5</v>
      </c>
      <c r="P76" s="322">
        <f t="shared" si="4"/>
        <v>0</v>
      </c>
      <c r="Q76" s="322">
        <f t="shared" si="5"/>
        <v>0.5</v>
      </c>
      <c r="R76" s="323">
        <f t="shared" si="39"/>
        <v>0.34098284536986101</v>
      </c>
      <c r="S76" s="322" t="s">
        <v>322</v>
      </c>
      <c r="T76" s="325">
        <f t="shared" si="6"/>
        <v>1.932698854440343</v>
      </c>
    </row>
    <row r="77" spans="2:20" ht="17" customHeight="1" thickBot="1" x14ac:dyDescent="0.25">
      <c r="B77" s="1437"/>
      <c r="C77" s="1468" t="s">
        <v>131</v>
      </c>
      <c r="D77" s="319">
        <f>'S4 - Summ PRS Characteristics'!F25</f>
        <v>0.64</v>
      </c>
      <c r="E77" s="290">
        <f t="shared" si="7"/>
        <v>0.35845879325119384</v>
      </c>
      <c r="F77" s="291">
        <f t="shared" si="8"/>
        <v>0.50693728696773166</v>
      </c>
      <c r="G77" s="291">
        <v>0</v>
      </c>
      <c r="H77" s="292">
        <v>1</v>
      </c>
      <c r="I77" s="289">
        <v>1</v>
      </c>
      <c r="J77" s="291">
        <f t="shared" si="0"/>
        <v>0.99</v>
      </c>
      <c r="K77" s="291">
        <f t="shared" si="9"/>
        <v>2.3263478740408408</v>
      </c>
      <c r="L77" s="291">
        <f t="shared" si="1"/>
        <v>1.0000000000000009E-2</v>
      </c>
      <c r="M77" s="291">
        <f t="shared" si="38"/>
        <v>3.4424406353715686E-2</v>
      </c>
      <c r="N77" s="289">
        <f t="shared" si="2"/>
        <v>99</v>
      </c>
      <c r="O77" s="291">
        <f t="shared" si="3"/>
        <v>0.99</v>
      </c>
      <c r="P77" s="291">
        <f t="shared" si="4"/>
        <v>2.3263478740408408</v>
      </c>
      <c r="Q77" s="291">
        <f t="shared" si="5"/>
        <v>0.99</v>
      </c>
      <c r="R77" s="292">
        <f t="shared" si="39"/>
        <v>0.96557559364628431</v>
      </c>
      <c r="S77" s="291" t="s">
        <v>59</v>
      </c>
      <c r="T77" s="293">
        <f t="shared" si="6"/>
        <v>3.529517783427214</v>
      </c>
    </row>
    <row r="78" spans="2:20" ht="17" thickTop="1" x14ac:dyDescent="0.2">
      <c r="B78" s="1437"/>
      <c r="C78" s="1469"/>
      <c r="D78" s="289">
        <f>$D$77</f>
        <v>0.64</v>
      </c>
      <c r="E78" s="290">
        <f t="shared" si="7"/>
        <v>0.35845879325119384</v>
      </c>
      <c r="F78" s="291">
        <f t="shared" si="8"/>
        <v>0.50693728696773166</v>
      </c>
      <c r="G78" s="291">
        <v>0</v>
      </c>
      <c r="H78" s="292">
        <v>1</v>
      </c>
      <c r="I78" s="289">
        <v>5</v>
      </c>
      <c r="J78" s="291">
        <f t="shared" si="0"/>
        <v>0.95</v>
      </c>
      <c r="K78" s="291">
        <f t="shared" si="9"/>
        <v>1.6448536269514715</v>
      </c>
      <c r="L78" s="291">
        <f t="shared" si="1"/>
        <v>5.0000000000000155E-2</v>
      </c>
      <c r="M78" s="291">
        <f t="shared" si="38"/>
        <v>0.12757770877620067</v>
      </c>
      <c r="N78" s="289">
        <f t="shared" si="2"/>
        <v>95</v>
      </c>
      <c r="O78" s="291">
        <f t="shared" si="3"/>
        <v>0.95</v>
      </c>
      <c r="P78" s="291">
        <f t="shared" si="4"/>
        <v>1.6448536269514715</v>
      </c>
      <c r="Q78" s="291">
        <f t="shared" si="5"/>
        <v>0.94999999999999984</v>
      </c>
      <c r="R78" s="292">
        <f t="shared" si="39"/>
        <v>0.87242229122379933</v>
      </c>
      <c r="S78" s="291" t="s">
        <v>60</v>
      </c>
      <c r="T78" s="293">
        <f t="shared" si="6"/>
        <v>2.7784439842172612</v>
      </c>
    </row>
    <row r="79" spans="2:20" x14ac:dyDescent="0.2">
      <c r="B79" s="1437"/>
      <c r="C79" s="1469"/>
      <c r="D79" s="289">
        <f t="shared" ref="D79:D81" si="41">$D$77</f>
        <v>0.64</v>
      </c>
      <c r="E79" s="290">
        <f t="shared" si="7"/>
        <v>0.35845879325119384</v>
      </c>
      <c r="F79" s="291">
        <f t="shared" si="8"/>
        <v>0.50693728696773166</v>
      </c>
      <c r="G79" s="291">
        <v>0</v>
      </c>
      <c r="H79" s="292">
        <v>1</v>
      </c>
      <c r="I79" s="289">
        <v>10</v>
      </c>
      <c r="J79" s="291">
        <f t="shared" si="0"/>
        <v>0.9</v>
      </c>
      <c r="K79" s="291">
        <f t="shared" si="9"/>
        <v>1.2815515655446006</v>
      </c>
      <c r="L79" s="291">
        <f t="shared" si="1"/>
        <v>9.9999999999999978E-2</v>
      </c>
      <c r="M79" s="291">
        <f t="shared" si="38"/>
        <v>0.21928380874767772</v>
      </c>
      <c r="N79" s="289">
        <f t="shared" si="2"/>
        <v>90</v>
      </c>
      <c r="O79" s="291">
        <f t="shared" si="3"/>
        <v>0.9</v>
      </c>
      <c r="P79" s="291">
        <f t="shared" si="4"/>
        <v>1.2815515655446006</v>
      </c>
      <c r="Q79" s="291">
        <f t="shared" si="5"/>
        <v>0.9</v>
      </c>
      <c r="R79" s="292">
        <f t="shared" si="39"/>
        <v>0.78071619125232228</v>
      </c>
      <c r="S79" s="291" t="s">
        <v>61</v>
      </c>
      <c r="T79" s="293">
        <f t="shared" si="6"/>
        <v>2.5278767122318593</v>
      </c>
    </row>
    <row r="80" spans="2:20" x14ac:dyDescent="0.2">
      <c r="B80" s="1437"/>
      <c r="C80" s="1469"/>
      <c r="D80" s="289">
        <f t="shared" si="41"/>
        <v>0.64</v>
      </c>
      <c r="E80" s="290">
        <f t="shared" si="7"/>
        <v>0.35845879325119384</v>
      </c>
      <c r="F80" s="291">
        <f t="shared" si="8"/>
        <v>0.50693728696773166</v>
      </c>
      <c r="G80" s="291">
        <v>0</v>
      </c>
      <c r="H80" s="292">
        <v>1</v>
      </c>
      <c r="I80" s="289">
        <v>20</v>
      </c>
      <c r="J80" s="291">
        <f t="shared" si="0"/>
        <v>0.8</v>
      </c>
      <c r="K80" s="291">
        <f t="shared" si="9"/>
        <v>0.84162123357291474</v>
      </c>
      <c r="L80" s="291">
        <f t="shared" si="1"/>
        <v>0.19999999999999984</v>
      </c>
      <c r="M80" s="291">
        <f t="shared" si="38"/>
        <v>0.36893175625788766</v>
      </c>
      <c r="N80" s="289">
        <f t="shared" si="2"/>
        <v>80</v>
      </c>
      <c r="O80" s="291">
        <f t="shared" si="3"/>
        <v>0.8</v>
      </c>
      <c r="P80" s="291">
        <f t="shared" si="4"/>
        <v>0.84162123357291474</v>
      </c>
      <c r="Q80" s="291">
        <f t="shared" si="5"/>
        <v>0.80000000000000016</v>
      </c>
      <c r="R80" s="292">
        <f t="shared" si="39"/>
        <v>0.63106824374211234</v>
      </c>
      <c r="S80" s="291" t="s">
        <v>62</v>
      </c>
      <c r="T80" s="293">
        <f t="shared" si="6"/>
        <v>2.3384587002520947</v>
      </c>
    </row>
    <row r="81" spans="2:20" ht="17" thickBot="1" x14ac:dyDescent="0.25">
      <c r="B81" s="1438"/>
      <c r="C81" s="1470"/>
      <c r="D81" s="294">
        <f t="shared" si="41"/>
        <v>0.64</v>
      </c>
      <c r="E81" s="295">
        <f t="shared" si="7"/>
        <v>0.35845879325119384</v>
      </c>
      <c r="F81" s="296">
        <f t="shared" si="8"/>
        <v>0.50693728696773166</v>
      </c>
      <c r="G81" s="296">
        <v>0</v>
      </c>
      <c r="H81" s="297">
        <v>1</v>
      </c>
      <c r="I81" s="296">
        <v>50</v>
      </c>
      <c r="J81" s="296">
        <f t="shared" si="0"/>
        <v>0.5</v>
      </c>
      <c r="K81" s="296">
        <f t="shared" si="9"/>
        <v>0</v>
      </c>
      <c r="L81" s="296">
        <f t="shared" si="1"/>
        <v>0.5</v>
      </c>
      <c r="M81" s="296">
        <f t="shared" si="38"/>
        <v>0.69390058896161411</v>
      </c>
      <c r="N81" s="294">
        <f t="shared" si="2"/>
        <v>50</v>
      </c>
      <c r="O81" s="296">
        <f t="shared" si="3"/>
        <v>0.5</v>
      </c>
      <c r="P81" s="296">
        <f t="shared" si="4"/>
        <v>0</v>
      </c>
      <c r="Q81" s="296">
        <f t="shared" si="5"/>
        <v>0.5</v>
      </c>
      <c r="R81" s="297">
        <f t="shared" si="39"/>
        <v>0.30609941103838589</v>
      </c>
      <c r="S81" s="296" t="s">
        <v>323</v>
      </c>
      <c r="T81" s="298">
        <f t="shared" si="6"/>
        <v>2.2669125255997198</v>
      </c>
    </row>
    <row r="82" spans="2:20" ht="17" customHeight="1" thickBot="1" x14ac:dyDescent="0.25">
      <c r="B82" s="1449" t="s">
        <v>14</v>
      </c>
      <c r="C82" s="1471" t="s">
        <v>129</v>
      </c>
      <c r="D82" s="304">
        <f>'S4 - Summ PRS Characteristics'!F10</f>
        <v>0.51700000000000002</v>
      </c>
      <c r="E82" s="109">
        <f t="shared" si="7"/>
        <v>4.2625585176944369E-2</v>
      </c>
      <c r="F82" s="142">
        <f t="shared" si="8"/>
        <v>6.0281680661324298E-2</v>
      </c>
      <c r="G82" s="142">
        <v>0</v>
      </c>
      <c r="H82" s="299">
        <v>1</v>
      </c>
      <c r="I82">
        <v>1</v>
      </c>
      <c r="J82">
        <f t="shared" si="0"/>
        <v>0.99</v>
      </c>
      <c r="K82">
        <f t="shared" si="9"/>
        <v>2.3263478740408408</v>
      </c>
      <c r="L82">
        <f t="shared" si="1"/>
        <v>1.0000000000000009E-2</v>
      </c>
      <c r="M82" s="144">
        <f>1-_xlfn.NORM.DIST(K82,F82,H82,TRUE)</f>
        <v>1.1723665369132052E-2</v>
      </c>
      <c r="N82" s="141">
        <f t="shared" si="2"/>
        <v>99</v>
      </c>
      <c r="O82" s="142">
        <f t="shared" si="3"/>
        <v>0.99</v>
      </c>
      <c r="P82" s="142">
        <f t="shared" si="4"/>
        <v>2.3263478740408408</v>
      </c>
      <c r="Q82" s="142">
        <f t="shared" si="5"/>
        <v>0.99</v>
      </c>
      <c r="R82" s="299">
        <f>_xlfn.NORM.DIST(P82,F82,H82, TRUE)</f>
        <v>0.98827633463086795</v>
      </c>
      <c r="S82" s="144" t="s">
        <v>49</v>
      </c>
      <c r="T82" s="300">
        <f t="shared" si="6"/>
        <v>1.1744112763537791</v>
      </c>
    </row>
    <row r="83" spans="2:20" ht="17" thickTop="1" x14ac:dyDescent="0.2">
      <c r="B83" s="1450"/>
      <c r="C83" s="1472"/>
      <c r="D83" s="143">
        <f>$D$82</f>
        <v>0.51700000000000002</v>
      </c>
      <c r="E83" s="9">
        <f t="shared" si="7"/>
        <v>4.2625585176944369E-2</v>
      </c>
      <c r="F83">
        <f t="shared" si="8"/>
        <v>6.0281680661324298E-2</v>
      </c>
      <c r="G83">
        <v>0</v>
      </c>
      <c r="H83" s="144">
        <v>1</v>
      </c>
      <c r="I83">
        <v>5</v>
      </c>
      <c r="J83">
        <f t="shared" si="0"/>
        <v>0.95</v>
      </c>
      <c r="K83">
        <f t="shared" si="9"/>
        <v>1.6448536269514715</v>
      </c>
      <c r="L83">
        <f t="shared" si="1"/>
        <v>5.0000000000000155E-2</v>
      </c>
      <c r="M83" s="144">
        <f t="shared" ref="M83:M86" si="42">1-_xlfn.NORM.DIST(K83,F83,H83,TRUE)</f>
        <v>5.6531811542583243E-2</v>
      </c>
      <c r="N83" s="143">
        <f t="shared" si="2"/>
        <v>95</v>
      </c>
      <c r="O83">
        <f t="shared" si="3"/>
        <v>0.95</v>
      </c>
      <c r="P83">
        <f t="shared" si="4"/>
        <v>1.6448536269514715</v>
      </c>
      <c r="Q83">
        <f t="shared" si="5"/>
        <v>0.94999999999999984</v>
      </c>
      <c r="R83" s="144">
        <f t="shared" ref="R83:R86" si="43">_xlfn.NORM.DIST(P83,F83,H83, TRUE)</f>
        <v>0.94346818845741676</v>
      </c>
      <c r="S83" s="144" t="s">
        <v>51</v>
      </c>
      <c r="T83" s="301">
        <f t="shared" si="6"/>
        <v>1.1384638427133968</v>
      </c>
    </row>
    <row r="84" spans="2:20" x14ac:dyDescent="0.2">
      <c r="B84" s="1450"/>
      <c r="C84" s="1472"/>
      <c r="D84" s="143">
        <f t="shared" ref="D84:D86" si="44">$D$82</f>
        <v>0.51700000000000002</v>
      </c>
      <c r="E84" s="9">
        <f t="shared" si="7"/>
        <v>4.2625585176944369E-2</v>
      </c>
      <c r="F84">
        <f t="shared" si="8"/>
        <v>6.0281680661324298E-2</v>
      </c>
      <c r="G84">
        <v>0</v>
      </c>
      <c r="H84" s="144">
        <v>1</v>
      </c>
      <c r="I84">
        <v>10</v>
      </c>
      <c r="J84">
        <f t="shared" si="0"/>
        <v>0.9</v>
      </c>
      <c r="K84">
        <f t="shared" si="9"/>
        <v>1.2815515655446006</v>
      </c>
      <c r="L84">
        <f t="shared" si="1"/>
        <v>9.9999999999999978E-2</v>
      </c>
      <c r="M84" s="144">
        <f t="shared" si="42"/>
        <v>0.11099192587684381</v>
      </c>
      <c r="N84" s="143">
        <f t="shared" si="2"/>
        <v>90</v>
      </c>
      <c r="O84">
        <f t="shared" si="3"/>
        <v>0.9</v>
      </c>
      <c r="P84">
        <f t="shared" si="4"/>
        <v>1.2815515655446006</v>
      </c>
      <c r="Q84">
        <f t="shared" si="5"/>
        <v>0.9</v>
      </c>
      <c r="R84" s="144">
        <f t="shared" si="43"/>
        <v>0.88900807412315619</v>
      </c>
      <c r="S84" s="144" t="s">
        <v>52</v>
      </c>
      <c r="T84" s="301">
        <f t="shared" si="6"/>
        <v>1.1236425876973655</v>
      </c>
    </row>
    <row r="85" spans="2:20" x14ac:dyDescent="0.2">
      <c r="B85" s="1450"/>
      <c r="C85" s="1472"/>
      <c r="D85" s="143">
        <f t="shared" si="44"/>
        <v>0.51700000000000002</v>
      </c>
      <c r="E85" s="9">
        <f t="shared" si="7"/>
        <v>4.2625585176944369E-2</v>
      </c>
      <c r="F85">
        <f t="shared" si="8"/>
        <v>6.0281680661324298E-2</v>
      </c>
      <c r="G85">
        <v>0</v>
      </c>
      <c r="H85" s="144">
        <v>1</v>
      </c>
      <c r="I85">
        <v>20</v>
      </c>
      <c r="J85">
        <f t="shared" si="0"/>
        <v>0.8</v>
      </c>
      <c r="K85">
        <f t="shared" si="9"/>
        <v>0.84162123357291474</v>
      </c>
      <c r="L85">
        <f t="shared" si="1"/>
        <v>0.19999999999999984</v>
      </c>
      <c r="M85" s="144">
        <f t="shared" si="42"/>
        <v>0.21730140643188034</v>
      </c>
      <c r="N85" s="143">
        <f t="shared" si="2"/>
        <v>80</v>
      </c>
      <c r="O85">
        <f t="shared" si="3"/>
        <v>0.8</v>
      </c>
      <c r="P85">
        <f t="shared" si="4"/>
        <v>0.84162123357291474</v>
      </c>
      <c r="Q85">
        <f t="shared" si="5"/>
        <v>0.80000000000000016</v>
      </c>
      <c r="R85" s="144">
        <f t="shared" si="43"/>
        <v>0.78269859356811966</v>
      </c>
      <c r="S85" s="144" t="s">
        <v>54</v>
      </c>
      <c r="T85" s="301">
        <f t="shared" si="6"/>
        <v>1.1105240674638746</v>
      </c>
    </row>
    <row r="86" spans="2:20" x14ac:dyDescent="0.2">
      <c r="B86" s="1450"/>
      <c r="C86" s="1467"/>
      <c r="D86" s="143">
        <f t="shared" si="44"/>
        <v>0.51700000000000002</v>
      </c>
      <c r="E86" s="9">
        <f t="shared" si="7"/>
        <v>4.2625585176944369E-2</v>
      </c>
      <c r="F86">
        <f t="shared" si="8"/>
        <v>6.0281680661324298E-2</v>
      </c>
      <c r="G86">
        <v>0</v>
      </c>
      <c r="H86" s="144">
        <v>1</v>
      </c>
      <c r="I86">
        <v>50</v>
      </c>
      <c r="J86">
        <f t="shared" si="0"/>
        <v>0.5</v>
      </c>
      <c r="K86">
        <f t="shared" si="9"/>
        <v>0</v>
      </c>
      <c r="L86">
        <f t="shared" si="1"/>
        <v>0.5</v>
      </c>
      <c r="M86" s="144">
        <f t="shared" si="42"/>
        <v>0.52403435393825171</v>
      </c>
      <c r="N86" s="143">
        <f t="shared" si="2"/>
        <v>50</v>
      </c>
      <c r="O86">
        <f t="shared" si="3"/>
        <v>0.5</v>
      </c>
      <c r="P86">
        <f t="shared" si="4"/>
        <v>0</v>
      </c>
      <c r="Q86">
        <f t="shared" si="5"/>
        <v>0.5</v>
      </c>
      <c r="R86" s="144">
        <f t="shared" si="43"/>
        <v>0.47596564606174835</v>
      </c>
      <c r="S86" s="144" t="s">
        <v>321</v>
      </c>
      <c r="T86" s="301">
        <f t="shared" si="6"/>
        <v>1.1009919692192811</v>
      </c>
    </row>
    <row r="87" spans="2:20" ht="17" customHeight="1" thickBot="1" x14ac:dyDescent="0.25">
      <c r="B87" s="1450"/>
      <c r="C87" s="1473" t="s">
        <v>130</v>
      </c>
      <c r="D87" s="488">
        <f>'S4 - Summ PRS Characteristics'!F18</f>
        <v>0.64500000000000002</v>
      </c>
      <c r="E87" s="333">
        <f t="shared" si="7"/>
        <v>0.3718560893850747</v>
      </c>
      <c r="F87" s="334">
        <f t="shared" si="8"/>
        <v>0.52588392485939461</v>
      </c>
      <c r="G87" s="334">
        <v>0</v>
      </c>
      <c r="H87" s="335">
        <v>1</v>
      </c>
      <c r="I87" s="334">
        <v>1</v>
      </c>
      <c r="J87" s="334">
        <f t="shared" ref="J87:J141" si="45">1-I87/100</f>
        <v>0.99</v>
      </c>
      <c r="K87" s="334">
        <f t="shared" ref="K87:K141" si="46">_xlfn.NORM.S.INV(J87)</f>
        <v>2.3263478740408408</v>
      </c>
      <c r="L87" s="334">
        <f t="shared" ref="L87:L141" si="47">1-_xlfn.NORM.S.DIST(K87, TRUE)</f>
        <v>1.0000000000000009E-2</v>
      </c>
      <c r="M87" s="335">
        <f>1-_xlfn.NORM.DIST(K87,F87,H87,TRUE)</f>
        <v>3.5893705543200816E-2</v>
      </c>
      <c r="N87" s="336">
        <f t="shared" ref="N87:N141" si="48">100-I87</f>
        <v>99</v>
      </c>
      <c r="O87" s="334">
        <f t="shared" ref="O87:O141" si="49">N87/100</f>
        <v>0.99</v>
      </c>
      <c r="P87" s="334">
        <f t="shared" ref="P87:P141" si="50">_xlfn.NORM.S.INV(O87)</f>
        <v>2.3263478740408408</v>
      </c>
      <c r="Q87" s="334">
        <f t="shared" ref="Q87:Q141" si="51">_xlfn.NORM.S.DIST(P87, TRUE)</f>
        <v>0.99</v>
      </c>
      <c r="R87" s="335">
        <f>_xlfn.NORM.DIST(P87,F87,H87, TRUE)</f>
        <v>0.96410629445679918</v>
      </c>
      <c r="S87" s="335" t="s">
        <v>55</v>
      </c>
      <c r="T87" s="338">
        <f t="shared" ref="T87:T141" si="52">(M87/L87)/(R87/Q87)</f>
        <v>3.6857728957977529</v>
      </c>
    </row>
    <row r="88" spans="2:20" ht="17" thickTop="1" x14ac:dyDescent="0.2">
      <c r="B88" s="1450"/>
      <c r="C88" s="1474"/>
      <c r="D88" s="305">
        <f>$D$87</f>
        <v>0.64500000000000002</v>
      </c>
      <c r="E88" s="486">
        <f t="shared" ref="E88:E141" si="53" xml:space="preserve"> _xlfn.NORM.S.INV(D88)</f>
        <v>0.3718560893850747</v>
      </c>
      <c r="F88" s="339">
        <f t="shared" ref="F88:F141" si="54">(E88*SQRT(2))</f>
        <v>0.52588392485939461</v>
      </c>
      <c r="G88" s="339">
        <v>0</v>
      </c>
      <c r="H88" s="306">
        <v>1</v>
      </c>
      <c r="I88" s="339">
        <v>5</v>
      </c>
      <c r="J88" s="339">
        <f t="shared" si="45"/>
        <v>0.95</v>
      </c>
      <c r="K88" s="339">
        <f t="shared" si="46"/>
        <v>1.6448536269514715</v>
      </c>
      <c r="L88" s="339">
        <f t="shared" si="47"/>
        <v>5.0000000000000155E-2</v>
      </c>
      <c r="M88" s="306">
        <f t="shared" ref="M88:M96" si="55">1-_xlfn.NORM.DIST(K88,F88,H88,TRUE)</f>
        <v>0.13157653240722522</v>
      </c>
      <c r="N88" s="305">
        <f t="shared" si="48"/>
        <v>95</v>
      </c>
      <c r="O88" s="339">
        <f t="shared" si="49"/>
        <v>0.95</v>
      </c>
      <c r="P88" s="339">
        <f t="shared" si="50"/>
        <v>1.6448536269514715</v>
      </c>
      <c r="Q88" s="339">
        <f t="shared" si="51"/>
        <v>0.94999999999999984</v>
      </c>
      <c r="R88" s="306">
        <f t="shared" ref="R88:R96" si="56">_xlfn.NORM.DIST(P88,F88,H88, TRUE)</f>
        <v>0.86842346759277478</v>
      </c>
      <c r="S88" s="306" t="s">
        <v>56</v>
      </c>
      <c r="T88" s="307">
        <f t="shared" si="52"/>
        <v>2.878727037014575</v>
      </c>
    </row>
    <row r="89" spans="2:20" x14ac:dyDescent="0.2">
      <c r="B89" s="1450"/>
      <c r="C89" s="1474"/>
      <c r="D89" s="305">
        <f t="shared" ref="D89:D91" si="57">$D$87</f>
        <v>0.64500000000000002</v>
      </c>
      <c r="E89" s="486">
        <f t="shared" si="53"/>
        <v>0.3718560893850747</v>
      </c>
      <c r="F89" s="339">
        <f t="shared" si="54"/>
        <v>0.52588392485939461</v>
      </c>
      <c r="G89" s="339">
        <v>0</v>
      </c>
      <c r="H89" s="306">
        <v>1</v>
      </c>
      <c r="I89" s="339">
        <v>10</v>
      </c>
      <c r="J89" s="339">
        <f t="shared" si="45"/>
        <v>0.9</v>
      </c>
      <c r="K89" s="339">
        <f t="shared" si="46"/>
        <v>1.2815515655446006</v>
      </c>
      <c r="L89" s="339">
        <f t="shared" si="47"/>
        <v>9.9999999999999978E-2</v>
      </c>
      <c r="M89" s="306">
        <f t="shared" si="55"/>
        <v>0.22492424503174191</v>
      </c>
      <c r="N89" s="305">
        <f t="shared" si="48"/>
        <v>90</v>
      </c>
      <c r="O89" s="339">
        <f t="shared" si="49"/>
        <v>0.9</v>
      </c>
      <c r="P89" s="339">
        <f t="shared" si="50"/>
        <v>1.2815515655446006</v>
      </c>
      <c r="Q89" s="339">
        <f t="shared" si="51"/>
        <v>0.9</v>
      </c>
      <c r="R89" s="306">
        <f t="shared" si="56"/>
        <v>0.77507575496825809</v>
      </c>
      <c r="S89" s="306" t="s">
        <v>57</v>
      </c>
      <c r="T89" s="307">
        <f t="shared" si="52"/>
        <v>2.6117681946696685</v>
      </c>
    </row>
    <row r="90" spans="2:20" x14ac:dyDescent="0.2">
      <c r="B90" s="1450"/>
      <c r="C90" s="1474"/>
      <c r="D90" s="305">
        <f t="shared" si="57"/>
        <v>0.64500000000000002</v>
      </c>
      <c r="E90" s="486">
        <f t="shared" si="53"/>
        <v>0.3718560893850747</v>
      </c>
      <c r="F90" s="339">
        <f t="shared" si="54"/>
        <v>0.52588392485939461</v>
      </c>
      <c r="G90" s="339">
        <v>0</v>
      </c>
      <c r="H90" s="306">
        <v>1</v>
      </c>
      <c r="I90" s="339">
        <v>20</v>
      </c>
      <c r="J90" s="339">
        <f t="shared" si="45"/>
        <v>0.8</v>
      </c>
      <c r="K90" s="339">
        <f t="shared" si="46"/>
        <v>0.84162123357291474</v>
      </c>
      <c r="L90" s="339">
        <f t="shared" si="47"/>
        <v>0.19999999999999984</v>
      </c>
      <c r="M90" s="306">
        <f t="shared" si="55"/>
        <v>0.37610095295115853</v>
      </c>
      <c r="N90" s="305">
        <f t="shared" si="48"/>
        <v>80</v>
      </c>
      <c r="O90" s="339">
        <f t="shared" si="49"/>
        <v>0.8</v>
      </c>
      <c r="P90" s="339">
        <f t="shared" si="50"/>
        <v>0.84162123357291474</v>
      </c>
      <c r="Q90" s="339">
        <f t="shared" si="51"/>
        <v>0.80000000000000016</v>
      </c>
      <c r="R90" s="306">
        <f t="shared" si="56"/>
        <v>0.62389904704884147</v>
      </c>
      <c r="S90" s="306" t="s">
        <v>58</v>
      </c>
      <c r="T90" s="307">
        <f t="shared" si="52"/>
        <v>2.4112936522675348</v>
      </c>
    </row>
    <row r="91" spans="2:20" x14ac:dyDescent="0.2">
      <c r="B91" s="1450"/>
      <c r="C91" s="1474"/>
      <c r="D91" s="305">
        <f t="shared" si="57"/>
        <v>0.64500000000000002</v>
      </c>
      <c r="E91" s="486">
        <f t="shared" si="53"/>
        <v>0.3718560893850747</v>
      </c>
      <c r="F91" s="339">
        <f t="shared" si="54"/>
        <v>0.52588392485939461</v>
      </c>
      <c r="G91" s="339">
        <v>0</v>
      </c>
      <c r="H91" s="306">
        <v>1</v>
      </c>
      <c r="I91" s="339">
        <v>50</v>
      </c>
      <c r="J91" s="339">
        <f t="shared" si="45"/>
        <v>0.5</v>
      </c>
      <c r="K91" s="339">
        <f t="shared" si="46"/>
        <v>0</v>
      </c>
      <c r="L91" s="339">
        <f t="shared" si="47"/>
        <v>0.5</v>
      </c>
      <c r="M91" s="306">
        <f t="shared" si="55"/>
        <v>0.70051557070195403</v>
      </c>
      <c r="N91" s="305">
        <f t="shared" si="48"/>
        <v>50</v>
      </c>
      <c r="O91" s="339">
        <f t="shared" si="49"/>
        <v>0.5</v>
      </c>
      <c r="P91" s="339">
        <f t="shared" si="50"/>
        <v>0</v>
      </c>
      <c r="Q91" s="339">
        <f t="shared" si="51"/>
        <v>0.5</v>
      </c>
      <c r="R91" s="306">
        <f t="shared" si="56"/>
        <v>0.29948442929804597</v>
      </c>
      <c r="S91" s="339" t="s">
        <v>322</v>
      </c>
      <c r="T91" s="307">
        <f t="shared" si="52"/>
        <v>2.3390717585681329</v>
      </c>
    </row>
    <row r="92" spans="2:20" ht="17" customHeight="1" thickBot="1" x14ac:dyDescent="0.25">
      <c r="B92" s="1450"/>
      <c r="C92" s="1475" t="s">
        <v>131</v>
      </c>
      <c r="D92" s="487">
        <f>'S4 - Summ PRS Characteristics'!F26</f>
        <v>0.7</v>
      </c>
      <c r="E92" s="327">
        <f t="shared" si="53"/>
        <v>0.52440051270804078</v>
      </c>
      <c r="F92" s="328">
        <f t="shared" si="54"/>
        <v>0.7416143171871159</v>
      </c>
      <c r="G92" s="328">
        <v>0</v>
      </c>
      <c r="H92" s="329">
        <v>1</v>
      </c>
      <c r="I92" s="328">
        <v>1</v>
      </c>
      <c r="J92" s="328">
        <f t="shared" si="45"/>
        <v>0.99</v>
      </c>
      <c r="K92" s="328">
        <f t="shared" si="46"/>
        <v>2.3263478740408408</v>
      </c>
      <c r="L92" s="328">
        <f t="shared" si="47"/>
        <v>1.0000000000000009E-2</v>
      </c>
      <c r="M92" s="329">
        <f t="shared" si="55"/>
        <v>5.6513442095322608E-2</v>
      </c>
      <c r="N92" s="330">
        <f t="shared" si="48"/>
        <v>99</v>
      </c>
      <c r="O92" s="328">
        <f t="shared" si="49"/>
        <v>0.99</v>
      </c>
      <c r="P92" s="328">
        <f t="shared" si="50"/>
        <v>2.3263478740408408</v>
      </c>
      <c r="Q92" s="328">
        <f t="shared" si="51"/>
        <v>0.99</v>
      </c>
      <c r="R92" s="329">
        <f t="shared" si="56"/>
        <v>0.94348655790467739</v>
      </c>
      <c r="S92" s="329" t="s">
        <v>59</v>
      </c>
      <c r="T92" s="332">
        <f t="shared" si="52"/>
        <v>5.9299528123242125</v>
      </c>
    </row>
    <row r="93" spans="2:20" ht="17" thickTop="1" x14ac:dyDescent="0.2">
      <c r="B93" s="1450"/>
      <c r="C93" s="1435"/>
      <c r="D93" s="31">
        <f>$D$92</f>
        <v>0.7</v>
      </c>
      <c r="E93" s="9">
        <f t="shared" si="53"/>
        <v>0.52440051270804078</v>
      </c>
      <c r="F93">
        <f t="shared" si="54"/>
        <v>0.7416143171871159</v>
      </c>
      <c r="G93">
        <v>0</v>
      </c>
      <c r="H93" s="144">
        <v>1</v>
      </c>
      <c r="I93">
        <v>5</v>
      </c>
      <c r="J93">
        <f t="shared" si="45"/>
        <v>0.95</v>
      </c>
      <c r="K93">
        <f t="shared" si="46"/>
        <v>1.6448536269514715</v>
      </c>
      <c r="L93">
        <f t="shared" si="47"/>
        <v>5.0000000000000155E-2</v>
      </c>
      <c r="M93" s="144">
        <f t="shared" si="55"/>
        <v>0.18319944951254508</v>
      </c>
      <c r="N93" s="143">
        <f t="shared" si="48"/>
        <v>95</v>
      </c>
      <c r="O93">
        <f t="shared" si="49"/>
        <v>0.95</v>
      </c>
      <c r="P93">
        <f t="shared" si="50"/>
        <v>1.6448536269514715</v>
      </c>
      <c r="Q93">
        <f t="shared" si="51"/>
        <v>0.94999999999999984</v>
      </c>
      <c r="R93" s="144">
        <f t="shared" si="56"/>
        <v>0.81680055048745492</v>
      </c>
      <c r="S93" s="144" t="s">
        <v>60</v>
      </c>
      <c r="T93" s="301">
        <f t="shared" si="52"/>
        <v>4.2614926479433191</v>
      </c>
    </row>
    <row r="94" spans="2:20" x14ac:dyDescent="0.2">
      <c r="B94" s="1450"/>
      <c r="C94" s="1435"/>
      <c r="D94" s="143">
        <f t="shared" ref="D94:D96" si="58">$D$92</f>
        <v>0.7</v>
      </c>
      <c r="E94" s="9">
        <f t="shared" si="53"/>
        <v>0.52440051270804078</v>
      </c>
      <c r="F94">
        <f t="shared" si="54"/>
        <v>0.7416143171871159</v>
      </c>
      <c r="G94">
        <v>0</v>
      </c>
      <c r="H94" s="144">
        <v>1</v>
      </c>
      <c r="I94">
        <v>10</v>
      </c>
      <c r="J94">
        <f t="shared" si="45"/>
        <v>0.9</v>
      </c>
      <c r="K94">
        <f t="shared" si="46"/>
        <v>1.2815515655446006</v>
      </c>
      <c r="L94">
        <f t="shared" si="47"/>
        <v>9.9999999999999978E-2</v>
      </c>
      <c r="M94" s="144">
        <f t="shared" si="55"/>
        <v>0.29462015447825673</v>
      </c>
      <c r="N94" s="143">
        <f t="shared" si="48"/>
        <v>90</v>
      </c>
      <c r="O94">
        <f t="shared" si="49"/>
        <v>0.9</v>
      </c>
      <c r="P94">
        <f t="shared" si="50"/>
        <v>1.2815515655446006</v>
      </c>
      <c r="Q94">
        <f t="shared" si="51"/>
        <v>0.9</v>
      </c>
      <c r="R94" s="144">
        <f t="shared" si="56"/>
        <v>0.70537984552174327</v>
      </c>
      <c r="S94" s="144" t="s">
        <v>61</v>
      </c>
      <c r="T94" s="301">
        <f t="shared" si="52"/>
        <v>3.7590830063241105</v>
      </c>
    </row>
    <row r="95" spans="2:20" x14ac:dyDescent="0.2">
      <c r="B95" s="1450"/>
      <c r="C95" s="1435"/>
      <c r="D95" s="143">
        <f t="shared" si="58"/>
        <v>0.7</v>
      </c>
      <c r="E95" s="9">
        <f t="shared" si="53"/>
        <v>0.52440051270804078</v>
      </c>
      <c r="F95">
        <f t="shared" si="54"/>
        <v>0.7416143171871159</v>
      </c>
      <c r="G95">
        <v>0</v>
      </c>
      <c r="H95" s="144">
        <v>1</v>
      </c>
      <c r="I95">
        <v>20</v>
      </c>
      <c r="J95">
        <f t="shared" si="45"/>
        <v>0.8</v>
      </c>
      <c r="K95">
        <f t="shared" si="46"/>
        <v>0.84162123357291474</v>
      </c>
      <c r="L95">
        <f t="shared" si="47"/>
        <v>0.19999999999999984</v>
      </c>
      <c r="M95" s="144">
        <f t="shared" si="55"/>
        <v>0.46016941724695837</v>
      </c>
      <c r="N95" s="143">
        <f t="shared" si="48"/>
        <v>80</v>
      </c>
      <c r="O95">
        <f t="shared" si="49"/>
        <v>0.8</v>
      </c>
      <c r="P95">
        <f t="shared" si="50"/>
        <v>0.84162123357291474</v>
      </c>
      <c r="Q95">
        <f t="shared" si="51"/>
        <v>0.80000000000000016</v>
      </c>
      <c r="R95" s="144">
        <f t="shared" si="56"/>
        <v>0.53983058275304163</v>
      </c>
      <c r="S95" s="144" t="s">
        <v>62</v>
      </c>
      <c r="T95" s="301">
        <f t="shared" si="52"/>
        <v>3.4097321044700744</v>
      </c>
    </row>
    <row r="96" spans="2:20" ht="17" thickBot="1" x14ac:dyDescent="0.25">
      <c r="B96" s="1451"/>
      <c r="C96" s="1476"/>
      <c r="D96" s="302">
        <f t="shared" si="58"/>
        <v>0.7</v>
      </c>
      <c r="E96" s="11">
        <f t="shared" si="53"/>
        <v>0.52440051270804078</v>
      </c>
      <c r="F96" s="5">
        <f t="shared" si="54"/>
        <v>0.7416143171871159</v>
      </c>
      <c r="G96" s="5">
        <v>0</v>
      </c>
      <c r="H96" s="265">
        <v>1</v>
      </c>
      <c r="I96" s="5">
        <v>50</v>
      </c>
      <c r="J96" s="5">
        <f t="shared" si="45"/>
        <v>0.5</v>
      </c>
      <c r="K96" s="5">
        <f t="shared" si="46"/>
        <v>0</v>
      </c>
      <c r="L96" s="5">
        <f t="shared" si="47"/>
        <v>0.5</v>
      </c>
      <c r="M96" s="265">
        <f t="shared" si="55"/>
        <v>0.77083947673802555</v>
      </c>
      <c r="N96" s="302">
        <f t="shared" si="48"/>
        <v>50</v>
      </c>
      <c r="O96" s="5">
        <f t="shared" si="49"/>
        <v>0.5</v>
      </c>
      <c r="P96" s="5">
        <f t="shared" si="50"/>
        <v>0</v>
      </c>
      <c r="Q96" s="5">
        <f t="shared" si="51"/>
        <v>0.5</v>
      </c>
      <c r="R96" s="265">
        <f t="shared" si="56"/>
        <v>0.22916052326197439</v>
      </c>
      <c r="S96" s="265" t="s">
        <v>323</v>
      </c>
      <c r="T96" s="303">
        <f t="shared" si="52"/>
        <v>3.3637533453212112</v>
      </c>
    </row>
    <row r="97" spans="2:20" ht="17" customHeight="1" thickBot="1" x14ac:dyDescent="0.25">
      <c r="B97" s="1436" t="s">
        <v>15</v>
      </c>
      <c r="C97" s="1464" t="s">
        <v>129</v>
      </c>
      <c r="D97" s="308" t="e">
        <f>'S4 - Summ PRS Characteristics'!#REF!</f>
        <v>#REF!</v>
      </c>
      <c r="E97" s="284" t="e">
        <f t="shared" si="53"/>
        <v>#REF!</v>
      </c>
      <c r="F97" s="285" t="e">
        <f t="shared" si="54"/>
        <v>#REF!</v>
      </c>
      <c r="G97" s="285">
        <v>0</v>
      </c>
      <c r="H97" s="286">
        <v>1</v>
      </c>
      <c r="I97" s="291">
        <v>1</v>
      </c>
      <c r="J97" s="291">
        <f t="shared" si="45"/>
        <v>0.99</v>
      </c>
      <c r="K97" s="291">
        <f t="shared" si="46"/>
        <v>2.3263478740408408</v>
      </c>
      <c r="L97" s="291">
        <f t="shared" si="47"/>
        <v>1.0000000000000009E-2</v>
      </c>
      <c r="M97" s="291" t="e">
        <f>1-_xlfn.NORM.DIST(K97,F97,H97,TRUE)</f>
        <v>#REF!</v>
      </c>
      <c r="N97" s="287">
        <f t="shared" si="48"/>
        <v>99</v>
      </c>
      <c r="O97" s="285">
        <f t="shared" si="49"/>
        <v>0.99</v>
      </c>
      <c r="P97" s="285">
        <f t="shared" si="50"/>
        <v>2.3263478740408408</v>
      </c>
      <c r="Q97" s="285">
        <f t="shared" si="51"/>
        <v>0.99</v>
      </c>
      <c r="R97" s="286" t="e">
        <f>_xlfn.NORM.DIST(P97,F97,H97, TRUE)</f>
        <v>#REF!</v>
      </c>
      <c r="S97" s="291" t="s">
        <v>49</v>
      </c>
      <c r="T97" s="288" t="e">
        <f t="shared" si="52"/>
        <v>#REF!</v>
      </c>
    </row>
    <row r="98" spans="2:20" ht="17" thickTop="1" x14ac:dyDescent="0.2">
      <c r="B98" s="1437"/>
      <c r="C98" s="1462"/>
      <c r="D98" s="289" t="e">
        <f>$D$97</f>
        <v>#REF!</v>
      </c>
      <c r="E98" s="290" t="e">
        <f t="shared" si="53"/>
        <v>#REF!</v>
      </c>
      <c r="F98" s="291" t="e">
        <f t="shared" si="54"/>
        <v>#REF!</v>
      </c>
      <c r="G98" s="291">
        <v>0</v>
      </c>
      <c r="H98" s="292">
        <v>1</v>
      </c>
      <c r="I98" s="291">
        <v>5</v>
      </c>
      <c r="J98" s="291">
        <f t="shared" si="45"/>
        <v>0.95</v>
      </c>
      <c r="K98" s="291">
        <f t="shared" si="46"/>
        <v>1.6448536269514715</v>
      </c>
      <c r="L98" s="291">
        <f t="shared" si="47"/>
        <v>5.0000000000000155E-2</v>
      </c>
      <c r="M98" s="291" t="e">
        <f t="shared" ref="M98:M101" si="59">1-_xlfn.NORM.DIST(K98,F98,H98,TRUE)</f>
        <v>#REF!</v>
      </c>
      <c r="N98" s="289">
        <f t="shared" si="48"/>
        <v>95</v>
      </c>
      <c r="O98" s="291">
        <f t="shared" si="49"/>
        <v>0.95</v>
      </c>
      <c r="P98" s="291">
        <f t="shared" si="50"/>
        <v>1.6448536269514715</v>
      </c>
      <c r="Q98" s="291">
        <f t="shared" si="51"/>
        <v>0.94999999999999984</v>
      </c>
      <c r="R98" s="292" t="e">
        <f t="shared" ref="R98:R101" si="60">_xlfn.NORM.DIST(P98,F98,H98, TRUE)</f>
        <v>#REF!</v>
      </c>
      <c r="S98" s="291" t="s">
        <v>51</v>
      </c>
      <c r="T98" s="293" t="e">
        <f t="shared" si="52"/>
        <v>#REF!</v>
      </c>
    </row>
    <row r="99" spans="2:20" x14ac:dyDescent="0.2">
      <c r="B99" s="1437"/>
      <c r="C99" s="1462"/>
      <c r="D99" s="289" t="e">
        <f t="shared" ref="D99:D101" si="61">$D$97</f>
        <v>#REF!</v>
      </c>
      <c r="E99" s="290" t="e">
        <f t="shared" si="53"/>
        <v>#REF!</v>
      </c>
      <c r="F99" s="291" t="e">
        <f t="shared" si="54"/>
        <v>#REF!</v>
      </c>
      <c r="G99" s="291">
        <v>0</v>
      </c>
      <c r="H99" s="292">
        <v>1</v>
      </c>
      <c r="I99" s="291">
        <v>10</v>
      </c>
      <c r="J99" s="291">
        <f t="shared" si="45"/>
        <v>0.9</v>
      </c>
      <c r="K99" s="291">
        <f t="shared" si="46"/>
        <v>1.2815515655446006</v>
      </c>
      <c r="L99" s="291">
        <f t="shared" si="47"/>
        <v>9.9999999999999978E-2</v>
      </c>
      <c r="M99" s="291" t="e">
        <f t="shared" si="59"/>
        <v>#REF!</v>
      </c>
      <c r="N99" s="289">
        <f t="shared" si="48"/>
        <v>90</v>
      </c>
      <c r="O99" s="291">
        <f t="shared" si="49"/>
        <v>0.9</v>
      </c>
      <c r="P99" s="291">
        <f t="shared" si="50"/>
        <v>1.2815515655446006</v>
      </c>
      <c r="Q99" s="291">
        <f t="shared" si="51"/>
        <v>0.9</v>
      </c>
      <c r="R99" s="292" t="e">
        <f t="shared" si="60"/>
        <v>#REF!</v>
      </c>
      <c r="S99" s="291" t="s">
        <v>52</v>
      </c>
      <c r="T99" s="293" t="e">
        <f t="shared" si="52"/>
        <v>#REF!</v>
      </c>
    </row>
    <row r="100" spans="2:20" x14ac:dyDescent="0.2">
      <c r="B100" s="1437"/>
      <c r="C100" s="1462"/>
      <c r="D100" s="289" t="e">
        <f t="shared" si="61"/>
        <v>#REF!</v>
      </c>
      <c r="E100" s="290" t="e">
        <f t="shared" si="53"/>
        <v>#REF!</v>
      </c>
      <c r="F100" s="291" t="e">
        <f t="shared" si="54"/>
        <v>#REF!</v>
      </c>
      <c r="G100" s="291">
        <v>0</v>
      </c>
      <c r="H100" s="292">
        <v>1</v>
      </c>
      <c r="I100" s="291">
        <v>20</v>
      </c>
      <c r="J100" s="291">
        <f t="shared" si="45"/>
        <v>0.8</v>
      </c>
      <c r="K100" s="291">
        <f t="shared" si="46"/>
        <v>0.84162123357291474</v>
      </c>
      <c r="L100" s="291">
        <f t="shared" si="47"/>
        <v>0.19999999999999984</v>
      </c>
      <c r="M100" s="291" t="e">
        <f t="shared" si="59"/>
        <v>#REF!</v>
      </c>
      <c r="N100" s="289">
        <f t="shared" si="48"/>
        <v>80</v>
      </c>
      <c r="O100" s="291">
        <f t="shared" si="49"/>
        <v>0.8</v>
      </c>
      <c r="P100" s="291">
        <f t="shared" si="50"/>
        <v>0.84162123357291474</v>
      </c>
      <c r="Q100" s="291">
        <f t="shared" si="51"/>
        <v>0.80000000000000016</v>
      </c>
      <c r="R100" s="292" t="e">
        <f t="shared" si="60"/>
        <v>#REF!</v>
      </c>
      <c r="S100" s="291" t="s">
        <v>54</v>
      </c>
      <c r="T100" s="293" t="e">
        <f t="shared" si="52"/>
        <v>#REF!</v>
      </c>
    </row>
    <row r="101" spans="2:20" x14ac:dyDescent="0.2">
      <c r="B101" s="1437"/>
      <c r="C101" s="1462"/>
      <c r="D101" s="289" t="e">
        <f t="shared" si="61"/>
        <v>#REF!</v>
      </c>
      <c r="E101" s="290" t="e">
        <f t="shared" si="53"/>
        <v>#REF!</v>
      </c>
      <c r="F101" s="291" t="e">
        <f t="shared" si="54"/>
        <v>#REF!</v>
      </c>
      <c r="G101" s="291">
        <v>0</v>
      </c>
      <c r="H101" s="292">
        <v>1</v>
      </c>
      <c r="I101" s="291">
        <v>50</v>
      </c>
      <c r="J101" s="291">
        <f t="shared" si="45"/>
        <v>0.5</v>
      </c>
      <c r="K101" s="291">
        <f t="shared" si="46"/>
        <v>0</v>
      </c>
      <c r="L101" s="291">
        <f t="shared" si="47"/>
        <v>0.5</v>
      </c>
      <c r="M101" s="291" t="e">
        <f t="shared" si="59"/>
        <v>#REF!</v>
      </c>
      <c r="N101" s="289">
        <f t="shared" si="48"/>
        <v>50</v>
      </c>
      <c r="O101" s="291">
        <f t="shared" si="49"/>
        <v>0.5</v>
      </c>
      <c r="P101" s="291">
        <f t="shared" si="50"/>
        <v>0</v>
      </c>
      <c r="Q101" s="291">
        <f t="shared" si="51"/>
        <v>0.5</v>
      </c>
      <c r="R101" s="292" t="e">
        <f t="shared" si="60"/>
        <v>#REF!</v>
      </c>
      <c r="S101" s="291" t="s">
        <v>321</v>
      </c>
      <c r="T101" s="293" t="e">
        <f t="shared" si="52"/>
        <v>#REF!</v>
      </c>
    </row>
    <row r="102" spans="2:20" ht="17" customHeight="1" thickBot="1" x14ac:dyDescent="0.25">
      <c r="B102" s="1437"/>
      <c r="C102" s="1433" t="s">
        <v>130</v>
      </c>
      <c r="D102" s="505" t="e">
        <f>'S4 - Summ PRS Characteristics'!#REF!</f>
        <v>#REF!</v>
      </c>
      <c r="E102" s="327" t="e">
        <f t="shared" si="53"/>
        <v>#REF!</v>
      </c>
      <c r="F102" s="328" t="e">
        <f t="shared" si="54"/>
        <v>#REF!</v>
      </c>
      <c r="G102" s="328">
        <v>0</v>
      </c>
      <c r="H102" s="329">
        <v>1</v>
      </c>
      <c r="I102" s="328">
        <v>1</v>
      </c>
      <c r="J102" s="328">
        <f t="shared" si="45"/>
        <v>0.99</v>
      </c>
      <c r="K102" s="328">
        <f t="shared" si="46"/>
        <v>2.3263478740408408</v>
      </c>
      <c r="L102" s="328">
        <f t="shared" si="47"/>
        <v>1.0000000000000009E-2</v>
      </c>
      <c r="M102" s="328" t="e">
        <f>1-_xlfn.NORM.DIST(K102,F102,H102,TRUE)</f>
        <v>#REF!</v>
      </c>
      <c r="N102" s="330">
        <f t="shared" si="48"/>
        <v>99</v>
      </c>
      <c r="O102" s="328">
        <f t="shared" si="49"/>
        <v>0.99</v>
      </c>
      <c r="P102" s="328">
        <f t="shared" si="50"/>
        <v>2.3263478740408408</v>
      </c>
      <c r="Q102" s="328">
        <f t="shared" si="51"/>
        <v>0.99</v>
      </c>
      <c r="R102" s="329" t="e">
        <f>_xlfn.NORM.DIST(P102,F102,H102, TRUE)</f>
        <v>#REF!</v>
      </c>
      <c r="S102" s="328" t="s">
        <v>55</v>
      </c>
      <c r="T102" s="332" t="e">
        <f t="shared" si="52"/>
        <v>#REF!</v>
      </c>
    </row>
    <row r="103" spans="2:20" ht="17" thickTop="1" x14ac:dyDescent="0.2">
      <c r="B103" s="1437"/>
      <c r="C103" s="1434"/>
      <c r="D103" t="e">
        <f>$D$102</f>
        <v>#REF!</v>
      </c>
      <c r="E103" s="9" t="e">
        <f t="shared" si="53"/>
        <v>#REF!</v>
      </c>
      <c r="F103" t="e">
        <f t="shared" si="54"/>
        <v>#REF!</v>
      </c>
      <c r="G103">
        <v>0</v>
      </c>
      <c r="H103" s="144">
        <v>1</v>
      </c>
      <c r="I103">
        <v>5</v>
      </c>
      <c r="J103">
        <f t="shared" si="45"/>
        <v>0.95</v>
      </c>
      <c r="K103">
        <f t="shared" si="46"/>
        <v>1.6448536269514715</v>
      </c>
      <c r="L103">
        <f t="shared" si="47"/>
        <v>5.0000000000000155E-2</v>
      </c>
      <c r="M103" t="e">
        <f t="shared" ref="M103:M111" si="62">1-_xlfn.NORM.DIST(K103,F103,H103,TRUE)</f>
        <v>#REF!</v>
      </c>
      <c r="N103" s="143">
        <f t="shared" si="48"/>
        <v>95</v>
      </c>
      <c r="O103">
        <f t="shared" si="49"/>
        <v>0.95</v>
      </c>
      <c r="P103">
        <f t="shared" si="50"/>
        <v>1.6448536269514715</v>
      </c>
      <c r="Q103">
        <f t="shared" si="51"/>
        <v>0.94999999999999984</v>
      </c>
      <c r="R103" s="144" t="e">
        <f t="shared" ref="R103:R111" si="63">_xlfn.NORM.DIST(P103,F103,H103, TRUE)</f>
        <v>#REF!</v>
      </c>
      <c r="S103" t="s">
        <v>56</v>
      </c>
      <c r="T103" s="301" t="e">
        <f t="shared" si="52"/>
        <v>#REF!</v>
      </c>
    </row>
    <row r="104" spans="2:20" x14ac:dyDescent="0.2">
      <c r="B104" s="1437"/>
      <c r="C104" s="1434"/>
      <c r="D104" t="e">
        <f t="shared" ref="D104:D106" si="64">$D$102</f>
        <v>#REF!</v>
      </c>
      <c r="E104" s="9" t="e">
        <f t="shared" si="53"/>
        <v>#REF!</v>
      </c>
      <c r="F104" t="e">
        <f t="shared" si="54"/>
        <v>#REF!</v>
      </c>
      <c r="G104">
        <v>0</v>
      </c>
      <c r="H104" s="144">
        <v>1</v>
      </c>
      <c r="I104">
        <v>10</v>
      </c>
      <c r="J104">
        <f t="shared" si="45"/>
        <v>0.9</v>
      </c>
      <c r="K104">
        <f t="shared" si="46"/>
        <v>1.2815515655446006</v>
      </c>
      <c r="L104">
        <f t="shared" si="47"/>
        <v>9.9999999999999978E-2</v>
      </c>
      <c r="M104" t="e">
        <f t="shared" si="62"/>
        <v>#REF!</v>
      </c>
      <c r="N104" s="143">
        <f t="shared" si="48"/>
        <v>90</v>
      </c>
      <c r="O104">
        <f t="shared" si="49"/>
        <v>0.9</v>
      </c>
      <c r="P104">
        <f t="shared" si="50"/>
        <v>1.2815515655446006</v>
      </c>
      <c r="Q104">
        <f t="shared" si="51"/>
        <v>0.9</v>
      </c>
      <c r="R104" s="144" t="e">
        <f t="shared" si="63"/>
        <v>#REF!</v>
      </c>
      <c r="S104" t="s">
        <v>57</v>
      </c>
      <c r="T104" s="301" t="e">
        <f t="shared" si="52"/>
        <v>#REF!</v>
      </c>
    </row>
    <row r="105" spans="2:20" x14ac:dyDescent="0.2">
      <c r="B105" s="1437"/>
      <c r="C105" s="1434"/>
      <c r="D105" t="e">
        <f t="shared" si="64"/>
        <v>#REF!</v>
      </c>
      <c r="E105" s="9" t="e">
        <f t="shared" si="53"/>
        <v>#REF!</v>
      </c>
      <c r="F105" t="e">
        <f t="shared" si="54"/>
        <v>#REF!</v>
      </c>
      <c r="G105">
        <v>0</v>
      </c>
      <c r="H105" s="144">
        <v>1</v>
      </c>
      <c r="I105">
        <v>20</v>
      </c>
      <c r="J105">
        <f t="shared" si="45"/>
        <v>0.8</v>
      </c>
      <c r="K105">
        <f t="shared" si="46"/>
        <v>0.84162123357291474</v>
      </c>
      <c r="L105">
        <f t="shared" si="47"/>
        <v>0.19999999999999984</v>
      </c>
      <c r="M105" t="e">
        <f t="shared" si="62"/>
        <v>#REF!</v>
      </c>
      <c r="N105" s="143">
        <f t="shared" si="48"/>
        <v>80</v>
      </c>
      <c r="O105">
        <f t="shared" si="49"/>
        <v>0.8</v>
      </c>
      <c r="P105">
        <f t="shared" si="50"/>
        <v>0.84162123357291474</v>
      </c>
      <c r="Q105">
        <f t="shared" si="51"/>
        <v>0.80000000000000016</v>
      </c>
      <c r="R105" s="144" t="e">
        <f t="shared" si="63"/>
        <v>#REF!</v>
      </c>
      <c r="S105" t="s">
        <v>58</v>
      </c>
      <c r="T105" s="301" t="e">
        <f t="shared" si="52"/>
        <v>#REF!</v>
      </c>
    </row>
    <row r="106" spans="2:20" x14ac:dyDescent="0.2">
      <c r="B106" s="1437"/>
      <c r="C106" s="1463"/>
      <c r="D106" s="322" t="e">
        <f t="shared" si="64"/>
        <v>#REF!</v>
      </c>
      <c r="E106" s="321" t="e">
        <f t="shared" si="53"/>
        <v>#REF!</v>
      </c>
      <c r="F106" s="322" t="e">
        <f t="shared" si="54"/>
        <v>#REF!</v>
      </c>
      <c r="G106" s="322">
        <v>0</v>
      </c>
      <c r="H106" s="323">
        <v>1</v>
      </c>
      <c r="I106" s="322">
        <v>50</v>
      </c>
      <c r="J106" s="322">
        <f t="shared" si="45"/>
        <v>0.5</v>
      </c>
      <c r="K106" s="322">
        <f t="shared" si="46"/>
        <v>0</v>
      </c>
      <c r="L106" s="322">
        <f t="shared" si="47"/>
        <v>0.5</v>
      </c>
      <c r="M106" s="322" t="e">
        <f t="shared" si="62"/>
        <v>#REF!</v>
      </c>
      <c r="N106" s="320">
        <f t="shared" si="48"/>
        <v>50</v>
      </c>
      <c r="O106" s="322">
        <f t="shared" si="49"/>
        <v>0.5</v>
      </c>
      <c r="P106" s="322">
        <f t="shared" si="50"/>
        <v>0</v>
      </c>
      <c r="Q106" s="322">
        <f t="shared" si="51"/>
        <v>0.5</v>
      </c>
      <c r="R106" s="323" t="e">
        <f t="shared" si="63"/>
        <v>#REF!</v>
      </c>
      <c r="S106" s="322" t="s">
        <v>322</v>
      </c>
      <c r="T106" s="325" t="e">
        <f t="shared" si="52"/>
        <v>#REF!</v>
      </c>
    </row>
    <row r="107" spans="2:20" ht="17" customHeight="1" thickBot="1" x14ac:dyDescent="0.25">
      <c r="B107" s="1437"/>
      <c r="C107" s="1440" t="s">
        <v>131</v>
      </c>
      <c r="D107" s="506" t="e">
        <f>'S4 - Summ PRS Characteristics'!#REF!</f>
        <v>#REF!</v>
      </c>
      <c r="E107" s="290" t="e">
        <f t="shared" si="53"/>
        <v>#REF!</v>
      </c>
      <c r="F107" s="291" t="e">
        <f t="shared" si="54"/>
        <v>#REF!</v>
      </c>
      <c r="G107" s="291">
        <v>0</v>
      </c>
      <c r="H107" s="292">
        <v>1</v>
      </c>
      <c r="I107" s="291">
        <v>1</v>
      </c>
      <c r="J107" s="291">
        <f t="shared" si="45"/>
        <v>0.99</v>
      </c>
      <c r="K107" s="291">
        <f t="shared" si="46"/>
        <v>2.3263478740408408</v>
      </c>
      <c r="L107" s="291">
        <f t="shared" si="47"/>
        <v>1.0000000000000009E-2</v>
      </c>
      <c r="M107" s="291" t="e">
        <f t="shared" si="62"/>
        <v>#REF!</v>
      </c>
      <c r="N107" s="289">
        <f t="shared" si="48"/>
        <v>99</v>
      </c>
      <c r="O107" s="291">
        <f t="shared" si="49"/>
        <v>0.99</v>
      </c>
      <c r="P107" s="291">
        <f t="shared" si="50"/>
        <v>2.3263478740408408</v>
      </c>
      <c r="Q107" s="291">
        <f t="shared" si="51"/>
        <v>0.99</v>
      </c>
      <c r="R107" s="292" t="e">
        <f t="shared" si="63"/>
        <v>#REF!</v>
      </c>
      <c r="S107" s="291" t="s">
        <v>59</v>
      </c>
      <c r="T107" s="293" t="e">
        <f t="shared" si="52"/>
        <v>#REF!</v>
      </c>
    </row>
    <row r="108" spans="2:20" ht="17" thickTop="1" x14ac:dyDescent="0.2">
      <c r="B108" s="1437"/>
      <c r="C108" s="1440"/>
      <c r="D108" s="291" t="e">
        <f>$D$107</f>
        <v>#REF!</v>
      </c>
      <c r="E108" s="290" t="e">
        <f t="shared" si="53"/>
        <v>#REF!</v>
      </c>
      <c r="F108" s="291" t="e">
        <f t="shared" si="54"/>
        <v>#REF!</v>
      </c>
      <c r="G108" s="291">
        <v>0</v>
      </c>
      <c r="H108" s="292">
        <v>1</v>
      </c>
      <c r="I108" s="291">
        <v>5</v>
      </c>
      <c r="J108" s="291">
        <f t="shared" si="45"/>
        <v>0.95</v>
      </c>
      <c r="K108" s="291">
        <f t="shared" si="46"/>
        <v>1.6448536269514715</v>
      </c>
      <c r="L108" s="291">
        <f t="shared" si="47"/>
        <v>5.0000000000000155E-2</v>
      </c>
      <c r="M108" s="291" t="e">
        <f t="shared" si="62"/>
        <v>#REF!</v>
      </c>
      <c r="N108" s="289">
        <f t="shared" si="48"/>
        <v>95</v>
      </c>
      <c r="O108" s="291">
        <f t="shared" si="49"/>
        <v>0.95</v>
      </c>
      <c r="P108" s="291">
        <f t="shared" si="50"/>
        <v>1.6448536269514715</v>
      </c>
      <c r="Q108" s="291">
        <f t="shared" si="51"/>
        <v>0.94999999999999984</v>
      </c>
      <c r="R108" s="292" t="e">
        <f t="shared" si="63"/>
        <v>#REF!</v>
      </c>
      <c r="S108" s="291" t="s">
        <v>60</v>
      </c>
      <c r="T108" s="293" t="e">
        <f t="shared" si="52"/>
        <v>#REF!</v>
      </c>
    </row>
    <row r="109" spans="2:20" x14ac:dyDescent="0.2">
      <c r="B109" s="1437"/>
      <c r="C109" s="1440"/>
      <c r="D109" s="291" t="e">
        <f t="shared" ref="D109:D111" si="65">$D$107</f>
        <v>#REF!</v>
      </c>
      <c r="E109" s="290" t="e">
        <f t="shared" si="53"/>
        <v>#REF!</v>
      </c>
      <c r="F109" s="291" t="e">
        <f t="shared" si="54"/>
        <v>#REF!</v>
      </c>
      <c r="G109" s="291">
        <v>0</v>
      </c>
      <c r="H109" s="292">
        <v>1</v>
      </c>
      <c r="I109" s="291">
        <v>10</v>
      </c>
      <c r="J109" s="291">
        <f t="shared" si="45"/>
        <v>0.9</v>
      </c>
      <c r="K109" s="291">
        <f t="shared" si="46"/>
        <v>1.2815515655446006</v>
      </c>
      <c r="L109" s="291">
        <f t="shared" si="47"/>
        <v>9.9999999999999978E-2</v>
      </c>
      <c r="M109" s="291" t="e">
        <f t="shared" si="62"/>
        <v>#REF!</v>
      </c>
      <c r="N109" s="289">
        <f t="shared" si="48"/>
        <v>90</v>
      </c>
      <c r="O109" s="291">
        <f t="shared" si="49"/>
        <v>0.9</v>
      </c>
      <c r="P109" s="291">
        <f t="shared" si="50"/>
        <v>1.2815515655446006</v>
      </c>
      <c r="Q109" s="291">
        <f t="shared" si="51"/>
        <v>0.9</v>
      </c>
      <c r="R109" s="292" t="e">
        <f t="shared" si="63"/>
        <v>#REF!</v>
      </c>
      <c r="S109" s="291" t="s">
        <v>61</v>
      </c>
      <c r="T109" s="293" t="e">
        <f t="shared" si="52"/>
        <v>#REF!</v>
      </c>
    </row>
    <row r="110" spans="2:20" x14ac:dyDescent="0.2">
      <c r="B110" s="1437"/>
      <c r="C110" s="1440"/>
      <c r="D110" s="291" t="e">
        <f t="shared" si="65"/>
        <v>#REF!</v>
      </c>
      <c r="E110" s="290" t="e">
        <f t="shared" si="53"/>
        <v>#REF!</v>
      </c>
      <c r="F110" s="291" t="e">
        <f t="shared" si="54"/>
        <v>#REF!</v>
      </c>
      <c r="G110" s="291">
        <v>0</v>
      </c>
      <c r="H110" s="292">
        <v>1</v>
      </c>
      <c r="I110" s="291">
        <v>20</v>
      </c>
      <c r="J110" s="291">
        <f t="shared" si="45"/>
        <v>0.8</v>
      </c>
      <c r="K110" s="291">
        <f t="shared" si="46"/>
        <v>0.84162123357291474</v>
      </c>
      <c r="L110" s="291">
        <f t="shared" si="47"/>
        <v>0.19999999999999984</v>
      </c>
      <c r="M110" s="291" t="e">
        <f t="shared" si="62"/>
        <v>#REF!</v>
      </c>
      <c r="N110" s="289">
        <f t="shared" si="48"/>
        <v>80</v>
      </c>
      <c r="O110" s="291">
        <f t="shared" si="49"/>
        <v>0.8</v>
      </c>
      <c r="P110" s="291">
        <f t="shared" si="50"/>
        <v>0.84162123357291474</v>
      </c>
      <c r="Q110" s="291">
        <f t="shared" si="51"/>
        <v>0.80000000000000016</v>
      </c>
      <c r="R110" s="292" t="e">
        <f t="shared" si="63"/>
        <v>#REF!</v>
      </c>
      <c r="S110" s="291" t="s">
        <v>62</v>
      </c>
      <c r="T110" s="293" t="e">
        <f t="shared" si="52"/>
        <v>#REF!</v>
      </c>
    </row>
    <row r="111" spans="2:20" ht="17" thickBot="1" x14ac:dyDescent="0.25">
      <c r="B111" s="1438"/>
      <c r="C111" s="1441"/>
      <c r="D111" s="296" t="e">
        <f t="shared" si="65"/>
        <v>#REF!</v>
      </c>
      <c r="E111" s="295" t="e">
        <f t="shared" si="53"/>
        <v>#REF!</v>
      </c>
      <c r="F111" s="296" t="e">
        <f t="shared" si="54"/>
        <v>#REF!</v>
      </c>
      <c r="G111" s="296">
        <v>0</v>
      </c>
      <c r="H111" s="292">
        <v>1</v>
      </c>
      <c r="I111" s="291">
        <v>50</v>
      </c>
      <c r="J111" s="291">
        <f t="shared" si="45"/>
        <v>0.5</v>
      </c>
      <c r="K111" s="291">
        <f t="shared" si="46"/>
        <v>0</v>
      </c>
      <c r="L111" s="291">
        <f t="shared" si="47"/>
        <v>0.5</v>
      </c>
      <c r="M111" s="291" t="e">
        <f t="shared" si="62"/>
        <v>#REF!</v>
      </c>
      <c r="N111" s="294">
        <f t="shared" si="48"/>
        <v>50</v>
      </c>
      <c r="O111" s="296">
        <f t="shared" si="49"/>
        <v>0.5</v>
      </c>
      <c r="P111" s="296">
        <f t="shared" si="50"/>
        <v>0</v>
      </c>
      <c r="Q111" s="296">
        <f t="shared" si="51"/>
        <v>0.5</v>
      </c>
      <c r="R111" s="292" t="e">
        <f t="shared" si="63"/>
        <v>#REF!</v>
      </c>
      <c r="S111" s="291" t="s">
        <v>323</v>
      </c>
      <c r="T111" s="293" t="e">
        <f t="shared" si="52"/>
        <v>#REF!</v>
      </c>
    </row>
    <row r="112" spans="2:20" ht="17" customHeight="1" thickBot="1" x14ac:dyDescent="0.25">
      <c r="B112" s="1449" t="s">
        <v>16</v>
      </c>
      <c r="C112" s="1478" t="s">
        <v>129</v>
      </c>
      <c r="D112" s="304">
        <f>'S4 - Summ PRS Characteristics'!F11</f>
        <v>0.55200000000000005</v>
      </c>
      <c r="E112" s="109">
        <f t="shared" si="53"/>
        <v>0.13071596811986333</v>
      </c>
      <c r="F112" s="142">
        <f t="shared" si="54"/>
        <v>0.18486029493383985</v>
      </c>
      <c r="G112" s="142">
        <v>0</v>
      </c>
      <c r="H112" s="299">
        <v>1</v>
      </c>
      <c r="I112" s="141">
        <v>1</v>
      </c>
      <c r="J112" s="142">
        <f t="shared" si="45"/>
        <v>0.99</v>
      </c>
      <c r="K112" s="142">
        <f t="shared" si="46"/>
        <v>2.3263478740408408</v>
      </c>
      <c r="L112" s="142">
        <f t="shared" si="47"/>
        <v>1.0000000000000009E-2</v>
      </c>
      <c r="M112" s="299">
        <f>1-_xlfn.NORM.DIST(K112,F112,H112,TRUE)</f>
        <v>1.6117369536620352E-2</v>
      </c>
      <c r="N112" s="141">
        <f t="shared" si="48"/>
        <v>99</v>
      </c>
      <c r="O112" s="142">
        <f t="shared" si="49"/>
        <v>0.99</v>
      </c>
      <c r="P112" s="142">
        <f t="shared" si="50"/>
        <v>2.3263478740408408</v>
      </c>
      <c r="Q112" s="142">
        <f t="shared" si="51"/>
        <v>0.99</v>
      </c>
      <c r="R112" s="142">
        <f>_xlfn.NORM.DIST(P112,F112,H112, TRUE)</f>
        <v>0.98388263046337965</v>
      </c>
      <c r="S112" s="28" t="s">
        <v>49</v>
      </c>
      <c r="T112" s="300">
        <f t="shared" si="52"/>
        <v>1.6217580580459316</v>
      </c>
    </row>
    <row r="113" spans="2:20" ht="17" thickTop="1" x14ac:dyDescent="0.2">
      <c r="B113" s="1450"/>
      <c r="C113" s="1435"/>
      <c r="D113" s="143">
        <f>$D$112</f>
        <v>0.55200000000000005</v>
      </c>
      <c r="E113" s="9">
        <f t="shared" si="53"/>
        <v>0.13071596811986333</v>
      </c>
      <c r="F113">
        <f t="shared" si="54"/>
        <v>0.18486029493383985</v>
      </c>
      <c r="G113">
        <v>0</v>
      </c>
      <c r="H113" s="144">
        <v>1</v>
      </c>
      <c r="I113" s="143">
        <v>5</v>
      </c>
      <c r="J113">
        <f t="shared" si="45"/>
        <v>0.95</v>
      </c>
      <c r="K113">
        <f t="shared" si="46"/>
        <v>1.6448536269514715</v>
      </c>
      <c r="L113">
        <f t="shared" si="47"/>
        <v>5.0000000000000155E-2</v>
      </c>
      <c r="M113" s="144">
        <f t="shared" ref="M113:M116" si="66">1-_xlfn.NORM.DIST(K113,F113,H113,TRUE)</f>
        <v>7.214595326141493E-2</v>
      </c>
      <c r="N113" s="143">
        <f t="shared" si="48"/>
        <v>95</v>
      </c>
      <c r="O113">
        <f t="shared" si="49"/>
        <v>0.95</v>
      </c>
      <c r="P113">
        <f t="shared" si="50"/>
        <v>1.6448536269514715</v>
      </c>
      <c r="Q113">
        <f t="shared" si="51"/>
        <v>0.94999999999999984</v>
      </c>
      <c r="R113">
        <f t="shared" ref="R113:R116" si="67">_xlfn.NORM.DIST(P113,F113,H113, TRUE)</f>
        <v>0.92785404673858507</v>
      </c>
      <c r="S113" s="29" t="s">
        <v>51</v>
      </c>
      <c r="T113" s="301">
        <f t="shared" si="52"/>
        <v>1.4773585530883424</v>
      </c>
    </row>
    <row r="114" spans="2:20" x14ac:dyDescent="0.2">
      <c r="B114" s="1450"/>
      <c r="C114" s="1435"/>
      <c r="D114" s="143">
        <f t="shared" ref="D114:D116" si="68">$D$112</f>
        <v>0.55200000000000005</v>
      </c>
      <c r="E114" s="9">
        <f t="shared" si="53"/>
        <v>0.13071596811986333</v>
      </c>
      <c r="F114">
        <f t="shared" si="54"/>
        <v>0.18486029493383985</v>
      </c>
      <c r="G114">
        <v>0</v>
      </c>
      <c r="H114" s="144">
        <v>1</v>
      </c>
      <c r="I114" s="143">
        <v>10</v>
      </c>
      <c r="J114">
        <f t="shared" si="45"/>
        <v>0.9</v>
      </c>
      <c r="K114">
        <f t="shared" si="46"/>
        <v>1.2815515655446006</v>
      </c>
      <c r="L114">
        <f t="shared" si="47"/>
        <v>9.9999999999999978E-2</v>
      </c>
      <c r="M114" s="144">
        <f t="shared" si="66"/>
        <v>0.13638818685906506</v>
      </c>
      <c r="N114" s="143">
        <f t="shared" si="48"/>
        <v>90</v>
      </c>
      <c r="O114">
        <f t="shared" si="49"/>
        <v>0.9</v>
      </c>
      <c r="P114">
        <f t="shared" si="50"/>
        <v>1.2815515655446006</v>
      </c>
      <c r="Q114">
        <f t="shared" si="51"/>
        <v>0.9</v>
      </c>
      <c r="R114">
        <f t="shared" si="67"/>
        <v>0.86361181314093494</v>
      </c>
      <c r="S114" s="29" t="s">
        <v>52</v>
      </c>
      <c r="T114" s="301">
        <f t="shared" si="52"/>
        <v>1.4213488781113606</v>
      </c>
    </row>
    <row r="115" spans="2:20" x14ac:dyDescent="0.2">
      <c r="B115" s="1450"/>
      <c r="C115" s="1435"/>
      <c r="D115" s="143">
        <f t="shared" si="68"/>
        <v>0.55200000000000005</v>
      </c>
      <c r="E115" s="9">
        <f t="shared" si="53"/>
        <v>0.13071596811986333</v>
      </c>
      <c r="F115">
        <f t="shared" si="54"/>
        <v>0.18486029493383985</v>
      </c>
      <c r="G115">
        <v>0</v>
      </c>
      <c r="H115" s="144">
        <v>1</v>
      </c>
      <c r="I115" s="143">
        <v>20</v>
      </c>
      <c r="J115">
        <f t="shared" si="45"/>
        <v>0.8</v>
      </c>
      <c r="K115">
        <f t="shared" si="46"/>
        <v>0.84162123357291474</v>
      </c>
      <c r="L115">
        <f t="shared" si="47"/>
        <v>0.19999999999999984</v>
      </c>
      <c r="M115" s="144">
        <f t="shared" si="66"/>
        <v>0.25566732208709164</v>
      </c>
      <c r="N115" s="143">
        <f t="shared" si="48"/>
        <v>80</v>
      </c>
      <c r="O115">
        <f t="shared" si="49"/>
        <v>0.8</v>
      </c>
      <c r="P115">
        <f t="shared" si="50"/>
        <v>0.84162123357291474</v>
      </c>
      <c r="Q115">
        <f t="shared" si="51"/>
        <v>0.80000000000000016</v>
      </c>
      <c r="R115">
        <f t="shared" si="67"/>
        <v>0.74433267791290836</v>
      </c>
      <c r="S115" s="29" t="s">
        <v>54</v>
      </c>
      <c r="T115" s="301">
        <f t="shared" si="52"/>
        <v>1.3739411404264941</v>
      </c>
    </row>
    <row r="116" spans="2:20" x14ac:dyDescent="0.2">
      <c r="B116" s="1450"/>
      <c r="C116" s="1479"/>
      <c r="D116" s="143">
        <f t="shared" si="68"/>
        <v>0.55200000000000005</v>
      </c>
      <c r="E116" s="9">
        <f t="shared" si="53"/>
        <v>0.13071596811986333</v>
      </c>
      <c r="F116">
        <f t="shared" si="54"/>
        <v>0.18486029493383985</v>
      </c>
      <c r="G116">
        <v>0</v>
      </c>
      <c r="H116" s="144">
        <v>1</v>
      </c>
      <c r="I116" s="143">
        <v>50</v>
      </c>
      <c r="J116">
        <f t="shared" si="45"/>
        <v>0.5</v>
      </c>
      <c r="K116">
        <f t="shared" si="46"/>
        <v>0</v>
      </c>
      <c r="L116">
        <f t="shared" si="47"/>
        <v>0.5</v>
      </c>
      <c r="M116" s="144">
        <f t="shared" si="66"/>
        <v>0.57333069288614147</v>
      </c>
      <c r="N116" s="143">
        <f t="shared" si="48"/>
        <v>50</v>
      </c>
      <c r="O116">
        <f t="shared" si="49"/>
        <v>0.5</v>
      </c>
      <c r="P116">
        <f t="shared" si="50"/>
        <v>0</v>
      </c>
      <c r="Q116">
        <f t="shared" si="51"/>
        <v>0.5</v>
      </c>
      <c r="R116">
        <f t="shared" si="67"/>
        <v>0.42666930711385848</v>
      </c>
      <c r="S116" s="29" t="s">
        <v>321</v>
      </c>
      <c r="T116" s="301">
        <f t="shared" si="52"/>
        <v>1.3437354956801375</v>
      </c>
    </row>
    <row r="117" spans="2:20" ht="17" customHeight="1" thickBot="1" x14ac:dyDescent="0.25">
      <c r="B117" s="1450"/>
      <c r="C117" s="1480" t="s">
        <v>130</v>
      </c>
      <c r="D117" s="488">
        <f>'S4 - Summ PRS Characteristics'!F19</f>
        <v>0.60899999999999999</v>
      </c>
      <c r="E117" s="333">
        <f t="shared" si="53"/>
        <v>0.27671363673674687</v>
      </c>
      <c r="F117" s="334">
        <f t="shared" si="54"/>
        <v>0.39133217796668934</v>
      </c>
      <c r="G117" s="334">
        <v>0</v>
      </c>
      <c r="H117" s="335">
        <v>1</v>
      </c>
      <c r="I117" s="336">
        <v>1</v>
      </c>
      <c r="J117" s="334">
        <f t="shared" si="45"/>
        <v>0.99</v>
      </c>
      <c r="K117" s="334">
        <f t="shared" si="46"/>
        <v>2.3263478740408408</v>
      </c>
      <c r="L117" s="334">
        <f t="shared" si="47"/>
        <v>1.0000000000000009E-2</v>
      </c>
      <c r="M117" s="335">
        <f>1-_xlfn.NORM.DIST(K117,F117,H117,TRUE)</f>
        <v>2.6494184796898912E-2</v>
      </c>
      <c r="N117" s="336">
        <f t="shared" si="48"/>
        <v>99</v>
      </c>
      <c r="O117" s="334">
        <f t="shared" si="49"/>
        <v>0.99</v>
      </c>
      <c r="P117" s="334">
        <f t="shared" si="50"/>
        <v>2.3263478740408408</v>
      </c>
      <c r="Q117" s="334">
        <f t="shared" si="51"/>
        <v>0.99</v>
      </c>
      <c r="R117" s="334">
        <f>_xlfn.NORM.DIST(P117,F117,H117, TRUE)</f>
        <v>0.97350581520310109</v>
      </c>
      <c r="S117" s="337" t="s">
        <v>55</v>
      </c>
      <c r="T117" s="338">
        <f t="shared" si="52"/>
        <v>2.694307783200836</v>
      </c>
    </row>
    <row r="118" spans="2:20" ht="17" thickTop="1" x14ac:dyDescent="0.2">
      <c r="B118" s="1450"/>
      <c r="C118" s="1481"/>
      <c r="D118" s="305">
        <f>$D$117</f>
        <v>0.60899999999999999</v>
      </c>
      <c r="E118" s="486">
        <f t="shared" si="53"/>
        <v>0.27671363673674687</v>
      </c>
      <c r="F118" s="339">
        <f t="shared" si="54"/>
        <v>0.39133217796668934</v>
      </c>
      <c r="G118" s="339">
        <v>0</v>
      </c>
      <c r="H118" s="306">
        <v>1</v>
      </c>
      <c r="I118" s="305">
        <v>5</v>
      </c>
      <c r="J118" s="339">
        <f t="shared" si="45"/>
        <v>0.95</v>
      </c>
      <c r="K118" s="339">
        <f t="shared" si="46"/>
        <v>1.6448536269514715</v>
      </c>
      <c r="L118" s="339">
        <f t="shared" si="47"/>
        <v>5.0000000000000155E-2</v>
      </c>
      <c r="M118" s="306">
        <f t="shared" ref="M118:M126" si="69">1-_xlfn.NORM.DIST(K118,F118,H118,TRUE)</f>
        <v>0.10500799907993918</v>
      </c>
      <c r="N118" s="305">
        <f t="shared" si="48"/>
        <v>95</v>
      </c>
      <c r="O118" s="339">
        <f t="shared" si="49"/>
        <v>0.95</v>
      </c>
      <c r="P118" s="339">
        <f t="shared" si="50"/>
        <v>1.6448536269514715</v>
      </c>
      <c r="Q118" s="339">
        <f t="shared" si="51"/>
        <v>0.94999999999999984</v>
      </c>
      <c r="R118" s="339">
        <f t="shared" ref="R118:R126" si="70">_xlfn.NORM.DIST(P118,F118,H118, TRUE)</f>
        <v>0.89499200092006082</v>
      </c>
      <c r="S118" s="314" t="s">
        <v>56</v>
      </c>
      <c r="T118" s="307">
        <f t="shared" si="52"/>
        <v>2.2292400160758996</v>
      </c>
    </row>
    <row r="119" spans="2:20" x14ac:dyDescent="0.2">
      <c r="B119" s="1450"/>
      <c r="C119" s="1481"/>
      <c r="D119" s="305">
        <f t="shared" ref="D119:D121" si="71">$D$117</f>
        <v>0.60899999999999999</v>
      </c>
      <c r="E119" s="486">
        <f t="shared" si="53"/>
        <v>0.27671363673674687</v>
      </c>
      <c r="F119" s="339">
        <f t="shared" si="54"/>
        <v>0.39133217796668934</v>
      </c>
      <c r="G119" s="339">
        <v>0</v>
      </c>
      <c r="H119" s="306">
        <v>1</v>
      </c>
      <c r="I119" s="305">
        <v>10</v>
      </c>
      <c r="J119" s="339">
        <f t="shared" si="45"/>
        <v>0.9</v>
      </c>
      <c r="K119" s="339">
        <f t="shared" si="46"/>
        <v>1.2815515655446006</v>
      </c>
      <c r="L119" s="339">
        <f t="shared" si="47"/>
        <v>9.9999999999999978E-2</v>
      </c>
      <c r="M119" s="306">
        <f t="shared" si="69"/>
        <v>0.186674048180684</v>
      </c>
      <c r="N119" s="305">
        <f t="shared" si="48"/>
        <v>90</v>
      </c>
      <c r="O119" s="339">
        <f t="shared" si="49"/>
        <v>0.9</v>
      </c>
      <c r="P119" s="339">
        <f t="shared" si="50"/>
        <v>1.2815515655446006</v>
      </c>
      <c r="Q119" s="339">
        <f t="shared" si="51"/>
        <v>0.9</v>
      </c>
      <c r="R119" s="339">
        <f t="shared" si="70"/>
        <v>0.813325951819316</v>
      </c>
      <c r="S119" s="314" t="s">
        <v>57</v>
      </c>
      <c r="T119" s="307">
        <f t="shared" si="52"/>
        <v>2.0656741984785341</v>
      </c>
    </row>
    <row r="120" spans="2:20" x14ac:dyDescent="0.2">
      <c r="B120" s="1450"/>
      <c r="C120" s="1481"/>
      <c r="D120" s="305">
        <f t="shared" si="71"/>
        <v>0.60899999999999999</v>
      </c>
      <c r="E120" s="486">
        <f t="shared" si="53"/>
        <v>0.27671363673674687</v>
      </c>
      <c r="F120" s="339">
        <f t="shared" si="54"/>
        <v>0.39133217796668934</v>
      </c>
      <c r="G120" s="339">
        <v>0</v>
      </c>
      <c r="H120" s="306">
        <v>1</v>
      </c>
      <c r="I120" s="305">
        <v>20</v>
      </c>
      <c r="J120" s="339">
        <f t="shared" si="45"/>
        <v>0.8</v>
      </c>
      <c r="K120" s="339">
        <f t="shared" si="46"/>
        <v>0.84162123357291474</v>
      </c>
      <c r="L120" s="339">
        <f t="shared" si="47"/>
        <v>0.19999999999999984</v>
      </c>
      <c r="M120" s="306">
        <f t="shared" si="69"/>
        <v>0.3262510147270935</v>
      </c>
      <c r="N120" s="305">
        <f t="shared" si="48"/>
        <v>80</v>
      </c>
      <c r="O120" s="339">
        <f t="shared" si="49"/>
        <v>0.8</v>
      </c>
      <c r="P120" s="339">
        <f t="shared" si="50"/>
        <v>0.84162123357291474</v>
      </c>
      <c r="Q120" s="339">
        <f t="shared" si="51"/>
        <v>0.80000000000000016</v>
      </c>
      <c r="R120" s="339">
        <f t="shared" si="70"/>
        <v>0.6737489852729065</v>
      </c>
      <c r="S120" s="314" t="s">
        <v>58</v>
      </c>
      <c r="T120" s="307">
        <f t="shared" si="52"/>
        <v>1.9369291641749558</v>
      </c>
    </row>
    <row r="121" spans="2:20" x14ac:dyDescent="0.2">
      <c r="B121" s="1450"/>
      <c r="C121" s="1482"/>
      <c r="D121" s="341">
        <f t="shared" si="71"/>
        <v>0.60899999999999999</v>
      </c>
      <c r="E121" s="342">
        <f t="shared" si="53"/>
        <v>0.27671363673674687</v>
      </c>
      <c r="F121" s="343">
        <f t="shared" si="54"/>
        <v>0.39133217796668934</v>
      </c>
      <c r="G121" s="343">
        <v>0</v>
      </c>
      <c r="H121" s="344">
        <v>1</v>
      </c>
      <c r="I121" s="341">
        <v>50</v>
      </c>
      <c r="J121" s="343">
        <f t="shared" si="45"/>
        <v>0.5</v>
      </c>
      <c r="K121" s="343">
        <f t="shared" si="46"/>
        <v>0</v>
      </c>
      <c r="L121" s="343">
        <f t="shared" si="47"/>
        <v>0.5</v>
      </c>
      <c r="M121" s="344">
        <f t="shared" si="69"/>
        <v>0.65222414153672648</v>
      </c>
      <c r="N121" s="341">
        <f t="shared" si="48"/>
        <v>50</v>
      </c>
      <c r="O121" s="343">
        <f t="shared" si="49"/>
        <v>0.5</v>
      </c>
      <c r="P121" s="343">
        <f t="shared" si="50"/>
        <v>0</v>
      </c>
      <c r="Q121" s="343">
        <f t="shared" si="51"/>
        <v>0.5</v>
      </c>
      <c r="R121" s="343">
        <f t="shared" si="70"/>
        <v>0.34777585846327352</v>
      </c>
      <c r="S121" s="345" t="s">
        <v>322</v>
      </c>
      <c r="T121" s="346">
        <f t="shared" si="52"/>
        <v>1.8754152298515678</v>
      </c>
    </row>
    <row r="122" spans="2:20" ht="17" customHeight="1" thickBot="1" x14ac:dyDescent="0.25">
      <c r="B122" s="1450"/>
      <c r="C122" s="1435" t="s">
        <v>131</v>
      </c>
      <c r="D122" s="340">
        <f>'S4 - Summ PRS Characteristics'!F27</f>
        <v>0.67</v>
      </c>
      <c r="E122" s="9">
        <f t="shared" si="53"/>
        <v>0.43991316567323396</v>
      </c>
      <c r="F122">
        <f t="shared" si="54"/>
        <v>0.62213116516156974</v>
      </c>
      <c r="G122">
        <v>0</v>
      </c>
      <c r="H122" s="144">
        <v>1</v>
      </c>
      <c r="I122" s="143">
        <v>1</v>
      </c>
      <c r="J122">
        <f t="shared" si="45"/>
        <v>0.99</v>
      </c>
      <c r="K122">
        <f t="shared" si="46"/>
        <v>2.3263478740408408</v>
      </c>
      <c r="L122">
        <f t="shared" si="47"/>
        <v>1.0000000000000009E-2</v>
      </c>
      <c r="M122" s="144">
        <f t="shared" si="69"/>
        <v>4.4170304371835223E-2</v>
      </c>
      <c r="N122" s="143">
        <f t="shared" si="48"/>
        <v>99</v>
      </c>
      <c r="O122">
        <f t="shared" si="49"/>
        <v>0.99</v>
      </c>
      <c r="P122">
        <f t="shared" si="50"/>
        <v>2.3263478740408408</v>
      </c>
      <c r="Q122">
        <f t="shared" si="51"/>
        <v>0.99</v>
      </c>
      <c r="R122">
        <f t="shared" si="70"/>
        <v>0.95582969562816478</v>
      </c>
      <c r="S122" s="29" t="s">
        <v>59</v>
      </c>
      <c r="T122" s="301">
        <f t="shared" si="52"/>
        <v>4.5749364691351939</v>
      </c>
    </row>
    <row r="123" spans="2:20" ht="17" thickTop="1" x14ac:dyDescent="0.2">
      <c r="B123" s="1450"/>
      <c r="C123" s="1435"/>
      <c r="D123" s="143">
        <f>$D$122</f>
        <v>0.67</v>
      </c>
      <c r="E123" s="9">
        <f t="shared" si="53"/>
        <v>0.43991316567323396</v>
      </c>
      <c r="F123">
        <f t="shared" si="54"/>
        <v>0.62213116516156974</v>
      </c>
      <c r="G123">
        <v>0</v>
      </c>
      <c r="H123" s="144">
        <v>1</v>
      </c>
      <c r="I123" s="143">
        <v>5</v>
      </c>
      <c r="J123">
        <f t="shared" si="45"/>
        <v>0.95</v>
      </c>
      <c r="K123">
        <f t="shared" si="46"/>
        <v>1.6448536269514715</v>
      </c>
      <c r="L123">
        <f t="shared" si="47"/>
        <v>5.0000000000000155E-2</v>
      </c>
      <c r="M123" s="144">
        <f t="shared" si="69"/>
        <v>0.15321954402372351</v>
      </c>
      <c r="N123" s="143">
        <f t="shared" si="48"/>
        <v>95</v>
      </c>
      <c r="O123">
        <f t="shared" si="49"/>
        <v>0.95</v>
      </c>
      <c r="P123">
        <f t="shared" si="50"/>
        <v>1.6448536269514715</v>
      </c>
      <c r="Q123">
        <f t="shared" si="51"/>
        <v>0.94999999999999984</v>
      </c>
      <c r="R123">
        <f t="shared" si="70"/>
        <v>0.84678045597627649</v>
      </c>
      <c r="S123" s="29" t="s">
        <v>60</v>
      </c>
      <c r="T123" s="301">
        <f t="shared" si="52"/>
        <v>3.4379292954917906</v>
      </c>
    </row>
    <row r="124" spans="2:20" x14ac:dyDescent="0.2">
      <c r="B124" s="1450"/>
      <c r="C124" s="1435"/>
      <c r="D124" s="143">
        <f t="shared" ref="D124:D126" si="72">$D$122</f>
        <v>0.67</v>
      </c>
      <c r="E124" s="9">
        <f t="shared" si="53"/>
        <v>0.43991316567323396</v>
      </c>
      <c r="F124">
        <f t="shared" si="54"/>
        <v>0.62213116516156974</v>
      </c>
      <c r="G124">
        <v>0</v>
      </c>
      <c r="H124" s="144">
        <v>1</v>
      </c>
      <c r="I124" s="143">
        <v>10</v>
      </c>
      <c r="J124">
        <f t="shared" si="45"/>
        <v>0.9</v>
      </c>
      <c r="K124">
        <f t="shared" si="46"/>
        <v>1.2815515655446006</v>
      </c>
      <c r="L124">
        <f t="shared" si="47"/>
        <v>9.9999999999999978E-2</v>
      </c>
      <c r="M124" s="144">
        <f t="shared" si="69"/>
        <v>0.25481292277379364</v>
      </c>
      <c r="N124" s="143">
        <f t="shared" si="48"/>
        <v>90</v>
      </c>
      <c r="O124">
        <f t="shared" si="49"/>
        <v>0.9</v>
      </c>
      <c r="P124">
        <f t="shared" si="50"/>
        <v>1.2815515655446006</v>
      </c>
      <c r="Q124">
        <f t="shared" si="51"/>
        <v>0.9</v>
      </c>
      <c r="R124">
        <f t="shared" si="70"/>
        <v>0.74518707722620636</v>
      </c>
      <c r="S124" s="29" t="s">
        <v>61</v>
      </c>
      <c r="T124" s="301">
        <f t="shared" si="52"/>
        <v>3.0775041262128493</v>
      </c>
    </row>
    <row r="125" spans="2:20" x14ac:dyDescent="0.2">
      <c r="B125" s="1450"/>
      <c r="C125" s="1435"/>
      <c r="D125" s="143">
        <f t="shared" si="72"/>
        <v>0.67</v>
      </c>
      <c r="E125" s="9">
        <f t="shared" si="53"/>
        <v>0.43991316567323396</v>
      </c>
      <c r="F125">
        <f t="shared" si="54"/>
        <v>0.62213116516156974</v>
      </c>
      <c r="G125">
        <v>0</v>
      </c>
      <c r="H125" s="144">
        <v>1</v>
      </c>
      <c r="I125" s="143">
        <v>20</v>
      </c>
      <c r="J125">
        <f t="shared" si="45"/>
        <v>0.8</v>
      </c>
      <c r="K125">
        <f t="shared" si="46"/>
        <v>0.84162123357291474</v>
      </c>
      <c r="L125">
        <f t="shared" si="47"/>
        <v>0.19999999999999984</v>
      </c>
      <c r="M125" s="144">
        <f t="shared" si="69"/>
        <v>0.41313415775920803</v>
      </c>
      <c r="N125" s="143">
        <f t="shared" si="48"/>
        <v>80</v>
      </c>
      <c r="O125">
        <f t="shared" si="49"/>
        <v>0.8</v>
      </c>
      <c r="P125">
        <f t="shared" si="50"/>
        <v>0.84162123357291474</v>
      </c>
      <c r="Q125">
        <f t="shared" si="51"/>
        <v>0.80000000000000016</v>
      </c>
      <c r="R125">
        <f t="shared" si="70"/>
        <v>0.58686584224079197</v>
      </c>
      <c r="S125" s="29" t="s">
        <v>62</v>
      </c>
      <c r="T125" s="301">
        <f t="shared" si="52"/>
        <v>2.8158678050285904</v>
      </c>
    </row>
    <row r="126" spans="2:20" ht="17" thickBot="1" x14ac:dyDescent="0.25">
      <c r="B126" s="1451"/>
      <c r="C126" s="1476"/>
      <c r="D126" s="302">
        <f t="shared" si="72"/>
        <v>0.67</v>
      </c>
      <c r="E126" s="11">
        <f t="shared" si="53"/>
        <v>0.43991316567323396</v>
      </c>
      <c r="F126" s="5">
        <f t="shared" si="54"/>
        <v>0.62213116516156974</v>
      </c>
      <c r="G126" s="5">
        <v>0</v>
      </c>
      <c r="H126" s="265">
        <v>1</v>
      </c>
      <c r="I126" s="302">
        <v>50</v>
      </c>
      <c r="J126" s="5">
        <f t="shared" si="45"/>
        <v>0.5</v>
      </c>
      <c r="K126" s="5">
        <f t="shared" si="46"/>
        <v>0</v>
      </c>
      <c r="L126" s="5">
        <f t="shared" si="47"/>
        <v>0.5</v>
      </c>
      <c r="M126" s="265">
        <f t="shared" si="69"/>
        <v>0.73307218810968267</v>
      </c>
      <c r="N126" s="302">
        <f t="shared" si="48"/>
        <v>50</v>
      </c>
      <c r="O126" s="5">
        <f t="shared" si="49"/>
        <v>0.5</v>
      </c>
      <c r="P126" s="5">
        <f t="shared" si="50"/>
        <v>0</v>
      </c>
      <c r="Q126" s="5">
        <f t="shared" si="51"/>
        <v>0.5</v>
      </c>
      <c r="R126" s="5">
        <f t="shared" si="70"/>
        <v>0.26692781189031733</v>
      </c>
      <c r="S126" s="30" t="s">
        <v>323</v>
      </c>
      <c r="T126" s="303">
        <f t="shared" si="52"/>
        <v>2.7463312380910971</v>
      </c>
    </row>
    <row r="127" spans="2:20" ht="17" customHeight="1" thickBot="1" x14ac:dyDescent="0.25">
      <c r="B127" s="1436" t="s">
        <v>17</v>
      </c>
      <c r="C127" s="1457" t="s">
        <v>129</v>
      </c>
      <c r="D127" s="507">
        <f>'S4 - Summ PRS Characteristics'!F12</f>
        <v>0.70299999999999996</v>
      </c>
      <c r="E127" s="290">
        <f t="shared" si="53"/>
        <v>0.53304851090290906</v>
      </c>
      <c r="F127" s="291">
        <f>(E127*SQRT(2))</f>
        <v>0.75384443352167663</v>
      </c>
      <c r="G127" s="291">
        <v>0</v>
      </c>
      <c r="H127" s="291">
        <v>1</v>
      </c>
      <c r="I127" s="287">
        <v>1</v>
      </c>
      <c r="J127" s="285">
        <f t="shared" si="45"/>
        <v>0.99</v>
      </c>
      <c r="K127" s="285">
        <f t="shared" si="46"/>
        <v>2.3263478740408408</v>
      </c>
      <c r="L127" s="285">
        <f t="shared" si="47"/>
        <v>1.0000000000000009E-2</v>
      </c>
      <c r="M127" s="286">
        <f>1-_xlfn.NORM.DIST(K127,F127,H127,TRUE)</f>
        <v>5.7916920942495453E-2</v>
      </c>
      <c r="N127" s="287">
        <f t="shared" si="48"/>
        <v>99</v>
      </c>
      <c r="O127" s="285">
        <f t="shared" si="49"/>
        <v>0.99</v>
      </c>
      <c r="P127" s="285">
        <f t="shared" si="50"/>
        <v>2.3263478740408408</v>
      </c>
      <c r="Q127" s="285">
        <f t="shared" si="51"/>
        <v>0.99</v>
      </c>
      <c r="R127" s="286">
        <f>_xlfn.NORM.DIST(P127,F127,H127, TRUE)</f>
        <v>0.94208307905750455</v>
      </c>
      <c r="S127" s="311" t="s">
        <v>49</v>
      </c>
      <c r="T127" s="288">
        <f t="shared" si="52"/>
        <v>6.0862733879514419</v>
      </c>
    </row>
    <row r="128" spans="2:20" ht="17" thickTop="1" x14ac:dyDescent="0.2">
      <c r="B128" s="1437"/>
      <c r="C128" s="1440"/>
      <c r="D128" s="290">
        <f>$D$127</f>
        <v>0.70299999999999996</v>
      </c>
      <c r="E128" s="290">
        <f t="shared" si="53"/>
        <v>0.53304851090290906</v>
      </c>
      <c r="F128" s="291">
        <f t="shared" si="54"/>
        <v>0.75384443352167663</v>
      </c>
      <c r="G128" s="291">
        <v>0</v>
      </c>
      <c r="H128" s="291">
        <v>1</v>
      </c>
      <c r="I128" s="289">
        <v>5</v>
      </c>
      <c r="J128" s="291">
        <f t="shared" si="45"/>
        <v>0.95</v>
      </c>
      <c r="K128" s="291">
        <f t="shared" si="46"/>
        <v>1.6448536269514715</v>
      </c>
      <c r="L128" s="291">
        <f t="shared" si="47"/>
        <v>5.0000000000000155E-2</v>
      </c>
      <c r="M128" s="292">
        <f t="shared" ref="M128:M131" si="73">1-_xlfn.NORM.DIST(K128,F128,H128,TRUE)</f>
        <v>0.18646211909603405</v>
      </c>
      <c r="N128" s="289">
        <f t="shared" si="48"/>
        <v>95</v>
      </c>
      <c r="O128" s="291">
        <f t="shared" si="49"/>
        <v>0.95</v>
      </c>
      <c r="P128" s="291">
        <f t="shared" si="50"/>
        <v>1.6448536269514715</v>
      </c>
      <c r="Q128" s="291">
        <f t="shared" si="51"/>
        <v>0.94999999999999984</v>
      </c>
      <c r="R128" s="292">
        <f t="shared" ref="R128:R131" si="74">_xlfn.NORM.DIST(P128,F128,H128, TRUE)</f>
        <v>0.81353788090396595</v>
      </c>
      <c r="S128" s="312" t="s">
        <v>51</v>
      </c>
      <c r="T128" s="293">
        <f t="shared" si="52"/>
        <v>4.3547821754631277</v>
      </c>
    </row>
    <row r="129" spans="2:20" x14ac:dyDescent="0.2">
      <c r="B129" s="1437"/>
      <c r="C129" s="1440"/>
      <c r="D129" s="290">
        <f t="shared" ref="D129:D131" si="75">$D$127</f>
        <v>0.70299999999999996</v>
      </c>
      <c r="E129" s="290">
        <f t="shared" si="53"/>
        <v>0.53304851090290906</v>
      </c>
      <c r="F129" s="291">
        <f t="shared" si="54"/>
        <v>0.75384443352167663</v>
      </c>
      <c r="G129" s="291">
        <v>0</v>
      </c>
      <c r="H129" s="291">
        <v>1</v>
      </c>
      <c r="I129" s="289">
        <v>10</v>
      </c>
      <c r="J129" s="291">
        <f t="shared" si="45"/>
        <v>0.9</v>
      </c>
      <c r="K129" s="291">
        <f t="shared" si="46"/>
        <v>1.2815515655446006</v>
      </c>
      <c r="L129" s="291">
        <f t="shared" si="47"/>
        <v>9.9999999999999978E-2</v>
      </c>
      <c r="M129" s="292">
        <f t="shared" si="73"/>
        <v>0.29885131117732111</v>
      </c>
      <c r="N129" s="289">
        <f t="shared" si="48"/>
        <v>90</v>
      </c>
      <c r="O129" s="291">
        <f t="shared" si="49"/>
        <v>0.9</v>
      </c>
      <c r="P129" s="291">
        <f t="shared" si="50"/>
        <v>1.2815515655446006</v>
      </c>
      <c r="Q129" s="291">
        <f t="shared" si="51"/>
        <v>0.9</v>
      </c>
      <c r="R129" s="292">
        <f t="shared" si="74"/>
        <v>0.70114868882267889</v>
      </c>
      <c r="S129" s="312" t="s">
        <v>52</v>
      </c>
      <c r="T129" s="293">
        <f t="shared" si="52"/>
        <v>3.8360790563727472</v>
      </c>
    </row>
    <row r="130" spans="2:20" x14ac:dyDescent="0.2">
      <c r="B130" s="1437"/>
      <c r="C130" s="1440"/>
      <c r="D130" s="290">
        <f t="shared" si="75"/>
        <v>0.70299999999999996</v>
      </c>
      <c r="E130" s="290">
        <f t="shared" si="53"/>
        <v>0.53304851090290906</v>
      </c>
      <c r="F130" s="291">
        <f t="shared" si="54"/>
        <v>0.75384443352167663</v>
      </c>
      <c r="G130" s="291">
        <v>0</v>
      </c>
      <c r="H130" s="291">
        <v>1</v>
      </c>
      <c r="I130" s="289">
        <v>20</v>
      </c>
      <c r="J130" s="291">
        <f t="shared" si="45"/>
        <v>0.8</v>
      </c>
      <c r="K130" s="291">
        <f t="shared" si="46"/>
        <v>0.84162123357291474</v>
      </c>
      <c r="L130" s="291">
        <f t="shared" si="47"/>
        <v>0.19999999999999984</v>
      </c>
      <c r="M130" s="292">
        <f t="shared" si="73"/>
        <v>0.46502703872738049</v>
      </c>
      <c r="N130" s="289">
        <f t="shared" si="48"/>
        <v>80</v>
      </c>
      <c r="O130" s="291">
        <f t="shared" si="49"/>
        <v>0.8</v>
      </c>
      <c r="P130" s="291">
        <f t="shared" si="50"/>
        <v>0.84162123357291474</v>
      </c>
      <c r="Q130" s="291">
        <f t="shared" si="51"/>
        <v>0.80000000000000016</v>
      </c>
      <c r="R130" s="292">
        <f t="shared" si="74"/>
        <v>0.53497296127261951</v>
      </c>
      <c r="S130" s="312" t="s">
        <v>54</v>
      </c>
      <c r="T130" s="293">
        <f t="shared" si="52"/>
        <v>3.4770133998634409</v>
      </c>
    </row>
    <row r="131" spans="2:20" x14ac:dyDescent="0.2">
      <c r="B131" s="1437"/>
      <c r="C131" s="1458"/>
      <c r="D131" s="290">
        <f t="shared" si="75"/>
        <v>0.70299999999999996</v>
      </c>
      <c r="E131" s="290">
        <f t="shared" si="53"/>
        <v>0.53304851090290906</v>
      </c>
      <c r="F131" s="291">
        <f t="shared" si="54"/>
        <v>0.75384443352167663</v>
      </c>
      <c r="G131" s="291">
        <v>0</v>
      </c>
      <c r="H131" s="291">
        <v>1</v>
      </c>
      <c r="I131" s="289">
        <v>50</v>
      </c>
      <c r="J131" s="291">
        <f t="shared" si="45"/>
        <v>0.5</v>
      </c>
      <c r="K131" s="291">
        <f t="shared" si="46"/>
        <v>0</v>
      </c>
      <c r="L131" s="291">
        <f t="shared" si="47"/>
        <v>0.5</v>
      </c>
      <c r="M131" s="292">
        <f t="shared" si="73"/>
        <v>0.77452868020246113</v>
      </c>
      <c r="N131" s="289">
        <f t="shared" si="48"/>
        <v>50</v>
      </c>
      <c r="O131" s="291">
        <f t="shared" si="49"/>
        <v>0.5</v>
      </c>
      <c r="P131" s="291">
        <f t="shared" si="50"/>
        <v>0</v>
      </c>
      <c r="Q131" s="291">
        <f t="shared" si="51"/>
        <v>0.5</v>
      </c>
      <c r="R131" s="292">
        <f t="shared" si="74"/>
        <v>0.2254713197975389</v>
      </c>
      <c r="S131" s="312" t="s">
        <v>321</v>
      </c>
      <c r="T131" s="293">
        <f t="shared" si="52"/>
        <v>3.4351538851945613</v>
      </c>
    </row>
    <row r="132" spans="2:20" ht="17" customHeight="1" thickBot="1" x14ac:dyDescent="0.25">
      <c r="B132" s="1437"/>
      <c r="C132" s="1433" t="s">
        <v>130</v>
      </c>
      <c r="D132" s="505">
        <f>'S4 - Summ PRS Characteristics'!F20</f>
        <v>0.83799999999999997</v>
      </c>
      <c r="E132" s="327">
        <f t="shared" si="53"/>
        <v>0.98627129870223729</v>
      </c>
      <c r="F132" s="328">
        <f t="shared" si="54"/>
        <v>1.3947982468040301</v>
      </c>
      <c r="G132" s="328">
        <v>0</v>
      </c>
      <c r="H132" s="328">
        <v>1</v>
      </c>
      <c r="I132" s="330">
        <v>1</v>
      </c>
      <c r="J132" s="328">
        <f t="shared" si="45"/>
        <v>0.99</v>
      </c>
      <c r="K132" s="328">
        <f t="shared" si="46"/>
        <v>2.3263478740408408</v>
      </c>
      <c r="L132" s="328">
        <f t="shared" si="47"/>
        <v>1.0000000000000009E-2</v>
      </c>
      <c r="M132" s="329">
        <f>1-_xlfn.NORM.DIST(K132,F132,H132,TRUE)</f>
        <v>0.17578466299307982</v>
      </c>
      <c r="N132" s="330">
        <f t="shared" si="48"/>
        <v>99</v>
      </c>
      <c r="O132" s="328">
        <f t="shared" si="49"/>
        <v>0.99</v>
      </c>
      <c r="P132" s="328">
        <f t="shared" si="50"/>
        <v>2.3263478740408408</v>
      </c>
      <c r="Q132" s="328">
        <f t="shared" si="51"/>
        <v>0.99</v>
      </c>
      <c r="R132" s="329">
        <f>_xlfn.NORM.DIST(P132,F132,H132, TRUE)</f>
        <v>0.82421533700692018</v>
      </c>
      <c r="S132" s="331" t="s">
        <v>55</v>
      </c>
      <c r="T132" s="332">
        <f t="shared" si="52"/>
        <v>21.114241454801721</v>
      </c>
    </row>
    <row r="133" spans="2:20" ht="17" thickTop="1" x14ac:dyDescent="0.2">
      <c r="B133" s="1437"/>
      <c r="C133" s="1434"/>
      <c r="D133">
        <f>$D$132</f>
        <v>0.83799999999999997</v>
      </c>
      <c r="E133" s="9">
        <f t="shared" si="53"/>
        <v>0.98627129870223729</v>
      </c>
      <c r="F133">
        <f t="shared" si="54"/>
        <v>1.3947982468040301</v>
      </c>
      <c r="G133">
        <v>0</v>
      </c>
      <c r="H133">
        <v>1</v>
      </c>
      <c r="I133" s="143">
        <v>5</v>
      </c>
      <c r="J133">
        <f t="shared" si="45"/>
        <v>0.95</v>
      </c>
      <c r="K133">
        <f t="shared" si="46"/>
        <v>1.6448536269514715</v>
      </c>
      <c r="L133">
        <f t="shared" si="47"/>
        <v>5.0000000000000155E-2</v>
      </c>
      <c r="M133" s="144">
        <f t="shared" ref="M133:M141" si="76">1-_xlfn.NORM.DIST(K133,F133,H133,TRUE)</f>
        <v>0.40127226072800415</v>
      </c>
      <c r="N133" s="143">
        <f t="shared" si="48"/>
        <v>95</v>
      </c>
      <c r="O133">
        <f t="shared" si="49"/>
        <v>0.95</v>
      </c>
      <c r="P133">
        <f t="shared" si="50"/>
        <v>1.6448536269514715</v>
      </c>
      <c r="Q133">
        <f t="shared" si="51"/>
        <v>0.94999999999999984</v>
      </c>
      <c r="R133" s="144">
        <f t="shared" ref="R133:R141" si="77">_xlfn.NORM.DIST(P133,F133,H133, TRUE)</f>
        <v>0.59872773927199585</v>
      </c>
      <c r="S133" s="29" t="s">
        <v>56</v>
      </c>
      <c r="T133" s="301">
        <f t="shared" si="52"/>
        <v>12.733956444213572</v>
      </c>
    </row>
    <row r="134" spans="2:20" x14ac:dyDescent="0.2">
      <c r="B134" s="1437"/>
      <c r="C134" s="1434"/>
      <c r="D134">
        <f t="shared" ref="D134:D136" si="78">$D$132</f>
        <v>0.83799999999999997</v>
      </c>
      <c r="E134" s="9">
        <f t="shared" si="53"/>
        <v>0.98627129870223729</v>
      </c>
      <c r="F134">
        <f t="shared" si="54"/>
        <v>1.3947982468040301</v>
      </c>
      <c r="G134">
        <v>0</v>
      </c>
      <c r="H134">
        <v>1</v>
      </c>
      <c r="I134" s="143">
        <v>10</v>
      </c>
      <c r="J134">
        <f t="shared" si="45"/>
        <v>0.9</v>
      </c>
      <c r="K134">
        <f t="shared" si="46"/>
        <v>1.2815515655446006</v>
      </c>
      <c r="L134">
        <f t="shared" si="47"/>
        <v>9.9999999999999978E-2</v>
      </c>
      <c r="M134" s="144">
        <f t="shared" si="76"/>
        <v>0.54508250630577881</v>
      </c>
      <c r="N134" s="143">
        <f t="shared" si="48"/>
        <v>90</v>
      </c>
      <c r="O134">
        <f t="shared" si="49"/>
        <v>0.9</v>
      </c>
      <c r="P134">
        <f t="shared" si="50"/>
        <v>1.2815515655446006</v>
      </c>
      <c r="Q134">
        <f t="shared" si="51"/>
        <v>0.9</v>
      </c>
      <c r="R134" s="144">
        <f t="shared" si="77"/>
        <v>0.45491749369422119</v>
      </c>
      <c r="S134" s="29" t="s">
        <v>57</v>
      </c>
      <c r="T134" s="301">
        <f t="shared" si="52"/>
        <v>10.783807228238777</v>
      </c>
    </row>
    <row r="135" spans="2:20" x14ac:dyDescent="0.2">
      <c r="B135" s="1437"/>
      <c r="C135" s="1434"/>
      <c r="D135">
        <f t="shared" si="78"/>
        <v>0.83799999999999997</v>
      </c>
      <c r="E135" s="9">
        <f t="shared" si="53"/>
        <v>0.98627129870223729</v>
      </c>
      <c r="F135">
        <f t="shared" si="54"/>
        <v>1.3947982468040301</v>
      </c>
      <c r="G135">
        <v>0</v>
      </c>
      <c r="H135">
        <v>1</v>
      </c>
      <c r="I135" s="143">
        <v>20</v>
      </c>
      <c r="J135">
        <f t="shared" si="45"/>
        <v>0.8</v>
      </c>
      <c r="K135">
        <f t="shared" si="46"/>
        <v>0.84162123357291474</v>
      </c>
      <c r="L135">
        <f t="shared" si="47"/>
        <v>0.19999999999999984</v>
      </c>
      <c r="M135" s="144">
        <f t="shared" si="76"/>
        <v>0.70992889719497554</v>
      </c>
      <c r="N135" s="143">
        <f t="shared" si="48"/>
        <v>80</v>
      </c>
      <c r="O135">
        <f t="shared" si="49"/>
        <v>0.8</v>
      </c>
      <c r="P135">
        <f t="shared" si="50"/>
        <v>0.84162123357291474</v>
      </c>
      <c r="Q135">
        <f t="shared" si="51"/>
        <v>0.80000000000000016</v>
      </c>
      <c r="R135" s="144">
        <f t="shared" si="77"/>
        <v>0.29007110280502452</v>
      </c>
      <c r="S135" s="29" t="s">
        <v>58</v>
      </c>
      <c r="T135" s="301">
        <f t="shared" si="52"/>
        <v>9.7897224553548892</v>
      </c>
    </row>
    <row r="136" spans="2:20" x14ac:dyDescent="0.2">
      <c r="B136" s="1437"/>
      <c r="C136" s="1434"/>
      <c r="D136" s="322">
        <f t="shared" si="78"/>
        <v>0.83799999999999997</v>
      </c>
      <c r="E136" s="321">
        <f t="shared" si="53"/>
        <v>0.98627129870223729</v>
      </c>
      <c r="F136" s="322">
        <f t="shared" si="54"/>
        <v>1.3947982468040301</v>
      </c>
      <c r="G136" s="322">
        <v>0</v>
      </c>
      <c r="H136" s="322">
        <v>1</v>
      </c>
      <c r="I136" s="143">
        <v>50</v>
      </c>
      <c r="J136">
        <f t="shared" si="45"/>
        <v>0.5</v>
      </c>
      <c r="K136">
        <f t="shared" si="46"/>
        <v>0</v>
      </c>
      <c r="L136">
        <f t="shared" si="47"/>
        <v>0.5</v>
      </c>
      <c r="M136" s="144">
        <f t="shared" si="76"/>
        <v>0.91846165612533537</v>
      </c>
      <c r="N136" s="143">
        <f t="shared" si="48"/>
        <v>50</v>
      </c>
      <c r="O136">
        <f t="shared" si="49"/>
        <v>0.5</v>
      </c>
      <c r="P136">
        <f t="shared" si="50"/>
        <v>0</v>
      </c>
      <c r="Q136">
        <f t="shared" si="51"/>
        <v>0.5</v>
      </c>
      <c r="R136" s="144">
        <f t="shared" si="77"/>
        <v>8.1538343874664632E-2</v>
      </c>
      <c r="S136" s="29" t="s">
        <v>322</v>
      </c>
      <c r="T136" s="301">
        <f t="shared" si="52"/>
        <v>11.264168641162668</v>
      </c>
    </row>
    <row r="137" spans="2:20" ht="17" customHeight="1" thickBot="1" x14ac:dyDescent="0.25">
      <c r="B137" s="1437"/>
      <c r="C137" s="1440" t="s">
        <v>131</v>
      </c>
      <c r="D137" s="506">
        <f>'S4 - Summ PRS Characteristics'!F28</f>
        <v>0.88</v>
      </c>
      <c r="E137" s="290">
        <f t="shared" si="53"/>
        <v>1.1749867920660904</v>
      </c>
      <c r="F137" s="291">
        <f t="shared" si="54"/>
        <v>1.6616822569491208</v>
      </c>
      <c r="G137" s="291">
        <v>0</v>
      </c>
      <c r="H137" s="291">
        <v>1</v>
      </c>
      <c r="I137" s="501">
        <v>1</v>
      </c>
      <c r="J137" s="499">
        <f t="shared" si="45"/>
        <v>0.99</v>
      </c>
      <c r="K137" s="499">
        <f t="shared" si="46"/>
        <v>2.3263478740408408</v>
      </c>
      <c r="L137" s="499">
        <f t="shared" si="47"/>
        <v>1.0000000000000009E-2</v>
      </c>
      <c r="M137" s="500">
        <f t="shared" si="76"/>
        <v>0.25313219498306394</v>
      </c>
      <c r="N137" s="501">
        <f t="shared" si="48"/>
        <v>99</v>
      </c>
      <c r="O137" s="499">
        <f t="shared" si="49"/>
        <v>0.99</v>
      </c>
      <c r="P137" s="499">
        <f t="shared" si="50"/>
        <v>2.3263478740408408</v>
      </c>
      <c r="Q137" s="499">
        <f t="shared" si="51"/>
        <v>0.99</v>
      </c>
      <c r="R137" s="500">
        <f t="shared" si="77"/>
        <v>0.74686780501693606</v>
      </c>
      <c r="S137" s="502" t="s">
        <v>59</v>
      </c>
      <c r="T137" s="503">
        <f t="shared" si="52"/>
        <v>33.553578203514931</v>
      </c>
    </row>
    <row r="138" spans="2:20" ht="17" thickTop="1" x14ac:dyDescent="0.2">
      <c r="B138" s="1437"/>
      <c r="C138" s="1440"/>
      <c r="D138" s="291">
        <f>$D$137</f>
        <v>0.88</v>
      </c>
      <c r="E138" s="290">
        <f t="shared" si="53"/>
        <v>1.1749867920660904</v>
      </c>
      <c r="F138" s="291">
        <f t="shared" si="54"/>
        <v>1.6616822569491208</v>
      </c>
      <c r="G138" s="291">
        <v>0</v>
      </c>
      <c r="H138" s="291">
        <v>1</v>
      </c>
      <c r="I138" s="289">
        <v>5</v>
      </c>
      <c r="J138" s="291">
        <f t="shared" si="45"/>
        <v>0.95</v>
      </c>
      <c r="K138" s="291">
        <f t="shared" si="46"/>
        <v>1.6448536269514715</v>
      </c>
      <c r="L138" s="291">
        <f t="shared" si="47"/>
        <v>5.0000000000000155E-2</v>
      </c>
      <c r="M138" s="292">
        <f t="shared" si="76"/>
        <v>0.50671333515326034</v>
      </c>
      <c r="N138" s="289">
        <f t="shared" si="48"/>
        <v>95</v>
      </c>
      <c r="O138" s="291">
        <f t="shared" si="49"/>
        <v>0.95</v>
      </c>
      <c r="P138" s="291">
        <f t="shared" si="50"/>
        <v>1.6448536269514715</v>
      </c>
      <c r="Q138" s="291">
        <f t="shared" si="51"/>
        <v>0.94999999999999984</v>
      </c>
      <c r="R138" s="292">
        <f t="shared" si="77"/>
        <v>0.49328666484673966</v>
      </c>
      <c r="S138" s="312" t="s">
        <v>60</v>
      </c>
      <c r="T138" s="293">
        <f t="shared" si="52"/>
        <v>19.517157170472306</v>
      </c>
    </row>
    <row r="139" spans="2:20" x14ac:dyDescent="0.2">
      <c r="B139" s="1437"/>
      <c r="C139" s="1440"/>
      <c r="D139" s="291">
        <f t="shared" ref="D139:D141" si="79">$D$137</f>
        <v>0.88</v>
      </c>
      <c r="E139" s="290">
        <f t="shared" si="53"/>
        <v>1.1749867920660904</v>
      </c>
      <c r="F139" s="291">
        <f t="shared" si="54"/>
        <v>1.6616822569491208</v>
      </c>
      <c r="G139" s="291">
        <v>0</v>
      </c>
      <c r="H139" s="291">
        <v>1</v>
      </c>
      <c r="I139" s="289">
        <v>10</v>
      </c>
      <c r="J139" s="291">
        <f t="shared" si="45"/>
        <v>0.9</v>
      </c>
      <c r="K139" s="291">
        <f t="shared" si="46"/>
        <v>1.2815515655446006</v>
      </c>
      <c r="L139" s="291">
        <f t="shared" si="47"/>
        <v>9.9999999999999978E-2</v>
      </c>
      <c r="M139" s="292">
        <f t="shared" si="76"/>
        <v>0.6480757978413455</v>
      </c>
      <c r="N139" s="289">
        <f t="shared" si="48"/>
        <v>90</v>
      </c>
      <c r="O139" s="291">
        <f t="shared" si="49"/>
        <v>0.9</v>
      </c>
      <c r="P139" s="291">
        <f t="shared" si="50"/>
        <v>1.2815515655446006</v>
      </c>
      <c r="Q139" s="291">
        <f t="shared" si="51"/>
        <v>0.9</v>
      </c>
      <c r="R139" s="292">
        <f t="shared" si="77"/>
        <v>0.3519242021586545</v>
      </c>
      <c r="S139" s="312" t="s">
        <v>61</v>
      </c>
      <c r="T139" s="293">
        <f t="shared" si="52"/>
        <v>16.573688722728484</v>
      </c>
    </row>
    <row r="140" spans="2:20" x14ac:dyDescent="0.2">
      <c r="B140" s="1437"/>
      <c r="C140" s="1440"/>
      <c r="D140" s="291">
        <f t="shared" si="79"/>
        <v>0.88</v>
      </c>
      <c r="E140" s="290">
        <f t="shared" si="53"/>
        <v>1.1749867920660904</v>
      </c>
      <c r="F140" s="291">
        <f t="shared" si="54"/>
        <v>1.6616822569491208</v>
      </c>
      <c r="G140" s="291">
        <v>0</v>
      </c>
      <c r="H140" s="291">
        <v>1</v>
      </c>
      <c r="I140" s="289">
        <v>20</v>
      </c>
      <c r="J140" s="291">
        <f t="shared" si="45"/>
        <v>0.8</v>
      </c>
      <c r="K140" s="291">
        <f t="shared" si="46"/>
        <v>0.84162123357291474</v>
      </c>
      <c r="L140" s="291">
        <f t="shared" si="47"/>
        <v>0.19999999999999984</v>
      </c>
      <c r="M140" s="292">
        <f t="shared" si="76"/>
        <v>0.79390933985993217</v>
      </c>
      <c r="N140" s="289">
        <f t="shared" si="48"/>
        <v>80</v>
      </c>
      <c r="O140" s="291">
        <f t="shared" si="49"/>
        <v>0.8</v>
      </c>
      <c r="P140" s="291">
        <f t="shared" si="50"/>
        <v>0.84162123357291474</v>
      </c>
      <c r="Q140" s="291">
        <f t="shared" si="51"/>
        <v>0.80000000000000016</v>
      </c>
      <c r="R140" s="292">
        <f t="shared" si="77"/>
        <v>0.2060906601400678</v>
      </c>
      <c r="S140" s="312" t="s">
        <v>62</v>
      </c>
      <c r="T140" s="293">
        <f t="shared" si="52"/>
        <v>15.408933899680056</v>
      </c>
    </row>
    <row r="141" spans="2:20" ht="17" thickBot="1" x14ac:dyDescent="0.25">
      <c r="B141" s="1438"/>
      <c r="C141" s="1441"/>
      <c r="D141" s="296">
        <f t="shared" si="79"/>
        <v>0.88</v>
      </c>
      <c r="E141" s="295">
        <f t="shared" si="53"/>
        <v>1.1749867920660904</v>
      </c>
      <c r="F141" s="296">
        <f t="shared" si="54"/>
        <v>1.6616822569491208</v>
      </c>
      <c r="G141" s="296">
        <v>0</v>
      </c>
      <c r="H141" s="296">
        <v>1</v>
      </c>
      <c r="I141" s="294">
        <v>50</v>
      </c>
      <c r="J141" s="296">
        <f t="shared" si="45"/>
        <v>0.5</v>
      </c>
      <c r="K141" s="296">
        <f t="shared" si="46"/>
        <v>0</v>
      </c>
      <c r="L141" s="296">
        <f t="shared" si="47"/>
        <v>0.5</v>
      </c>
      <c r="M141" s="297">
        <f t="shared" si="76"/>
        <v>0.95171174972432593</v>
      </c>
      <c r="N141" s="294">
        <f t="shared" si="48"/>
        <v>50</v>
      </c>
      <c r="O141" s="296">
        <f t="shared" si="49"/>
        <v>0.5</v>
      </c>
      <c r="P141" s="296">
        <f t="shared" si="50"/>
        <v>0</v>
      </c>
      <c r="Q141" s="296">
        <f t="shared" si="51"/>
        <v>0.5</v>
      </c>
      <c r="R141" s="297">
        <f t="shared" si="77"/>
        <v>4.8288250275674037E-2</v>
      </c>
      <c r="S141" s="313" t="s">
        <v>323</v>
      </c>
      <c r="T141" s="298">
        <f t="shared" si="52"/>
        <v>19.708971526014594</v>
      </c>
    </row>
  </sheetData>
  <mergeCells count="47">
    <mergeCell ref="C112:C116"/>
    <mergeCell ref="C117:C121"/>
    <mergeCell ref="C122:C126"/>
    <mergeCell ref="B112:B126"/>
    <mergeCell ref="C127:C131"/>
    <mergeCell ref="B127:B141"/>
    <mergeCell ref="C132:C136"/>
    <mergeCell ref="C137:C141"/>
    <mergeCell ref="C52:C56"/>
    <mergeCell ref="C97:C101"/>
    <mergeCell ref="C102:C106"/>
    <mergeCell ref="B97:B111"/>
    <mergeCell ref="C107:C111"/>
    <mergeCell ref="C67:C71"/>
    <mergeCell ref="C72:C76"/>
    <mergeCell ref="B67:B81"/>
    <mergeCell ref="C77:C81"/>
    <mergeCell ref="C82:C86"/>
    <mergeCell ref="B82:B96"/>
    <mergeCell ref="C87:C91"/>
    <mergeCell ref="C92:C96"/>
    <mergeCell ref="C57:C61"/>
    <mergeCell ref="B52:B66"/>
    <mergeCell ref="C62:C66"/>
    <mergeCell ref="C42:C46"/>
    <mergeCell ref="B37:B51"/>
    <mergeCell ref="C47:C51"/>
    <mergeCell ref="I4:M4"/>
    <mergeCell ref="N4:R4"/>
    <mergeCell ref="C22:C26"/>
    <mergeCell ref="B22:B36"/>
    <mergeCell ref="C27:C31"/>
    <mergeCell ref="C32:C36"/>
    <mergeCell ref="C37:C41"/>
    <mergeCell ref="D4:H4"/>
    <mergeCell ref="C17:C20"/>
    <mergeCell ref="B7:B21"/>
    <mergeCell ref="C7:C11"/>
    <mergeCell ref="C12:C16"/>
    <mergeCell ref="T4:T6"/>
    <mergeCell ref="D5:D6"/>
    <mergeCell ref="E5:E6"/>
    <mergeCell ref="H5:H6"/>
    <mergeCell ref="J5:J6"/>
    <mergeCell ref="K5:K6"/>
    <mergeCell ref="O5:O6"/>
    <mergeCell ref="P5:P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78FD-134F-AF4F-AEB1-61B8377BE262}">
  <sheetPr>
    <tabColor theme="2"/>
  </sheetPr>
  <dimension ref="B2:S79"/>
  <sheetViews>
    <sheetView zoomScale="90" zoomScaleNormal="90" workbookViewId="0">
      <selection activeCell="B4" sqref="B4"/>
    </sheetView>
  </sheetViews>
  <sheetFormatPr baseColWidth="10" defaultColWidth="10.6640625" defaultRowHeight="16" x14ac:dyDescent="0.2"/>
  <cols>
    <col min="1" max="1" width="3.83203125" customWidth="1"/>
    <col min="2" max="2" width="14.6640625" customWidth="1"/>
    <col min="3" max="3" width="3.83203125" customWidth="1"/>
    <col min="4" max="7" width="12.83203125" customWidth="1"/>
    <col min="8" max="8" width="1" customWidth="1"/>
    <col min="9" max="9" width="3.83203125" customWidth="1"/>
    <col min="10" max="13" width="12.83203125" customWidth="1"/>
    <col min="14" max="14" width="1" customWidth="1"/>
    <col min="15" max="15" width="3.83203125" customWidth="1"/>
    <col min="16" max="19" width="12.83203125" customWidth="1"/>
  </cols>
  <sheetData>
    <row r="2" spans="2:19" x14ac:dyDescent="0.2">
      <c r="B2" s="1" t="s">
        <v>132</v>
      </c>
    </row>
    <row r="3" spans="2:19" x14ac:dyDescent="0.2">
      <c r="B3" s="262" t="s">
        <v>353</v>
      </c>
    </row>
    <row r="4" spans="2:19" ht="17" thickBot="1" x14ac:dyDescent="0.25"/>
    <row r="5" spans="2:19" ht="16" customHeight="1" x14ac:dyDescent="0.2">
      <c r="B5" s="141" t="s">
        <v>64</v>
      </c>
      <c r="C5" s="142"/>
      <c r="D5" s="1488" t="s">
        <v>66</v>
      </c>
      <c r="E5" s="1489"/>
      <c r="F5" s="1483" t="s">
        <v>67</v>
      </c>
      <c r="G5" s="1483"/>
      <c r="H5" s="224"/>
      <c r="I5" s="142"/>
      <c r="J5" s="1488" t="s">
        <v>66</v>
      </c>
      <c r="K5" s="1489"/>
      <c r="L5" s="1483" t="s">
        <v>67</v>
      </c>
      <c r="M5" s="1483"/>
      <c r="N5" s="224"/>
      <c r="O5" s="142"/>
      <c r="P5" s="1488" t="s">
        <v>66</v>
      </c>
      <c r="Q5" s="1489"/>
      <c r="R5" s="1483" t="s">
        <v>67</v>
      </c>
      <c r="S5" s="1484"/>
    </row>
    <row r="6" spans="2:19" ht="17" thickBot="1" x14ac:dyDescent="0.25">
      <c r="B6" s="225"/>
      <c r="C6" s="156"/>
      <c r="D6" s="155" t="s">
        <v>71</v>
      </c>
      <c r="E6" s="158" t="s">
        <v>70</v>
      </c>
      <c r="F6" s="156" t="s">
        <v>71</v>
      </c>
      <c r="G6" s="156" t="s">
        <v>70</v>
      </c>
      <c r="H6" s="222"/>
      <c r="I6" s="156"/>
      <c r="J6" s="155" t="s">
        <v>71</v>
      </c>
      <c r="K6" s="158" t="s">
        <v>70</v>
      </c>
      <c r="L6" s="156" t="s">
        <v>71</v>
      </c>
      <c r="M6" s="156" t="s">
        <v>70</v>
      </c>
      <c r="N6" s="222"/>
      <c r="O6" s="156"/>
      <c r="P6" s="155" t="s">
        <v>71</v>
      </c>
      <c r="Q6" s="158" t="s">
        <v>70</v>
      </c>
      <c r="R6" s="156" t="s">
        <v>71</v>
      </c>
      <c r="S6" s="157" t="s">
        <v>70</v>
      </c>
    </row>
    <row r="7" spans="2:19" ht="17" thickTop="1" x14ac:dyDescent="0.2">
      <c r="B7" s="143" t="s">
        <v>72</v>
      </c>
      <c r="C7" s="1490" t="s">
        <v>8</v>
      </c>
      <c r="D7" s="112"/>
      <c r="E7" s="7">
        <v>0</v>
      </c>
      <c r="F7" s="110"/>
      <c r="G7">
        <v>0</v>
      </c>
      <c r="H7" s="221"/>
      <c r="I7" s="1485" t="s">
        <v>12</v>
      </c>
      <c r="J7" s="6">
        <v>0</v>
      </c>
      <c r="K7" s="7">
        <v>0</v>
      </c>
      <c r="L7">
        <v>0</v>
      </c>
      <c r="M7">
        <v>0</v>
      </c>
      <c r="N7" s="221"/>
      <c r="O7" s="1486" t="s">
        <v>15</v>
      </c>
      <c r="P7" s="6">
        <v>0</v>
      </c>
      <c r="Q7" s="7">
        <v>0</v>
      </c>
      <c r="R7">
        <v>0</v>
      </c>
      <c r="S7" s="144">
        <v>0.1</v>
      </c>
    </row>
    <row r="8" spans="2:19" x14ac:dyDescent="0.2">
      <c r="B8" s="143" t="s">
        <v>73</v>
      </c>
      <c r="C8" s="1491"/>
      <c r="D8" s="112"/>
      <c r="E8" s="7">
        <v>0</v>
      </c>
      <c r="F8" s="110"/>
      <c r="G8">
        <v>0</v>
      </c>
      <c r="H8" s="221"/>
      <c r="I8" s="1485"/>
      <c r="J8" s="6">
        <v>0</v>
      </c>
      <c r="K8" s="7">
        <v>0</v>
      </c>
      <c r="L8">
        <v>0</v>
      </c>
      <c r="M8">
        <v>0</v>
      </c>
      <c r="N8" s="221"/>
      <c r="O8" s="1487"/>
      <c r="P8" s="6">
        <v>0</v>
      </c>
      <c r="Q8" s="7">
        <v>0</v>
      </c>
      <c r="R8">
        <v>0</v>
      </c>
      <c r="S8" s="144">
        <v>0</v>
      </c>
    </row>
    <row r="9" spans="2:19" x14ac:dyDescent="0.2">
      <c r="B9" s="143" t="s">
        <v>74</v>
      </c>
      <c r="C9" s="1491"/>
      <c r="D9" s="112"/>
      <c r="E9" s="7">
        <v>0</v>
      </c>
      <c r="F9" s="110"/>
      <c r="G9">
        <v>0</v>
      </c>
      <c r="H9" s="221"/>
      <c r="I9" s="1485"/>
      <c r="J9" s="6">
        <v>0</v>
      </c>
      <c r="K9" s="7">
        <v>0</v>
      </c>
      <c r="L9">
        <v>0</v>
      </c>
      <c r="M9">
        <v>0</v>
      </c>
      <c r="N9" s="221"/>
      <c r="O9" s="1487"/>
      <c r="P9" s="6">
        <v>0</v>
      </c>
      <c r="Q9" s="7">
        <v>0</v>
      </c>
      <c r="R9">
        <v>0</v>
      </c>
      <c r="S9" s="144">
        <v>0</v>
      </c>
    </row>
    <row r="10" spans="2:19" x14ac:dyDescent="0.2">
      <c r="B10" s="143" t="s">
        <v>75</v>
      </c>
      <c r="C10" s="1491"/>
      <c r="D10" s="112"/>
      <c r="E10" s="7">
        <v>0</v>
      </c>
      <c r="F10" s="110"/>
      <c r="G10">
        <v>0.1</v>
      </c>
      <c r="H10" s="221"/>
      <c r="I10" s="1485"/>
      <c r="J10" s="6">
        <v>0</v>
      </c>
      <c r="K10" s="7">
        <v>0</v>
      </c>
      <c r="L10">
        <v>0.1</v>
      </c>
      <c r="M10">
        <v>0.1</v>
      </c>
      <c r="N10" s="221"/>
      <c r="O10" s="1487"/>
      <c r="P10" s="6">
        <v>0</v>
      </c>
      <c r="Q10" s="7">
        <v>0</v>
      </c>
      <c r="R10">
        <v>0</v>
      </c>
      <c r="S10" s="144">
        <v>0</v>
      </c>
    </row>
    <row r="11" spans="2:19" x14ac:dyDescent="0.2">
      <c r="B11" s="143" t="s">
        <v>76</v>
      </c>
      <c r="C11" s="1491"/>
      <c r="D11" s="112"/>
      <c r="E11" s="7">
        <v>0.1</v>
      </c>
      <c r="F11" s="110"/>
      <c r="G11">
        <v>1.6</v>
      </c>
      <c r="H11" s="221"/>
      <c r="I11" s="1485"/>
      <c r="J11" s="6">
        <v>0</v>
      </c>
      <c r="K11" s="7">
        <v>0</v>
      </c>
      <c r="L11">
        <v>0.1</v>
      </c>
      <c r="M11">
        <v>0.3</v>
      </c>
      <c r="N11" s="221"/>
      <c r="O11" s="1487"/>
      <c r="P11" s="6">
        <v>0</v>
      </c>
      <c r="Q11" s="7">
        <v>0</v>
      </c>
      <c r="R11">
        <v>0.1</v>
      </c>
      <c r="S11" s="144">
        <v>0</v>
      </c>
    </row>
    <row r="12" spans="2:19" x14ac:dyDescent="0.2">
      <c r="B12" s="143" t="s">
        <v>77</v>
      </c>
      <c r="C12" s="1491"/>
      <c r="D12" s="112"/>
      <c r="E12" s="7">
        <v>0.9</v>
      </c>
      <c r="F12" s="110"/>
      <c r="G12">
        <v>11.5</v>
      </c>
      <c r="H12" s="221"/>
      <c r="I12" s="1485"/>
      <c r="J12" s="6">
        <v>0.1</v>
      </c>
      <c r="K12" s="7">
        <v>0.1</v>
      </c>
      <c r="L12">
        <v>0.3</v>
      </c>
      <c r="M12">
        <v>0.2</v>
      </c>
      <c r="N12" s="221"/>
      <c r="O12" s="1487"/>
      <c r="P12" s="6">
        <v>0</v>
      </c>
      <c r="Q12" s="7">
        <v>0</v>
      </c>
      <c r="R12">
        <v>0</v>
      </c>
      <c r="S12" s="144">
        <v>0</v>
      </c>
    </row>
    <row r="13" spans="2:19" x14ac:dyDescent="0.2">
      <c r="B13" s="143" t="s">
        <v>78</v>
      </c>
      <c r="C13" s="1491"/>
      <c r="D13" s="112"/>
      <c r="E13" s="7">
        <v>3.3</v>
      </c>
      <c r="F13" s="110"/>
      <c r="G13">
        <v>31.2</v>
      </c>
      <c r="H13" s="221"/>
      <c r="I13" s="1485"/>
      <c r="J13" s="6">
        <v>0.1</v>
      </c>
      <c r="K13" s="7">
        <v>0.1</v>
      </c>
      <c r="L13">
        <v>0.4</v>
      </c>
      <c r="M13">
        <v>0.6</v>
      </c>
      <c r="N13" s="221"/>
      <c r="O13" s="1487"/>
      <c r="P13" s="6">
        <v>0</v>
      </c>
      <c r="Q13" s="7">
        <v>0</v>
      </c>
      <c r="R13">
        <v>0.1</v>
      </c>
      <c r="S13" s="144">
        <v>0</v>
      </c>
    </row>
    <row r="14" spans="2:19" x14ac:dyDescent="0.2">
      <c r="B14" s="143" t="s">
        <v>79</v>
      </c>
      <c r="C14" s="1491"/>
      <c r="D14" s="112"/>
      <c r="E14" s="7">
        <v>7.5</v>
      </c>
      <c r="F14" s="110"/>
      <c r="G14">
        <v>65.8</v>
      </c>
      <c r="H14" s="221"/>
      <c r="I14" s="1485"/>
      <c r="J14" s="6">
        <v>0.6</v>
      </c>
      <c r="K14" s="7">
        <v>0.4</v>
      </c>
      <c r="L14">
        <v>1</v>
      </c>
      <c r="M14">
        <v>0.7</v>
      </c>
      <c r="N14" s="221"/>
      <c r="O14" s="1487"/>
      <c r="P14" s="6">
        <v>0</v>
      </c>
      <c r="Q14" s="7">
        <v>0</v>
      </c>
      <c r="R14">
        <v>0.5</v>
      </c>
      <c r="S14" s="144">
        <v>0.2</v>
      </c>
    </row>
    <row r="15" spans="2:19" x14ac:dyDescent="0.2">
      <c r="B15" s="143" t="s">
        <v>80</v>
      </c>
      <c r="C15" s="1491"/>
      <c r="D15" s="112"/>
      <c r="E15" s="7">
        <v>13.5</v>
      </c>
      <c r="F15" s="110"/>
      <c r="G15">
        <v>124.6</v>
      </c>
      <c r="H15" s="221"/>
      <c r="I15" s="1485"/>
      <c r="J15" s="6">
        <v>1.7</v>
      </c>
      <c r="K15" s="7">
        <v>1.3</v>
      </c>
      <c r="L15">
        <v>2.6</v>
      </c>
      <c r="M15">
        <v>2</v>
      </c>
      <c r="N15" s="221"/>
      <c r="O15" s="1487"/>
      <c r="P15" s="6">
        <v>0</v>
      </c>
      <c r="Q15" s="7">
        <v>0</v>
      </c>
      <c r="R15">
        <v>1.3</v>
      </c>
      <c r="S15" s="144">
        <v>0.6</v>
      </c>
    </row>
    <row r="16" spans="2:19" x14ac:dyDescent="0.2">
      <c r="B16" s="143" t="s">
        <v>81</v>
      </c>
      <c r="C16" s="1491"/>
      <c r="D16" s="112"/>
      <c r="E16" s="7">
        <v>22.7</v>
      </c>
      <c r="F16" s="110"/>
      <c r="G16">
        <v>214.8</v>
      </c>
      <c r="H16" s="221"/>
      <c r="I16" s="1485"/>
      <c r="J16" s="6">
        <v>4</v>
      </c>
      <c r="K16" s="7">
        <v>2.2999999999999998</v>
      </c>
      <c r="L16">
        <v>5.6</v>
      </c>
      <c r="M16">
        <v>3.9</v>
      </c>
      <c r="N16" s="221"/>
      <c r="O16" s="1487"/>
      <c r="P16" s="6">
        <v>0.1</v>
      </c>
      <c r="Q16" s="7">
        <v>0</v>
      </c>
      <c r="R16">
        <v>2.6</v>
      </c>
      <c r="S16" s="144">
        <v>1.2</v>
      </c>
    </row>
    <row r="17" spans="2:19" x14ac:dyDescent="0.2">
      <c r="B17" s="143" t="s">
        <v>82</v>
      </c>
      <c r="C17" s="1491"/>
      <c r="D17" s="112"/>
      <c r="E17" s="7">
        <v>34</v>
      </c>
      <c r="F17" s="110"/>
      <c r="G17">
        <v>279.8</v>
      </c>
      <c r="H17" s="221"/>
      <c r="I17" s="1485"/>
      <c r="J17" s="6">
        <v>8</v>
      </c>
      <c r="K17" s="7">
        <v>5.4</v>
      </c>
      <c r="L17">
        <v>10.199999999999999</v>
      </c>
      <c r="M17">
        <v>7.3</v>
      </c>
      <c r="N17" s="221"/>
      <c r="O17" s="1487"/>
      <c r="P17" s="6">
        <v>0.2</v>
      </c>
      <c r="Q17" s="7">
        <v>0</v>
      </c>
      <c r="R17">
        <v>5.5</v>
      </c>
      <c r="S17" s="144">
        <v>2</v>
      </c>
    </row>
    <row r="18" spans="2:19" x14ac:dyDescent="0.2">
      <c r="B18" s="143" t="s">
        <v>83</v>
      </c>
      <c r="C18" s="1491"/>
      <c r="D18" s="112"/>
      <c r="E18" s="7">
        <v>40.299999999999997</v>
      </c>
      <c r="F18" s="110"/>
      <c r="G18">
        <v>285.5</v>
      </c>
      <c r="H18" s="221"/>
      <c r="I18" s="1485"/>
      <c r="J18" s="6">
        <v>14.5</v>
      </c>
      <c r="K18" s="7">
        <v>10.7</v>
      </c>
      <c r="L18">
        <v>18.3</v>
      </c>
      <c r="M18">
        <v>13.6</v>
      </c>
      <c r="N18" s="221"/>
      <c r="O18" s="1487"/>
      <c r="P18" s="6">
        <v>0.5</v>
      </c>
      <c r="Q18" s="7">
        <v>0.2</v>
      </c>
      <c r="R18">
        <v>9.1999999999999993</v>
      </c>
      <c r="S18" s="144">
        <v>4.0999999999999996</v>
      </c>
    </row>
    <row r="19" spans="2:19" x14ac:dyDescent="0.2">
      <c r="B19" s="143" t="s">
        <v>84</v>
      </c>
      <c r="C19" s="1491"/>
      <c r="D19" s="112"/>
      <c r="E19" s="7">
        <v>47.5</v>
      </c>
      <c r="F19" s="110"/>
      <c r="G19">
        <v>337.9</v>
      </c>
      <c r="H19" s="221"/>
      <c r="I19" s="1485"/>
      <c r="J19" s="6">
        <v>26.1</v>
      </c>
      <c r="K19" s="7">
        <v>18.600000000000001</v>
      </c>
      <c r="L19">
        <v>29.2</v>
      </c>
      <c r="M19">
        <v>22.4</v>
      </c>
      <c r="N19" s="221"/>
      <c r="O19" s="1487"/>
      <c r="P19" s="6">
        <v>1.3</v>
      </c>
      <c r="Q19" s="7">
        <v>0.5</v>
      </c>
      <c r="R19">
        <v>15</v>
      </c>
      <c r="S19" s="144">
        <v>7.6</v>
      </c>
    </row>
    <row r="20" spans="2:19" x14ac:dyDescent="0.2">
      <c r="B20" s="143" t="s">
        <v>85</v>
      </c>
      <c r="C20" s="1491"/>
      <c r="D20" s="112"/>
      <c r="E20" s="7">
        <v>61.6</v>
      </c>
      <c r="F20" s="110"/>
      <c r="G20">
        <v>412.3</v>
      </c>
      <c r="H20" s="221"/>
      <c r="I20" s="1485"/>
      <c r="J20" s="6">
        <v>41.4</v>
      </c>
      <c r="K20" s="7">
        <v>29.5</v>
      </c>
      <c r="L20">
        <v>47.2</v>
      </c>
      <c r="M20">
        <v>34.1</v>
      </c>
      <c r="N20" s="221"/>
      <c r="O20" s="1487"/>
      <c r="P20" s="6">
        <v>3</v>
      </c>
      <c r="Q20" s="7">
        <v>1.2</v>
      </c>
      <c r="R20">
        <v>22.7</v>
      </c>
      <c r="S20" s="144">
        <v>11.3</v>
      </c>
    </row>
    <row r="21" spans="2:19" x14ac:dyDescent="0.2">
      <c r="B21" s="143" t="s">
        <v>86</v>
      </c>
      <c r="C21" s="1491"/>
      <c r="D21" s="112"/>
      <c r="E21" s="7">
        <v>81</v>
      </c>
      <c r="F21" s="110"/>
      <c r="G21">
        <v>372.7</v>
      </c>
      <c r="H21" s="221"/>
      <c r="I21" s="1485"/>
      <c r="J21" s="6">
        <v>57.7</v>
      </c>
      <c r="K21" s="7">
        <v>44</v>
      </c>
      <c r="L21">
        <v>66.400000000000006</v>
      </c>
      <c r="M21">
        <v>48.8</v>
      </c>
      <c r="N21" s="221"/>
      <c r="O21" s="1487"/>
      <c r="P21" s="6">
        <v>4.7</v>
      </c>
      <c r="Q21" s="7">
        <v>1.9</v>
      </c>
      <c r="R21">
        <v>29.2</v>
      </c>
      <c r="S21" s="144">
        <v>15.3</v>
      </c>
    </row>
    <row r="22" spans="2:19" x14ac:dyDescent="0.2">
      <c r="B22" s="143" t="s">
        <v>87</v>
      </c>
      <c r="C22" s="1491"/>
      <c r="D22" s="112"/>
      <c r="E22" s="7">
        <v>109.5</v>
      </c>
      <c r="F22" s="110"/>
      <c r="G22">
        <v>403</v>
      </c>
      <c r="H22" s="221"/>
      <c r="I22" s="1485"/>
      <c r="J22" s="6">
        <v>79.099999999999994</v>
      </c>
      <c r="K22" s="7">
        <v>65.099999999999994</v>
      </c>
      <c r="L22">
        <v>86</v>
      </c>
      <c r="M22">
        <v>70.8</v>
      </c>
      <c r="N22" s="221"/>
      <c r="O22" s="1487"/>
      <c r="P22" s="6">
        <v>9.9</v>
      </c>
      <c r="Q22" s="7">
        <v>3.2</v>
      </c>
      <c r="R22">
        <v>35.799999999999997</v>
      </c>
      <c r="S22" s="144">
        <v>18.2</v>
      </c>
    </row>
    <row r="23" spans="2:19" x14ac:dyDescent="0.2">
      <c r="B23" s="143" t="s">
        <v>88</v>
      </c>
      <c r="C23" s="1491"/>
      <c r="D23" s="112"/>
      <c r="E23" s="7">
        <v>155.4</v>
      </c>
      <c r="F23" s="110"/>
      <c r="G23">
        <v>430.4</v>
      </c>
      <c r="H23" s="221"/>
      <c r="I23" s="1485"/>
      <c r="J23" s="6">
        <v>98.2</v>
      </c>
      <c r="K23" s="7">
        <v>86.1</v>
      </c>
      <c r="L23">
        <v>101.4</v>
      </c>
      <c r="M23">
        <v>85.5</v>
      </c>
      <c r="N23" s="221"/>
      <c r="O23" s="1487"/>
      <c r="P23" s="6">
        <v>17.8</v>
      </c>
      <c r="Q23" s="7">
        <v>8.5</v>
      </c>
      <c r="R23">
        <v>40.1</v>
      </c>
      <c r="S23" s="144">
        <v>20.8</v>
      </c>
    </row>
    <row r="24" spans="2:19" x14ac:dyDescent="0.2">
      <c r="B24" s="143" t="s">
        <v>89</v>
      </c>
      <c r="C24" s="1491"/>
      <c r="D24" s="112"/>
      <c r="E24" s="7">
        <v>214.8</v>
      </c>
      <c r="F24" s="110"/>
      <c r="G24">
        <v>447.7</v>
      </c>
      <c r="H24" s="221"/>
      <c r="I24" s="1485"/>
      <c r="J24" s="6">
        <v>117.2</v>
      </c>
      <c r="K24" s="7">
        <v>100.5</v>
      </c>
      <c r="L24">
        <v>118.2</v>
      </c>
      <c r="M24">
        <v>98.1</v>
      </c>
      <c r="N24" s="221"/>
      <c r="O24" s="1487"/>
      <c r="P24" s="6">
        <v>27.7</v>
      </c>
      <c r="Q24" s="7">
        <v>15.4</v>
      </c>
      <c r="R24">
        <v>42.9</v>
      </c>
      <c r="S24" s="144">
        <v>23.7</v>
      </c>
    </row>
    <row r="25" spans="2:19" x14ac:dyDescent="0.2">
      <c r="B25" s="143" t="s">
        <v>90</v>
      </c>
      <c r="C25" s="1491"/>
      <c r="D25" s="112"/>
      <c r="E25" s="7">
        <v>349.3</v>
      </c>
      <c r="F25" s="110"/>
      <c r="G25">
        <v>448.4</v>
      </c>
      <c r="H25" s="221"/>
      <c r="I25" s="1485"/>
      <c r="J25" s="6">
        <v>128.9</v>
      </c>
      <c r="K25" s="7">
        <v>96.1</v>
      </c>
      <c r="L25">
        <v>125.2</v>
      </c>
      <c r="M25">
        <v>94.2</v>
      </c>
      <c r="N25" s="221"/>
      <c r="O25" s="1487"/>
      <c r="P25" s="6">
        <v>50.2</v>
      </c>
      <c r="Q25" s="7">
        <v>26</v>
      </c>
      <c r="R25">
        <v>44.6</v>
      </c>
      <c r="S25" s="144">
        <v>21.2</v>
      </c>
    </row>
    <row r="26" spans="2:19" ht="5" customHeight="1" x14ac:dyDescent="0.2">
      <c r="B26" s="226"/>
      <c r="C26" s="223"/>
      <c r="D26" s="221"/>
      <c r="E26" s="221"/>
      <c r="F26" s="221"/>
      <c r="G26" s="221"/>
      <c r="H26" s="221"/>
      <c r="I26" s="221"/>
      <c r="J26" s="218"/>
      <c r="K26" s="219"/>
      <c r="L26" s="221"/>
      <c r="M26" s="221"/>
      <c r="N26" s="221"/>
      <c r="O26" s="221"/>
      <c r="P26" s="218"/>
      <c r="Q26" s="219"/>
      <c r="R26" s="221"/>
      <c r="S26" s="227"/>
    </row>
    <row r="27" spans="2:19" x14ac:dyDescent="0.2">
      <c r="B27" s="143" t="s">
        <v>72</v>
      </c>
      <c r="C27" s="1491" t="s">
        <v>10</v>
      </c>
      <c r="D27" s="6">
        <v>0</v>
      </c>
      <c r="E27" s="111"/>
      <c r="F27">
        <v>0</v>
      </c>
      <c r="G27" s="110"/>
      <c r="H27" s="221"/>
      <c r="I27" s="1485" t="s">
        <v>13</v>
      </c>
      <c r="J27" s="112"/>
      <c r="K27" s="7">
        <v>0</v>
      </c>
      <c r="L27" s="110"/>
      <c r="M27">
        <v>0.2</v>
      </c>
      <c r="N27" s="221"/>
      <c r="O27" s="1485" t="s">
        <v>32</v>
      </c>
      <c r="P27" s="6">
        <v>0</v>
      </c>
      <c r="Q27" s="7">
        <v>0</v>
      </c>
      <c r="R27">
        <v>0</v>
      </c>
      <c r="S27" s="144">
        <v>0</v>
      </c>
    </row>
    <row r="28" spans="2:19" x14ac:dyDescent="0.2">
      <c r="B28" s="143" t="s">
        <v>73</v>
      </c>
      <c r="C28" s="1491"/>
      <c r="D28" s="6">
        <v>0</v>
      </c>
      <c r="E28" s="111"/>
      <c r="F28">
        <v>0</v>
      </c>
      <c r="G28" s="110"/>
      <c r="H28" s="221"/>
      <c r="I28" s="1485"/>
      <c r="J28" s="112"/>
      <c r="K28" s="7">
        <v>0</v>
      </c>
      <c r="L28" s="110"/>
      <c r="M28">
        <v>0.2</v>
      </c>
      <c r="N28" s="221"/>
      <c r="O28" s="1485"/>
      <c r="P28" s="6">
        <v>0</v>
      </c>
      <c r="Q28" s="7">
        <v>0</v>
      </c>
      <c r="R28">
        <v>0</v>
      </c>
      <c r="S28" s="144">
        <v>0</v>
      </c>
    </row>
    <row r="29" spans="2:19" x14ac:dyDescent="0.2">
      <c r="B29" s="143" t="s">
        <v>74</v>
      </c>
      <c r="C29" s="1491"/>
      <c r="D29" s="6">
        <v>0</v>
      </c>
      <c r="E29" s="111"/>
      <c r="F29">
        <v>0</v>
      </c>
      <c r="G29" s="110"/>
      <c r="H29" s="221"/>
      <c r="I29" s="1485"/>
      <c r="J29" s="112"/>
      <c r="K29" s="7">
        <v>0</v>
      </c>
      <c r="L29" s="110"/>
      <c r="M29">
        <v>0.9</v>
      </c>
      <c r="N29" s="221"/>
      <c r="O29" s="1485"/>
      <c r="P29" s="6">
        <v>0</v>
      </c>
      <c r="Q29" s="7">
        <v>0</v>
      </c>
      <c r="R29">
        <v>0.1</v>
      </c>
      <c r="S29" s="144">
        <v>0.1</v>
      </c>
    </row>
    <row r="30" spans="2:19" x14ac:dyDescent="0.2">
      <c r="B30" s="143" t="s">
        <v>75</v>
      </c>
      <c r="C30" s="1491"/>
      <c r="D30" s="6">
        <v>0</v>
      </c>
      <c r="E30" s="111"/>
      <c r="F30">
        <v>0.1</v>
      </c>
      <c r="G30" s="110"/>
      <c r="H30" s="221"/>
      <c r="I30" s="1485"/>
      <c r="J30" s="112"/>
      <c r="K30" s="7">
        <v>0</v>
      </c>
      <c r="L30" s="110"/>
      <c r="M30">
        <v>2.1</v>
      </c>
      <c r="N30" s="221"/>
      <c r="O30" s="1485"/>
      <c r="P30" s="6">
        <v>0</v>
      </c>
      <c r="Q30" s="7">
        <v>0</v>
      </c>
      <c r="R30">
        <v>0.1</v>
      </c>
      <c r="S30" s="144">
        <v>0.2</v>
      </c>
    </row>
    <row r="31" spans="2:19" x14ac:dyDescent="0.2">
      <c r="B31" s="143" t="s">
        <v>76</v>
      </c>
      <c r="C31" s="1491"/>
      <c r="D31" s="6">
        <v>0</v>
      </c>
      <c r="E31" s="111"/>
      <c r="F31">
        <v>0</v>
      </c>
      <c r="G31" s="110"/>
      <c r="H31" s="221"/>
      <c r="I31" s="1485"/>
      <c r="J31" s="112"/>
      <c r="K31" s="7">
        <v>0.2</v>
      </c>
      <c r="L31" s="110"/>
      <c r="M31">
        <v>3.5</v>
      </c>
      <c r="N31" s="221"/>
      <c r="O31" s="1485"/>
      <c r="P31" s="6">
        <v>0</v>
      </c>
      <c r="Q31" s="7">
        <v>0</v>
      </c>
      <c r="R31">
        <v>0.1</v>
      </c>
      <c r="S31" s="144">
        <v>0.3</v>
      </c>
    </row>
    <row r="32" spans="2:19" x14ac:dyDescent="0.2">
      <c r="B32" s="143" t="s">
        <v>77</v>
      </c>
      <c r="C32" s="1491"/>
      <c r="D32" s="6">
        <v>0</v>
      </c>
      <c r="E32" s="111"/>
      <c r="F32">
        <v>0</v>
      </c>
      <c r="G32" s="110"/>
      <c r="H32" s="221"/>
      <c r="I32" s="1485"/>
      <c r="J32" s="112"/>
      <c r="K32" s="7">
        <v>0.3</v>
      </c>
      <c r="L32" s="110"/>
      <c r="M32">
        <v>5.8</v>
      </c>
      <c r="N32" s="221"/>
      <c r="O32" s="1485"/>
      <c r="P32" s="6">
        <v>0.1</v>
      </c>
      <c r="Q32" s="7">
        <v>0.1</v>
      </c>
      <c r="R32">
        <v>0.6</v>
      </c>
      <c r="S32" s="144">
        <v>0.6</v>
      </c>
    </row>
    <row r="33" spans="2:19" x14ac:dyDescent="0.2">
      <c r="B33" s="143" t="s">
        <v>78</v>
      </c>
      <c r="C33" s="1491"/>
      <c r="D33" s="6">
        <v>0</v>
      </c>
      <c r="E33" s="111"/>
      <c r="F33">
        <v>0.1</v>
      </c>
      <c r="G33" s="110"/>
      <c r="H33" s="221"/>
      <c r="I33" s="1485"/>
      <c r="J33" s="112"/>
      <c r="K33" s="7">
        <v>0.6</v>
      </c>
      <c r="L33" s="110"/>
      <c r="M33">
        <v>6.9</v>
      </c>
      <c r="N33" s="221"/>
      <c r="O33" s="1485"/>
      <c r="P33" s="6">
        <v>0.3</v>
      </c>
      <c r="Q33" s="7">
        <v>0.4</v>
      </c>
      <c r="R33">
        <v>1.1000000000000001</v>
      </c>
      <c r="S33" s="144">
        <v>0.9</v>
      </c>
    </row>
    <row r="34" spans="2:19" x14ac:dyDescent="0.2">
      <c r="B34" s="143" t="s">
        <v>79</v>
      </c>
      <c r="C34" s="1491"/>
      <c r="D34" s="6">
        <v>0</v>
      </c>
      <c r="E34" s="111"/>
      <c r="F34">
        <v>0.4</v>
      </c>
      <c r="G34" s="110"/>
      <c r="H34" s="221"/>
      <c r="I34" s="1485"/>
      <c r="J34" s="112"/>
      <c r="K34" s="7">
        <v>0.9</v>
      </c>
      <c r="L34" s="110"/>
      <c r="M34">
        <v>9.1</v>
      </c>
      <c r="N34" s="221"/>
      <c r="O34" s="1485"/>
      <c r="P34" s="6">
        <v>1.3</v>
      </c>
      <c r="Q34" s="7">
        <v>1</v>
      </c>
      <c r="R34">
        <v>2.4</v>
      </c>
      <c r="S34" s="144">
        <v>2.2999999999999998</v>
      </c>
    </row>
    <row r="35" spans="2:19" x14ac:dyDescent="0.2">
      <c r="B35" s="143" t="s">
        <v>80</v>
      </c>
      <c r="C35" s="1491"/>
      <c r="D35" s="6">
        <v>0.1</v>
      </c>
      <c r="E35" s="111"/>
      <c r="F35">
        <v>4.3</v>
      </c>
      <c r="G35" s="110"/>
      <c r="H35" s="221"/>
      <c r="I35" s="1485"/>
      <c r="J35" s="112"/>
      <c r="K35" s="7">
        <v>2.2999999999999998</v>
      </c>
      <c r="L35" s="110"/>
      <c r="M35">
        <v>13.2</v>
      </c>
      <c r="N35" s="221"/>
      <c r="O35" s="1485"/>
      <c r="P35" s="6">
        <v>4</v>
      </c>
      <c r="Q35" s="7">
        <v>3</v>
      </c>
      <c r="R35">
        <v>6</v>
      </c>
      <c r="S35" s="144">
        <v>5.8</v>
      </c>
    </row>
    <row r="36" spans="2:19" x14ac:dyDescent="0.2">
      <c r="B36" s="143" t="s">
        <v>81</v>
      </c>
      <c r="C36" s="1491"/>
      <c r="D36" s="6">
        <v>0.5</v>
      </c>
      <c r="E36" s="111"/>
      <c r="F36">
        <v>20.5</v>
      </c>
      <c r="G36" s="110"/>
      <c r="H36" s="221"/>
      <c r="I36" s="1485"/>
      <c r="J36" s="112"/>
      <c r="K36" s="7">
        <v>4.5999999999999996</v>
      </c>
      <c r="L36" s="110"/>
      <c r="M36">
        <v>19.399999999999999</v>
      </c>
      <c r="N36" s="221"/>
      <c r="O36" s="1485"/>
      <c r="P36" s="6">
        <v>10.3</v>
      </c>
      <c r="Q36" s="7">
        <v>8.6</v>
      </c>
      <c r="R36">
        <v>16.3</v>
      </c>
      <c r="S36" s="144">
        <v>14.7</v>
      </c>
    </row>
    <row r="37" spans="2:19" x14ac:dyDescent="0.2">
      <c r="B37" s="143" t="s">
        <v>82</v>
      </c>
      <c r="C37" s="1491"/>
      <c r="D37" s="6">
        <v>2.5</v>
      </c>
      <c r="E37" s="111"/>
      <c r="F37">
        <v>75.7</v>
      </c>
      <c r="G37" s="110"/>
      <c r="H37" s="221"/>
      <c r="I37" s="1485"/>
      <c r="J37" s="112"/>
      <c r="K37" s="7">
        <v>9.1</v>
      </c>
      <c r="L37" s="110"/>
      <c r="M37">
        <v>27.1</v>
      </c>
      <c r="N37" s="221"/>
      <c r="O37" s="1485"/>
      <c r="P37" s="6">
        <v>22.8</v>
      </c>
      <c r="Q37" s="7">
        <v>18.100000000000001</v>
      </c>
      <c r="R37">
        <v>33.4</v>
      </c>
      <c r="S37" s="144">
        <v>31.5</v>
      </c>
    </row>
    <row r="38" spans="2:19" x14ac:dyDescent="0.2">
      <c r="B38" s="143" t="s">
        <v>83</v>
      </c>
      <c r="C38" s="1491"/>
      <c r="D38" s="6">
        <v>8.4</v>
      </c>
      <c r="E38" s="111"/>
      <c r="F38">
        <v>201.8</v>
      </c>
      <c r="G38" s="110"/>
      <c r="H38" s="221"/>
      <c r="I38" s="1485"/>
      <c r="J38" s="112"/>
      <c r="K38" s="7">
        <v>14.8</v>
      </c>
      <c r="L38" s="110"/>
      <c r="M38">
        <v>34.799999999999997</v>
      </c>
      <c r="N38" s="221"/>
      <c r="O38" s="1485"/>
      <c r="P38" s="6">
        <v>46.6</v>
      </c>
      <c r="Q38" s="7">
        <v>40.9</v>
      </c>
      <c r="R38">
        <v>71.400000000000006</v>
      </c>
      <c r="S38" s="144">
        <v>67.099999999999994</v>
      </c>
    </row>
    <row r="39" spans="2:19" x14ac:dyDescent="0.2">
      <c r="B39" s="143" t="s">
        <v>84</v>
      </c>
      <c r="C39" s="1491"/>
      <c r="D39" s="6">
        <v>22.6</v>
      </c>
      <c r="E39" s="111"/>
      <c r="F39">
        <v>356.1</v>
      </c>
      <c r="G39" s="110"/>
      <c r="H39" s="221"/>
      <c r="I39" s="1485"/>
      <c r="J39" s="112"/>
      <c r="K39" s="7">
        <v>20.399999999999999</v>
      </c>
      <c r="L39" s="110"/>
      <c r="M39">
        <v>41.6</v>
      </c>
      <c r="N39" s="221"/>
      <c r="O39" s="1485"/>
      <c r="P39" s="6">
        <v>94.6</v>
      </c>
      <c r="Q39" s="7">
        <v>75.400000000000006</v>
      </c>
      <c r="R39">
        <v>137</v>
      </c>
      <c r="S39" s="144">
        <v>124.9</v>
      </c>
    </row>
    <row r="40" spans="2:19" x14ac:dyDescent="0.2">
      <c r="B40" s="143" t="s">
        <v>85</v>
      </c>
      <c r="C40" s="1491"/>
      <c r="D40" s="6">
        <v>51.1</v>
      </c>
      <c r="E40" s="111"/>
      <c r="F40">
        <v>622.70000000000005</v>
      </c>
      <c r="G40" s="110"/>
      <c r="H40" s="221"/>
      <c r="I40" s="1485"/>
      <c r="J40" s="112"/>
      <c r="K40" s="7">
        <v>30</v>
      </c>
      <c r="L40" s="110"/>
      <c r="M40">
        <v>52.3</v>
      </c>
      <c r="N40" s="221"/>
      <c r="O40" s="1485"/>
      <c r="P40" s="6">
        <v>161.9</v>
      </c>
      <c r="Q40" s="7">
        <v>124.5</v>
      </c>
      <c r="R40">
        <v>229.5</v>
      </c>
      <c r="S40" s="144">
        <v>197.8</v>
      </c>
    </row>
    <row r="41" spans="2:19" x14ac:dyDescent="0.2">
      <c r="B41" s="143" t="s">
        <v>86</v>
      </c>
      <c r="C41" s="1491"/>
      <c r="D41" s="6">
        <v>98.4</v>
      </c>
      <c r="E41" s="111"/>
      <c r="F41">
        <v>759.8</v>
      </c>
      <c r="G41" s="110"/>
      <c r="H41" s="221"/>
      <c r="I41" s="1485"/>
      <c r="J41" s="112"/>
      <c r="K41" s="7">
        <v>41.4</v>
      </c>
      <c r="L41" s="110"/>
      <c r="M41">
        <v>60.8</v>
      </c>
      <c r="N41" s="221"/>
      <c r="O41" s="1485"/>
      <c r="P41" s="6">
        <v>237.1</v>
      </c>
      <c r="Q41" s="7">
        <v>183.2</v>
      </c>
      <c r="R41">
        <v>335</v>
      </c>
      <c r="S41" s="144">
        <v>278.10000000000002</v>
      </c>
    </row>
    <row r="42" spans="2:19" x14ac:dyDescent="0.2">
      <c r="B42" s="143" t="s">
        <v>87</v>
      </c>
      <c r="C42" s="1491"/>
      <c r="D42" s="6">
        <v>189.1</v>
      </c>
      <c r="E42" s="111"/>
      <c r="F42">
        <v>867.2</v>
      </c>
      <c r="G42" s="110"/>
      <c r="H42" s="221"/>
      <c r="I42" s="1485"/>
      <c r="J42" s="112"/>
      <c r="K42" s="7">
        <v>57.6</v>
      </c>
      <c r="L42" s="110"/>
      <c r="M42">
        <v>73.8</v>
      </c>
      <c r="N42" s="221"/>
      <c r="O42" s="1485"/>
      <c r="P42" s="6">
        <v>345.6</v>
      </c>
      <c r="Q42" s="7">
        <v>239.5</v>
      </c>
      <c r="R42">
        <v>462.2</v>
      </c>
      <c r="S42" s="144">
        <v>340.5</v>
      </c>
    </row>
    <row r="43" spans="2:19" x14ac:dyDescent="0.2">
      <c r="B43" s="143" t="s">
        <v>88</v>
      </c>
      <c r="C43" s="1491"/>
      <c r="D43" s="6">
        <v>342.6</v>
      </c>
      <c r="E43" s="111"/>
      <c r="F43">
        <v>703.6</v>
      </c>
      <c r="G43" s="110"/>
      <c r="H43" s="221"/>
      <c r="I43" s="1485"/>
      <c r="J43" s="112"/>
      <c r="K43" s="7">
        <v>61.1</v>
      </c>
      <c r="L43" s="110"/>
      <c r="M43">
        <v>66.900000000000006</v>
      </c>
      <c r="N43" s="221"/>
      <c r="O43" s="1485"/>
      <c r="P43" s="6">
        <v>412.6</v>
      </c>
      <c r="Q43" s="7">
        <v>261.2</v>
      </c>
      <c r="R43">
        <v>500.4</v>
      </c>
      <c r="S43" s="144">
        <v>338.2</v>
      </c>
    </row>
    <row r="44" spans="2:19" x14ac:dyDescent="0.2">
      <c r="B44" s="143" t="s">
        <v>89</v>
      </c>
      <c r="C44" s="1491"/>
      <c r="D44" s="6">
        <v>658</v>
      </c>
      <c r="E44" s="111"/>
      <c r="F44">
        <v>713.8</v>
      </c>
      <c r="G44" s="110"/>
      <c r="H44" s="221"/>
      <c r="I44" s="1485"/>
      <c r="J44" s="112"/>
      <c r="K44" s="7">
        <v>65.7</v>
      </c>
      <c r="L44" s="110"/>
      <c r="M44">
        <v>64.400000000000006</v>
      </c>
      <c r="N44" s="221"/>
      <c r="O44" s="1485"/>
      <c r="P44" s="6">
        <v>475.5</v>
      </c>
      <c r="Q44" s="7">
        <v>287.60000000000002</v>
      </c>
      <c r="R44">
        <v>538.79999999999995</v>
      </c>
      <c r="S44" s="144">
        <v>327.60000000000002</v>
      </c>
    </row>
    <row r="45" spans="2:19" x14ac:dyDescent="0.2">
      <c r="B45" s="143" t="s">
        <v>90</v>
      </c>
      <c r="C45" s="1491"/>
      <c r="D45" s="6">
        <v>1110.0999999999999</v>
      </c>
      <c r="E45" s="111"/>
      <c r="F45">
        <v>702.1</v>
      </c>
      <c r="G45" s="110"/>
      <c r="H45" s="221"/>
      <c r="I45" s="1485"/>
      <c r="J45" s="112"/>
      <c r="K45" s="7">
        <v>54.6</v>
      </c>
      <c r="L45" s="110"/>
      <c r="M45">
        <v>53.4</v>
      </c>
      <c r="N45" s="221"/>
      <c r="O45" s="1485"/>
      <c r="P45" s="6">
        <v>503.1</v>
      </c>
      <c r="Q45" s="7">
        <v>258</v>
      </c>
      <c r="R45">
        <v>505.2</v>
      </c>
      <c r="S45" s="144">
        <v>257.7</v>
      </c>
    </row>
    <row r="46" spans="2:19" ht="5" customHeight="1" x14ac:dyDescent="0.2">
      <c r="B46" s="226"/>
      <c r="C46" s="223"/>
      <c r="D46" s="221"/>
      <c r="E46" s="221"/>
      <c r="F46" s="221"/>
      <c r="G46" s="221"/>
      <c r="H46" s="221"/>
      <c r="I46" s="221"/>
      <c r="J46" s="218"/>
      <c r="K46" s="219"/>
      <c r="L46" s="221"/>
      <c r="M46" s="221"/>
      <c r="N46" s="221"/>
      <c r="O46" s="221"/>
      <c r="P46" s="218"/>
      <c r="Q46" s="219"/>
      <c r="R46" s="221"/>
      <c r="S46" s="227"/>
    </row>
    <row r="47" spans="2:19" x14ac:dyDescent="0.2">
      <c r="B47" s="143" t="s">
        <v>72</v>
      </c>
      <c r="C47" s="1491" t="s">
        <v>11</v>
      </c>
      <c r="D47" s="6">
        <v>0</v>
      </c>
      <c r="E47" s="7">
        <v>0</v>
      </c>
      <c r="F47">
        <v>0</v>
      </c>
      <c r="G47">
        <v>0</v>
      </c>
      <c r="H47" s="221"/>
      <c r="I47" s="1485" t="s">
        <v>14</v>
      </c>
      <c r="J47" s="6">
        <v>0.1</v>
      </c>
      <c r="K47" s="7">
        <v>0.2</v>
      </c>
      <c r="L47">
        <v>1.9</v>
      </c>
      <c r="M47">
        <v>2</v>
      </c>
      <c r="N47" s="221"/>
      <c r="O47" s="1487" t="s">
        <v>17</v>
      </c>
      <c r="P47" s="6">
        <v>0</v>
      </c>
      <c r="Q47" s="111"/>
      <c r="R47">
        <v>0.4</v>
      </c>
      <c r="S47" s="233"/>
    </row>
    <row r="48" spans="2:19" x14ac:dyDescent="0.2">
      <c r="B48" s="143" t="s">
        <v>73</v>
      </c>
      <c r="C48" s="1491"/>
      <c r="D48" s="6">
        <v>0</v>
      </c>
      <c r="E48" s="7">
        <v>0</v>
      </c>
      <c r="F48">
        <v>0</v>
      </c>
      <c r="G48">
        <v>0.1</v>
      </c>
      <c r="H48" s="221"/>
      <c r="I48" s="1485"/>
      <c r="J48" s="6">
        <v>0.1</v>
      </c>
      <c r="K48" s="7">
        <v>0.1</v>
      </c>
      <c r="L48">
        <v>0.4</v>
      </c>
      <c r="M48">
        <v>0.8</v>
      </c>
      <c r="N48" s="221"/>
      <c r="O48" s="1487"/>
      <c r="P48" s="6">
        <v>0</v>
      </c>
      <c r="Q48" s="111"/>
      <c r="R48">
        <v>0.1</v>
      </c>
      <c r="S48" s="233"/>
    </row>
    <row r="49" spans="2:19" x14ac:dyDescent="0.2">
      <c r="B49" s="143" t="s">
        <v>74</v>
      </c>
      <c r="C49" s="1491"/>
      <c r="D49" s="6">
        <v>0</v>
      </c>
      <c r="E49" s="7">
        <v>0</v>
      </c>
      <c r="F49">
        <v>0.3</v>
      </c>
      <c r="G49">
        <v>0.5</v>
      </c>
      <c r="H49" s="221"/>
      <c r="I49" s="1485"/>
      <c r="J49" s="6">
        <v>0</v>
      </c>
      <c r="K49" s="7">
        <v>0.1</v>
      </c>
      <c r="L49">
        <v>0.1</v>
      </c>
      <c r="M49">
        <v>0.3</v>
      </c>
      <c r="N49" s="221"/>
      <c r="O49" s="1487"/>
      <c r="P49" s="6">
        <v>0</v>
      </c>
      <c r="Q49" s="111"/>
      <c r="R49">
        <v>0.3</v>
      </c>
      <c r="S49" s="233"/>
    </row>
    <row r="50" spans="2:19" x14ac:dyDescent="0.2">
      <c r="B50" s="143" t="s">
        <v>75</v>
      </c>
      <c r="C50" s="1491"/>
      <c r="D50" s="6">
        <v>0.1</v>
      </c>
      <c r="E50" s="7">
        <v>0.1</v>
      </c>
      <c r="F50">
        <v>0.5</v>
      </c>
      <c r="G50">
        <v>1</v>
      </c>
      <c r="H50" s="221"/>
      <c r="I50" s="1485"/>
      <c r="J50" s="6">
        <v>0.1</v>
      </c>
      <c r="K50" s="7">
        <v>0.1</v>
      </c>
      <c r="L50">
        <v>0.1</v>
      </c>
      <c r="M50">
        <v>0.2</v>
      </c>
      <c r="N50" s="221"/>
      <c r="O50" s="1487"/>
      <c r="P50" s="6">
        <v>0</v>
      </c>
      <c r="Q50" s="111"/>
      <c r="R50">
        <v>2.6</v>
      </c>
      <c r="S50" s="233"/>
    </row>
    <row r="51" spans="2:19" x14ac:dyDescent="0.2">
      <c r="B51" s="143" t="s">
        <v>76</v>
      </c>
      <c r="C51" s="1491"/>
      <c r="D51" s="6">
        <v>0.2</v>
      </c>
      <c r="E51" s="7">
        <v>0.2</v>
      </c>
      <c r="F51">
        <v>0.9</v>
      </c>
      <c r="G51">
        <v>1.5</v>
      </c>
      <c r="H51" s="221"/>
      <c r="I51" s="1485"/>
      <c r="J51" s="6">
        <v>0</v>
      </c>
      <c r="K51" s="7">
        <v>0.1</v>
      </c>
      <c r="L51">
        <v>0.3</v>
      </c>
      <c r="M51">
        <v>0.2</v>
      </c>
      <c r="N51" s="221"/>
      <c r="O51" s="1487"/>
      <c r="P51" s="6">
        <v>0.1</v>
      </c>
      <c r="Q51" s="111"/>
      <c r="R51">
        <v>9.3000000000000007</v>
      </c>
      <c r="S51" s="233"/>
    </row>
    <row r="52" spans="2:19" x14ac:dyDescent="0.2">
      <c r="B52" s="143" t="s">
        <v>77</v>
      </c>
      <c r="C52" s="1491"/>
      <c r="D52" s="6">
        <v>0.5</v>
      </c>
      <c r="E52" s="7">
        <v>0.4</v>
      </c>
      <c r="F52">
        <v>2.7</v>
      </c>
      <c r="G52">
        <v>2.5</v>
      </c>
      <c r="H52" s="221"/>
      <c r="I52" s="1485"/>
      <c r="J52" s="6">
        <v>0.1</v>
      </c>
      <c r="K52" s="7">
        <v>0.1</v>
      </c>
      <c r="L52">
        <v>0.8</v>
      </c>
      <c r="M52">
        <v>0.7</v>
      </c>
      <c r="N52" s="221"/>
      <c r="O52" s="1487"/>
      <c r="P52" s="6">
        <v>0.2</v>
      </c>
      <c r="Q52" s="111"/>
      <c r="R52">
        <v>15.5</v>
      </c>
      <c r="S52" s="233"/>
    </row>
    <row r="53" spans="2:19" x14ac:dyDescent="0.2">
      <c r="B53" s="143" t="s">
        <v>78</v>
      </c>
      <c r="C53" s="1491"/>
      <c r="D53" s="6">
        <v>1.7</v>
      </c>
      <c r="E53" s="7">
        <v>1.5</v>
      </c>
      <c r="F53">
        <v>6.3</v>
      </c>
      <c r="G53">
        <v>6.8</v>
      </c>
      <c r="H53" s="221"/>
      <c r="I53" s="1485"/>
      <c r="J53" s="6">
        <v>0.1</v>
      </c>
      <c r="K53" s="7">
        <v>0.1</v>
      </c>
      <c r="L53">
        <v>2.2000000000000002</v>
      </c>
      <c r="M53">
        <v>1.6</v>
      </c>
      <c r="N53" s="221"/>
      <c r="O53" s="1487"/>
      <c r="P53" s="6">
        <v>0.4</v>
      </c>
      <c r="Q53" s="111"/>
      <c r="R53">
        <v>20.399999999999999</v>
      </c>
      <c r="S53" s="233"/>
    </row>
    <row r="54" spans="2:19" x14ac:dyDescent="0.2">
      <c r="B54" s="143" t="s">
        <v>79</v>
      </c>
      <c r="C54" s="1491"/>
      <c r="D54" s="6">
        <v>2.8</v>
      </c>
      <c r="E54" s="7">
        <v>3.2</v>
      </c>
      <c r="F54">
        <v>11.6</v>
      </c>
      <c r="G54">
        <v>11.3</v>
      </c>
      <c r="H54" s="221"/>
      <c r="I54" s="1485"/>
      <c r="J54" s="6">
        <v>0.4</v>
      </c>
      <c r="K54" s="7">
        <v>0.4</v>
      </c>
      <c r="L54">
        <v>4.4000000000000004</v>
      </c>
      <c r="M54">
        <v>2.8</v>
      </c>
      <c r="N54" s="221"/>
      <c r="O54" s="1487"/>
      <c r="P54" s="6">
        <v>0.2</v>
      </c>
      <c r="Q54" s="111"/>
      <c r="R54">
        <v>18.8</v>
      </c>
      <c r="S54" s="233"/>
    </row>
    <row r="55" spans="2:19" x14ac:dyDescent="0.2">
      <c r="B55" s="143" t="s">
        <v>80</v>
      </c>
      <c r="C55" s="1491"/>
      <c r="D55" s="6">
        <v>3.8</v>
      </c>
      <c r="E55" s="7">
        <v>3</v>
      </c>
      <c r="F55">
        <v>14.5</v>
      </c>
      <c r="G55">
        <v>13.5</v>
      </c>
      <c r="H55" s="221"/>
      <c r="I55" s="1485"/>
      <c r="J55" s="6">
        <v>1.3</v>
      </c>
      <c r="K55" s="7">
        <v>0.4</v>
      </c>
      <c r="L55">
        <v>10.1</v>
      </c>
      <c r="M55">
        <v>5</v>
      </c>
      <c r="N55" s="221"/>
      <c r="O55" s="1487"/>
      <c r="P55" s="6">
        <v>0.2</v>
      </c>
      <c r="Q55" s="111"/>
      <c r="R55">
        <v>12.3</v>
      </c>
      <c r="S55" s="233"/>
    </row>
    <row r="56" spans="2:19" x14ac:dyDescent="0.2">
      <c r="B56" s="143" t="s">
        <v>81</v>
      </c>
      <c r="C56" s="1491"/>
      <c r="D56" s="6">
        <v>6.9</v>
      </c>
      <c r="E56" s="7">
        <v>5.7</v>
      </c>
      <c r="F56">
        <v>24.4</v>
      </c>
      <c r="G56">
        <v>21.6</v>
      </c>
      <c r="H56" s="221"/>
      <c r="I56" s="1485"/>
      <c r="J56" s="6">
        <v>3.1</v>
      </c>
      <c r="K56" s="7">
        <v>1</v>
      </c>
      <c r="L56">
        <v>17.7</v>
      </c>
      <c r="M56">
        <v>7.8</v>
      </c>
      <c r="N56" s="221"/>
      <c r="O56" s="1487"/>
      <c r="P56" s="6">
        <v>0.3</v>
      </c>
      <c r="Q56" s="111"/>
      <c r="R56">
        <v>9.4</v>
      </c>
      <c r="S56" s="233"/>
    </row>
    <row r="57" spans="2:19" x14ac:dyDescent="0.2">
      <c r="B57" s="143" t="s">
        <v>82</v>
      </c>
      <c r="C57" s="1491"/>
      <c r="D57" s="6">
        <v>12.9</v>
      </c>
      <c r="E57" s="7">
        <v>9.6999999999999993</v>
      </c>
      <c r="F57">
        <v>47.1</v>
      </c>
      <c r="G57">
        <v>37.1</v>
      </c>
      <c r="H57" s="221"/>
      <c r="I57" s="1485"/>
      <c r="J57" s="6">
        <v>5.3</v>
      </c>
      <c r="K57" s="7">
        <v>1.8</v>
      </c>
      <c r="L57">
        <v>26.8</v>
      </c>
      <c r="M57">
        <v>12.7</v>
      </c>
      <c r="N57" s="221"/>
      <c r="O57" s="1487"/>
      <c r="P57" s="6">
        <v>0.4</v>
      </c>
      <c r="Q57" s="111"/>
      <c r="R57">
        <v>7</v>
      </c>
      <c r="S57" s="233"/>
    </row>
    <row r="58" spans="2:19" x14ac:dyDescent="0.2">
      <c r="B58" s="143" t="s">
        <v>83</v>
      </c>
      <c r="C58" s="1491"/>
      <c r="D58" s="6">
        <v>23.6</v>
      </c>
      <c r="E58" s="7">
        <v>16.399999999999999</v>
      </c>
      <c r="F58">
        <v>87.7</v>
      </c>
      <c r="G58">
        <v>60.6</v>
      </c>
      <c r="H58" s="221"/>
      <c r="I58" s="1485"/>
      <c r="J58" s="6">
        <v>8.9</v>
      </c>
      <c r="K58" s="7">
        <v>4</v>
      </c>
      <c r="L58">
        <v>37.1</v>
      </c>
      <c r="M58">
        <v>18.600000000000001</v>
      </c>
      <c r="N58" s="221"/>
      <c r="O58" s="1487"/>
      <c r="P58" s="6">
        <v>0.1</v>
      </c>
      <c r="Q58" s="111"/>
      <c r="R58">
        <v>5.2</v>
      </c>
      <c r="S58" s="233"/>
    </row>
    <row r="59" spans="2:19" x14ac:dyDescent="0.2">
      <c r="B59" s="143" t="s">
        <v>84</v>
      </c>
      <c r="C59" s="1491"/>
      <c r="D59" s="6">
        <v>41</v>
      </c>
      <c r="E59" s="7">
        <v>23.9</v>
      </c>
      <c r="F59">
        <v>151.4</v>
      </c>
      <c r="G59">
        <v>91</v>
      </c>
      <c r="H59" s="221"/>
      <c r="I59" s="1485"/>
      <c r="J59" s="6">
        <v>15</v>
      </c>
      <c r="K59" s="7">
        <v>6.4</v>
      </c>
      <c r="L59">
        <v>53.7</v>
      </c>
      <c r="M59">
        <v>26.2</v>
      </c>
      <c r="N59" s="221"/>
      <c r="O59" s="1487"/>
      <c r="P59" s="6">
        <v>0.2</v>
      </c>
      <c r="Q59" s="111"/>
      <c r="R59">
        <v>3</v>
      </c>
      <c r="S59" s="233"/>
    </row>
    <row r="60" spans="2:19" x14ac:dyDescent="0.2">
      <c r="B60" s="143" t="s">
        <v>85</v>
      </c>
      <c r="C60" s="1491"/>
      <c r="D60" s="6">
        <v>61</v>
      </c>
      <c r="E60" s="7">
        <v>36.4</v>
      </c>
      <c r="F60">
        <v>198.3</v>
      </c>
      <c r="G60">
        <v>119.1</v>
      </c>
      <c r="H60" s="221"/>
      <c r="I60" s="1485"/>
      <c r="J60" s="6">
        <v>21.3</v>
      </c>
      <c r="K60" s="7">
        <v>9.6999999999999993</v>
      </c>
      <c r="L60">
        <v>73.900000000000006</v>
      </c>
      <c r="M60">
        <v>36.4</v>
      </c>
      <c r="N60" s="221"/>
      <c r="O60" s="1487"/>
      <c r="P60" s="6">
        <v>0.2</v>
      </c>
      <c r="Q60" s="111"/>
      <c r="R60">
        <v>2.4</v>
      </c>
      <c r="S60" s="233"/>
    </row>
    <row r="61" spans="2:19" x14ac:dyDescent="0.2">
      <c r="B61" s="143" t="s">
        <v>86</v>
      </c>
      <c r="C61" s="1491"/>
      <c r="D61" s="6">
        <v>86.6</v>
      </c>
      <c r="E61" s="7">
        <v>52.9</v>
      </c>
      <c r="F61">
        <v>273.5</v>
      </c>
      <c r="G61">
        <v>171.2</v>
      </c>
      <c r="H61" s="221"/>
      <c r="I61" s="1485"/>
      <c r="J61" s="6">
        <v>30.2</v>
      </c>
      <c r="K61" s="7">
        <v>14.6</v>
      </c>
      <c r="L61">
        <v>91.2</v>
      </c>
      <c r="M61">
        <v>45.1</v>
      </c>
      <c r="N61" s="221"/>
      <c r="O61" s="1487"/>
      <c r="P61" s="6">
        <v>0.2</v>
      </c>
      <c r="Q61" s="111"/>
      <c r="R61">
        <v>2.4</v>
      </c>
      <c r="S61" s="233"/>
    </row>
    <row r="62" spans="2:19" x14ac:dyDescent="0.2">
      <c r="B62" s="143" t="s">
        <v>87</v>
      </c>
      <c r="C62" s="1491"/>
      <c r="D62" s="6">
        <v>139.1</v>
      </c>
      <c r="E62" s="7">
        <v>87.3</v>
      </c>
      <c r="F62">
        <v>351.7</v>
      </c>
      <c r="G62">
        <v>234.8</v>
      </c>
      <c r="H62" s="221"/>
      <c r="I62" s="1485"/>
      <c r="J62" s="6">
        <v>43.4</v>
      </c>
      <c r="K62" s="7">
        <v>23.4</v>
      </c>
      <c r="L62">
        <v>110.1</v>
      </c>
      <c r="M62">
        <v>57.2</v>
      </c>
      <c r="N62" s="221"/>
      <c r="O62" s="1487"/>
      <c r="P62" s="6">
        <v>0.2</v>
      </c>
      <c r="Q62" s="111"/>
      <c r="R62">
        <v>1.4</v>
      </c>
      <c r="S62" s="233"/>
    </row>
    <row r="63" spans="2:19" x14ac:dyDescent="0.2">
      <c r="B63" s="143" t="s">
        <v>88</v>
      </c>
      <c r="C63" s="1491"/>
      <c r="D63" s="6">
        <v>222.6</v>
      </c>
      <c r="E63" s="7">
        <v>139</v>
      </c>
      <c r="F63">
        <v>464.7</v>
      </c>
      <c r="G63">
        <v>309.60000000000002</v>
      </c>
      <c r="H63" s="221"/>
      <c r="I63" s="1485"/>
      <c r="J63" s="6">
        <v>60.5</v>
      </c>
      <c r="K63" s="7">
        <v>31.7</v>
      </c>
      <c r="L63">
        <v>119.5</v>
      </c>
      <c r="M63">
        <v>64.5</v>
      </c>
      <c r="N63" s="221"/>
      <c r="O63" s="1487"/>
      <c r="P63" s="6">
        <v>0.3</v>
      </c>
      <c r="Q63" s="111"/>
      <c r="R63">
        <v>1.1000000000000001</v>
      </c>
      <c r="S63" s="233"/>
    </row>
    <row r="64" spans="2:19" x14ac:dyDescent="0.2">
      <c r="B64" s="143" t="s">
        <v>89</v>
      </c>
      <c r="C64" s="1491"/>
      <c r="D64" s="6">
        <v>299.8</v>
      </c>
      <c r="E64" s="7">
        <v>212</v>
      </c>
      <c r="F64">
        <v>503</v>
      </c>
      <c r="G64">
        <v>352</v>
      </c>
      <c r="H64" s="221"/>
      <c r="I64" s="1485"/>
      <c r="J64" s="6">
        <v>86.7</v>
      </c>
      <c r="K64" s="7">
        <v>45.8</v>
      </c>
      <c r="L64">
        <v>124.8</v>
      </c>
      <c r="M64">
        <v>66.7</v>
      </c>
      <c r="N64" s="221"/>
      <c r="O64" s="1487"/>
      <c r="P64" s="6">
        <v>0.3</v>
      </c>
      <c r="Q64" s="111"/>
      <c r="R64">
        <v>0.9</v>
      </c>
      <c r="S64" s="233"/>
    </row>
    <row r="65" spans="2:19" x14ac:dyDescent="0.2">
      <c r="B65" s="143" t="s">
        <v>90</v>
      </c>
      <c r="C65" s="1491"/>
      <c r="D65" s="140">
        <v>406.3</v>
      </c>
      <c r="E65" s="220">
        <v>267.2</v>
      </c>
      <c r="F65">
        <v>443.5</v>
      </c>
      <c r="G65">
        <v>293</v>
      </c>
      <c r="H65" s="221"/>
      <c r="I65" s="1485"/>
      <c r="J65" s="140">
        <v>105.3</v>
      </c>
      <c r="K65" s="220">
        <v>46.8</v>
      </c>
      <c r="L65">
        <v>121.8</v>
      </c>
      <c r="M65">
        <v>52.4</v>
      </c>
      <c r="N65" s="221"/>
      <c r="O65" s="1487"/>
      <c r="P65" s="6">
        <v>0.7</v>
      </c>
      <c r="Q65" s="111"/>
      <c r="R65">
        <v>2.1</v>
      </c>
      <c r="S65" s="233"/>
    </row>
    <row r="66" spans="2:19" ht="5" customHeight="1" thickBot="1" x14ac:dyDescent="0.25">
      <c r="B66" s="228"/>
      <c r="C66" s="229"/>
      <c r="D66" s="229"/>
      <c r="E66" s="229"/>
      <c r="F66" s="229"/>
      <c r="G66" s="229"/>
      <c r="H66" s="229"/>
      <c r="I66" s="229"/>
      <c r="J66" s="229"/>
      <c r="K66" s="229"/>
      <c r="L66" s="229"/>
      <c r="M66" s="229"/>
      <c r="N66" s="229"/>
      <c r="O66" s="229"/>
      <c r="P66" s="230"/>
      <c r="Q66" s="231"/>
      <c r="R66" s="229"/>
      <c r="S66" s="232"/>
    </row>
    <row r="68" spans="2:19" x14ac:dyDescent="0.2">
      <c r="B68" s="1"/>
    </row>
    <row r="70" spans="2:19" ht="17" thickBot="1" x14ac:dyDescent="0.25">
      <c r="B70" t="s">
        <v>320</v>
      </c>
    </row>
    <row r="71" spans="2:19" x14ac:dyDescent="0.2">
      <c r="B71" s="28" t="s">
        <v>8</v>
      </c>
    </row>
    <row r="72" spans="2:19" x14ac:dyDescent="0.2">
      <c r="B72" s="29" t="s">
        <v>10</v>
      </c>
    </row>
    <row r="73" spans="2:19" x14ac:dyDescent="0.2">
      <c r="B73" s="29" t="s">
        <v>11</v>
      </c>
    </row>
    <row r="74" spans="2:19" x14ac:dyDescent="0.2">
      <c r="B74" s="29" t="s">
        <v>12</v>
      </c>
    </row>
    <row r="75" spans="2:19" x14ac:dyDescent="0.2">
      <c r="B75" s="29" t="s">
        <v>13</v>
      </c>
    </row>
    <row r="76" spans="2:19" x14ac:dyDescent="0.2">
      <c r="B76" s="29" t="s">
        <v>14</v>
      </c>
    </row>
    <row r="77" spans="2:19" x14ac:dyDescent="0.2">
      <c r="B77" s="29" t="s">
        <v>15</v>
      </c>
    </row>
    <row r="78" spans="2:19" x14ac:dyDescent="0.2">
      <c r="B78" s="29" t="s">
        <v>32</v>
      </c>
    </row>
    <row r="79" spans="2:19" ht="17" thickBot="1" x14ac:dyDescent="0.25">
      <c r="B79" s="30" t="s">
        <v>17</v>
      </c>
    </row>
  </sheetData>
  <mergeCells count="15">
    <mergeCell ref="C7:C25"/>
    <mergeCell ref="C27:C45"/>
    <mergeCell ref="C47:C65"/>
    <mergeCell ref="P5:Q5"/>
    <mergeCell ref="F5:G5"/>
    <mergeCell ref="D5:E5"/>
    <mergeCell ref="R5:S5"/>
    <mergeCell ref="I7:I25"/>
    <mergeCell ref="I27:I45"/>
    <mergeCell ref="I47:I65"/>
    <mergeCell ref="O7:O25"/>
    <mergeCell ref="O27:O45"/>
    <mergeCell ref="J5:K5"/>
    <mergeCell ref="L5:M5"/>
    <mergeCell ref="O47:O6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126C-CE7D-7F4B-8702-792AC62363C9}">
  <sheetPr>
    <tabColor theme="2"/>
  </sheetPr>
  <dimension ref="A1:Y100"/>
  <sheetViews>
    <sheetView zoomScale="90" zoomScaleNormal="90" workbookViewId="0">
      <selection activeCell="F33" sqref="F33"/>
    </sheetView>
  </sheetViews>
  <sheetFormatPr baseColWidth="10" defaultColWidth="10.6640625" defaultRowHeight="16" x14ac:dyDescent="0.2"/>
  <cols>
    <col min="1" max="1" width="3.83203125" customWidth="1"/>
    <col min="2" max="2" width="30.1640625" customWidth="1"/>
    <col min="3" max="3" width="14.83203125" customWidth="1"/>
    <col min="4" max="4" width="21.6640625" customWidth="1"/>
    <col min="5" max="19" width="14.83203125" customWidth="1"/>
    <col min="20" max="21" width="3" customWidth="1"/>
    <col min="23" max="23" width="14.83203125" customWidth="1"/>
  </cols>
  <sheetData>
    <row r="1" spans="1:25" x14ac:dyDescent="0.2">
      <c r="A1" s="184"/>
      <c r="B1" s="184"/>
      <c r="C1" s="184"/>
      <c r="D1" s="184"/>
      <c r="E1" s="184"/>
      <c r="F1" s="184"/>
      <c r="G1" s="184"/>
      <c r="H1" s="184"/>
      <c r="I1" s="184"/>
      <c r="J1" s="184"/>
      <c r="K1" s="184"/>
      <c r="L1" s="184"/>
      <c r="M1" s="184"/>
      <c r="N1" s="184"/>
      <c r="O1" s="184"/>
      <c r="P1" s="184"/>
      <c r="Q1" s="184"/>
      <c r="R1" s="184"/>
      <c r="S1" s="184"/>
      <c r="T1" s="184"/>
      <c r="U1" s="185"/>
      <c r="V1" s="185"/>
      <c r="W1" s="185"/>
      <c r="X1" s="185"/>
      <c r="Y1" s="185"/>
    </row>
    <row r="2" spans="1:25" x14ac:dyDescent="0.2">
      <c r="A2" s="184"/>
      <c r="B2" s="188" t="s">
        <v>44</v>
      </c>
      <c r="C2" s="184"/>
      <c r="D2" s="184"/>
      <c r="E2" s="184"/>
      <c r="F2" s="184"/>
      <c r="G2" s="184"/>
      <c r="H2" s="184"/>
      <c r="I2" s="184"/>
      <c r="J2" s="184"/>
      <c r="K2" s="184"/>
      <c r="L2" s="184"/>
      <c r="M2" s="184"/>
      <c r="N2" s="184"/>
      <c r="O2" s="184"/>
      <c r="P2" s="184"/>
      <c r="Q2" s="184"/>
      <c r="R2" s="184"/>
      <c r="S2" s="184"/>
      <c r="T2" s="184"/>
      <c r="U2" s="185"/>
      <c r="V2" s="185"/>
      <c r="W2" s="185"/>
      <c r="X2" s="185"/>
      <c r="Y2" s="185"/>
    </row>
    <row r="3" spans="1:25" x14ac:dyDescent="0.2">
      <c r="A3" s="184"/>
      <c r="B3" s="261" t="s">
        <v>324</v>
      </c>
      <c r="C3" s="184"/>
      <c r="D3" s="184"/>
      <c r="E3" s="184"/>
      <c r="F3" s="184"/>
      <c r="G3" s="184"/>
      <c r="H3" s="184"/>
      <c r="I3" s="184"/>
      <c r="J3" s="184"/>
      <c r="K3" s="184"/>
      <c r="L3" s="184"/>
      <c r="M3" s="184"/>
      <c r="N3" s="184"/>
      <c r="O3" s="184"/>
      <c r="P3" s="184"/>
      <c r="Q3" s="184"/>
      <c r="R3" s="184"/>
      <c r="S3" s="184"/>
      <c r="T3" s="184"/>
      <c r="U3" s="185"/>
      <c r="V3" s="185"/>
      <c r="W3" s="185"/>
      <c r="X3" s="185"/>
      <c r="Y3" s="185"/>
    </row>
    <row r="4" spans="1:25" ht="17" thickBot="1" x14ac:dyDescent="0.25">
      <c r="A4" s="184"/>
      <c r="B4" s="184"/>
      <c r="C4" s="184"/>
      <c r="D4" s="184"/>
      <c r="E4" s="184"/>
      <c r="F4" s="184"/>
      <c r="G4" s="184"/>
      <c r="H4" s="184"/>
      <c r="I4" s="184"/>
      <c r="J4" s="184"/>
      <c r="K4" s="184"/>
      <c r="L4" s="184"/>
      <c r="M4" s="184"/>
      <c r="N4" s="184"/>
      <c r="O4" s="184"/>
      <c r="P4" s="184"/>
      <c r="Q4" s="184"/>
      <c r="R4" s="184"/>
      <c r="S4" s="184"/>
      <c r="T4" s="184"/>
      <c r="U4" s="185"/>
      <c r="V4" s="185"/>
      <c r="W4" s="185"/>
      <c r="X4" s="185"/>
      <c r="Y4" s="185"/>
    </row>
    <row r="5" spans="1:25" ht="17" thickBot="1" x14ac:dyDescent="0.25">
      <c r="A5" s="184"/>
      <c r="B5" s="186" t="s">
        <v>23</v>
      </c>
      <c r="C5" s="187" t="s">
        <v>17</v>
      </c>
      <c r="D5" s="184"/>
      <c r="E5" s="184"/>
      <c r="F5" s="184"/>
      <c r="G5" s="184"/>
      <c r="H5" s="184"/>
      <c r="I5" s="184"/>
      <c r="J5" s="184"/>
      <c r="N5" s="184"/>
      <c r="O5" s="184"/>
      <c r="P5" s="184"/>
      <c r="Q5" s="184"/>
      <c r="R5" s="184"/>
      <c r="S5" s="184"/>
      <c r="T5" s="184"/>
      <c r="U5" s="185"/>
      <c r="V5" s="185"/>
      <c r="W5" s="185"/>
      <c r="X5" s="185"/>
      <c r="Y5" s="185"/>
    </row>
    <row r="6" spans="1:25" ht="17" thickBot="1" x14ac:dyDescent="0.25">
      <c r="A6" s="184"/>
      <c r="B6" s="269"/>
      <c r="C6" s="184"/>
      <c r="D6" s="268"/>
      <c r="E6" s="268"/>
      <c r="F6" s="268"/>
      <c r="G6" s="268"/>
      <c r="H6" s="184"/>
      <c r="I6" s="184"/>
      <c r="J6" s="184"/>
      <c r="K6" s="184"/>
      <c r="L6" s="184"/>
      <c r="M6" s="184"/>
      <c r="N6" s="184"/>
      <c r="O6" s="184"/>
      <c r="P6" s="184"/>
      <c r="Q6" s="184"/>
      <c r="R6" s="184"/>
      <c r="S6" s="184"/>
      <c r="T6" s="184"/>
      <c r="U6" s="185"/>
      <c r="V6" s="185"/>
      <c r="W6" s="185"/>
      <c r="X6" s="185"/>
      <c r="Y6" s="185"/>
    </row>
    <row r="7" spans="1:25" ht="17" thickBot="1" x14ac:dyDescent="0.25">
      <c r="A7" s="184"/>
      <c r="B7" s="510" t="s">
        <v>45</v>
      </c>
      <c r="C7" s="513" t="s">
        <v>46</v>
      </c>
      <c r="D7" s="318" t="s">
        <v>47</v>
      </c>
      <c r="E7" s="268"/>
      <c r="F7" s="268"/>
      <c r="G7" s="268"/>
      <c r="H7" s="184"/>
      <c r="I7" s="184"/>
      <c r="J7" s="184"/>
      <c r="K7" s="184"/>
      <c r="L7" s="184"/>
      <c r="M7" s="184"/>
      <c r="N7" s="184"/>
      <c r="O7" s="184"/>
      <c r="P7" s="184"/>
      <c r="Q7" s="184"/>
      <c r="R7" s="184"/>
      <c r="S7" s="184"/>
      <c r="T7" s="184"/>
      <c r="U7" s="185"/>
      <c r="V7" s="185"/>
      <c r="W7" s="185"/>
      <c r="X7" s="185"/>
      <c r="Y7" s="185"/>
    </row>
    <row r="8" spans="1:25" ht="17" thickTop="1" x14ac:dyDescent="0.2">
      <c r="A8" s="184"/>
      <c r="B8" s="511" t="s">
        <v>48</v>
      </c>
      <c r="C8" s="514">
        <v>1</v>
      </c>
      <c r="D8" s="357">
        <v>0.5</v>
      </c>
      <c r="E8" s="268"/>
      <c r="F8" s="268"/>
      <c r="G8" s="268"/>
      <c r="H8" s="184"/>
      <c r="I8" s="184"/>
      <c r="J8" s="184"/>
      <c r="K8" s="184"/>
      <c r="L8" s="184"/>
      <c r="M8" s="184"/>
      <c r="N8" s="184"/>
      <c r="O8" s="184"/>
      <c r="P8" s="184"/>
      <c r="Q8" s="184"/>
      <c r="R8" s="184"/>
      <c r="S8" s="184"/>
      <c r="T8" s="184"/>
      <c r="U8" s="185"/>
      <c r="V8" s="185"/>
      <c r="W8" s="185"/>
      <c r="X8" s="185"/>
      <c r="Y8" s="185"/>
    </row>
    <row r="9" spans="1:25" x14ac:dyDescent="0.2">
      <c r="A9" s="184"/>
      <c r="B9" s="512" t="s">
        <v>49</v>
      </c>
      <c r="C9" s="515">
        <f>IF($C$5="Breast",VLOOKUP(B9,'App2 - ORs Top vs. Bottom'!$S$7:$T$21,2,FALSE),IF('App4 - Life Risk Calculator'!$C$5="Prostate",VLOOKUP('App4 - Life Risk Calculator'!B9,'App2 - ORs Top vs. Bottom'!$S$22:$T$36,2,FALSE),IF('App4 - Life Risk Calculator'!$C$5="Colorectal",VLOOKUP('App4 - Life Risk Calculator'!B9,'App2 - ORs Top vs. Bottom'!$S$37:$T$51,2,FALSE),IF('App4 - Life Risk Calculator'!$C$5="Pancreas",VLOOKUP('App4 - Life Risk Calculator'!B9,'App2 - ORs Top vs. Bottom'!$S$52:$T$66,2,FALSE),IF('App4 - Life Risk Calculator'!$C$5="Ovary",VLOOKUP('App4 - Life Risk Calculator'!B9,'App2 - ORs Top vs. Bottom'!$S$67:$T$81,2,FALSE),IF('App4 - Life Risk Calculator'!$C$5="Kidney",VLOOKUP('App4 - Life Risk Calculator'!B9,'App2 - ORs Top vs. Bottom'!$S$82:$T$96,2,FALSE),IF('App4 - Life Risk Calculator'!$C$5="CLL",VLOOKUP('App4 - Life Risk Calculator'!B9,'App2 - ORs Top vs. Bottom'!$S$97:$T$111,2,FALSE),IF('App4 - Life Risk Calculator'!$C$5="Lung",VLOOKUP('App4 - Life Risk Calculator'!B9,'App2 - ORs Top vs. Bottom'!$S$112:$T$126,2,FALSE),IF('App4 - Life Risk Calculator'!$C$5="Testis",VLOOKUP('App4 - Life Risk Calculator'!B9,'App2 - ORs Top vs. Bottom'!$S$127:$T$141,2,FALSE),"N/A")))))))))</f>
        <v>6.0862733879514419</v>
      </c>
      <c r="D9" s="355">
        <v>0.01</v>
      </c>
      <c r="E9" s="268"/>
      <c r="F9" s="268"/>
      <c r="G9" s="268"/>
      <c r="H9" s="184"/>
      <c r="I9" s="184"/>
      <c r="J9" s="184"/>
      <c r="K9" s="188" t="s">
        <v>50</v>
      </c>
      <c r="L9" s="184"/>
      <c r="M9" s="184"/>
      <c r="N9" s="184"/>
      <c r="O9" s="184"/>
      <c r="P9" s="184"/>
      <c r="Q9" s="184"/>
      <c r="R9" s="184"/>
      <c r="S9" s="184"/>
      <c r="T9" s="184"/>
      <c r="U9" s="185"/>
      <c r="V9" s="185"/>
      <c r="W9" s="185"/>
      <c r="X9" s="185"/>
      <c r="Y9" s="185"/>
    </row>
    <row r="10" spans="1:25" ht="17" thickBot="1" x14ac:dyDescent="0.25">
      <c r="A10" s="184"/>
      <c r="B10" s="508" t="s">
        <v>51</v>
      </c>
      <c r="C10" s="516">
        <f>IF($C$5="Breast",VLOOKUP(B10,'App2 - ORs Top vs. Bottom'!$S$7:$T$21,2,FALSE),IF('App4 - Life Risk Calculator'!$C$5="Prostate",VLOOKUP('App4 - Life Risk Calculator'!B10,'App2 - ORs Top vs. Bottom'!$S$22:$T$36,2,FALSE),IF('App4 - Life Risk Calculator'!$C$5="Colorectal",VLOOKUP('App4 - Life Risk Calculator'!B10,'App2 - ORs Top vs. Bottom'!$S$37:$T$51,2,FALSE),IF('App4 - Life Risk Calculator'!$C$5="Pancreas",VLOOKUP('App4 - Life Risk Calculator'!B10,'App2 - ORs Top vs. Bottom'!$S$52:$T$66,2,FALSE),IF('App4 - Life Risk Calculator'!$C$5="Ovary",VLOOKUP('App4 - Life Risk Calculator'!B10,'App2 - ORs Top vs. Bottom'!$S$67:$T$81,2,FALSE),IF('App4 - Life Risk Calculator'!$C$5="Kidney",VLOOKUP('App4 - Life Risk Calculator'!B10,'App2 - ORs Top vs. Bottom'!$S$82:$T$96,2,FALSE),IF('App4 - Life Risk Calculator'!$C$5="CLL",VLOOKUP('App4 - Life Risk Calculator'!B10,'App2 - ORs Top vs. Bottom'!$S$97:$T$111,2,FALSE),IF('App4 - Life Risk Calculator'!$C$5="Lung",VLOOKUP('App4 - Life Risk Calculator'!B10,'App2 - ORs Top vs. Bottom'!$S$112:$T$126,2,FALSE),IF('App4 - Life Risk Calculator'!$C$5="Testis",VLOOKUP('App4 - Life Risk Calculator'!B10,'App2 - ORs Top vs. Bottom'!$S$127:$T$141,2,FALSE),"N/A")))))))))</f>
        <v>4.3547821754631277</v>
      </c>
      <c r="D10" s="352">
        <v>0.05</v>
      </c>
      <c r="E10" s="268"/>
      <c r="F10" s="268"/>
      <c r="G10" s="268"/>
      <c r="H10" s="184"/>
      <c r="I10" s="184"/>
      <c r="J10" s="184"/>
      <c r="K10" s="184"/>
      <c r="L10" s="184"/>
      <c r="M10" s="184"/>
      <c r="N10" s="184"/>
      <c r="O10" s="184"/>
      <c r="P10" s="184"/>
      <c r="Q10" s="184"/>
      <c r="R10" s="184"/>
      <c r="S10" s="184"/>
      <c r="T10" s="184"/>
      <c r="U10" s="185"/>
      <c r="V10" s="185"/>
      <c r="W10" s="185"/>
      <c r="X10" s="185"/>
      <c r="Y10" s="185"/>
    </row>
    <row r="11" spans="1:25" ht="17" thickBot="1" x14ac:dyDescent="0.25">
      <c r="A11" s="184"/>
      <c r="B11" s="508" t="s">
        <v>52</v>
      </c>
      <c r="C11" s="516">
        <f>IF($C$5="Breast",VLOOKUP(B11,'App2 - ORs Top vs. Bottom'!$S$7:$T$21,2,FALSE),IF('App4 - Life Risk Calculator'!$C$5="Prostate",VLOOKUP('App4 - Life Risk Calculator'!B11,'App2 - ORs Top vs. Bottom'!$S$22:$T$36,2,FALSE),IF('App4 - Life Risk Calculator'!$C$5="Colorectal",VLOOKUP('App4 - Life Risk Calculator'!B11,'App2 - ORs Top vs. Bottom'!$S$37:$T$51,2,FALSE),IF('App4 - Life Risk Calculator'!$C$5="Pancreas",VLOOKUP('App4 - Life Risk Calculator'!B11,'App2 - ORs Top vs. Bottom'!$S$52:$T$66,2,FALSE),IF('App4 - Life Risk Calculator'!$C$5="Ovary",VLOOKUP('App4 - Life Risk Calculator'!B11,'App2 - ORs Top vs. Bottom'!$S$67:$T$81,2,FALSE),IF('App4 - Life Risk Calculator'!$C$5="Kidney",VLOOKUP('App4 - Life Risk Calculator'!B11,'App2 - ORs Top vs. Bottom'!$S$82:$T$96,2,FALSE),IF('App4 - Life Risk Calculator'!$C$5="CLL",VLOOKUP('App4 - Life Risk Calculator'!B11,'App2 - ORs Top vs. Bottom'!$S$97:$T$111,2,FALSE),IF('App4 - Life Risk Calculator'!$C$5="Lung",VLOOKUP('App4 - Life Risk Calculator'!B11,'App2 - ORs Top vs. Bottom'!$S$112:$T$126,2,FALSE),IF('App4 - Life Risk Calculator'!$C$5="Testis",VLOOKUP('App4 - Life Risk Calculator'!B11,'App2 - ORs Top vs. Bottom'!$S$127:$T$141,2,FALSE),"N/A")))))))))</f>
        <v>3.8360790563727472</v>
      </c>
      <c r="D11" s="353">
        <v>0.1</v>
      </c>
      <c r="E11" s="268"/>
      <c r="F11" s="268"/>
      <c r="G11" s="268"/>
      <c r="H11" s="184"/>
      <c r="I11" s="184"/>
      <c r="J11" s="184"/>
      <c r="K11" s="190" t="s">
        <v>53</v>
      </c>
      <c r="L11" s="191" t="s">
        <v>40</v>
      </c>
      <c r="M11" s="192" t="s">
        <v>41</v>
      </c>
      <c r="N11" s="184"/>
      <c r="O11" s="184"/>
      <c r="P11" s="184"/>
      <c r="Q11" s="184"/>
      <c r="R11" s="184"/>
      <c r="S11" s="184"/>
      <c r="T11" s="184"/>
      <c r="U11" s="185"/>
      <c r="V11" s="185"/>
      <c r="W11" s="185"/>
      <c r="X11" s="185"/>
      <c r="Y11" s="185"/>
    </row>
    <row r="12" spans="1:25" ht="18" thickTop="1" thickBot="1" x14ac:dyDescent="0.25">
      <c r="A12" s="184"/>
      <c r="B12" s="508" t="s">
        <v>54</v>
      </c>
      <c r="C12" s="516">
        <f>IF($C$5="Breast",VLOOKUP(B12,'App2 - ORs Top vs. Bottom'!$S$7:$T$21,2,FALSE),IF('App4 - Life Risk Calculator'!$C$5="Prostate",VLOOKUP('App4 - Life Risk Calculator'!B12,'App2 - ORs Top vs. Bottom'!$S$22:$T$36,2,FALSE),IF('App4 - Life Risk Calculator'!$C$5="Colorectal",VLOOKUP('App4 - Life Risk Calculator'!B12,'App2 - ORs Top vs. Bottom'!$S$37:$T$51,2,FALSE),IF('App4 - Life Risk Calculator'!$C$5="Pancreas",VLOOKUP('App4 - Life Risk Calculator'!B12,'App2 - ORs Top vs. Bottom'!$S$52:$T$66,2,FALSE),IF('App4 - Life Risk Calculator'!$C$5="Ovary",VLOOKUP('App4 - Life Risk Calculator'!B12,'App2 - ORs Top vs. Bottom'!$S$67:$T$81,2,FALSE),IF('App4 - Life Risk Calculator'!$C$5="Kidney",VLOOKUP('App4 - Life Risk Calculator'!B12,'App2 - ORs Top vs. Bottom'!$S$82:$T$96,2,FALSE),IF('App4 - Life Risk Calculator'!$C$5="CLL",VLOOKUP('App4 - Life Risk Calculator'!B12,'App2 - ORs Top vs. Bottom'!$S$97:$T$111,2,FALSE),IF('App4 - Life Risk Calculator'!$C$5="Lung",VLOOKUP('App4 - Life Risk Calculator'!B12,'App2 - ORs Top vs. Bottom'!$S$112:$T$126,2,FALSE),IF('App4 - Life Risk Calculator'!$C$5="Testis",VLOOKUP('App4 - Life Risk Calculator'!B12,'App2 - ORs Top vs. Bottom'!$S$127:$T$141,2,FALSE),"N/A")))))))))</f>
        <v>3.4770133998634409</v>
      </c>
      <c r="D12" s="353">
        <v>0.2</v>
      </c>
      <c r="E12" s="268"/>
      <c r="F12" s="268"/>
      <c r="G12" s="268"/>
      <c r="H12" s="184"/>
      <c r="I12" s="184"/>
      <c r="J12" s="184"/>
      <c r="K12" s="193"/>
      <c r="L12" s="194">
        <f>X71</f>
        <v>1.0286274053415246E-2</v>
      </c>
      <c r="M12" s="195">
        <f>X95</f>
        <v>0</v>
      </c>
      <c r="N12" s="184"/>
      <c r="O12" s="184"/>
      <c r="P12" s="184"/>
      <c r="Q12" s="184"/>
      <c r="R12" s="184"/>
      <c r="S12" s="184"/>
      <c r="T12" s="184"/>
      <c r="U12" s="185"/>
      <c r="V12" s="185"/>
      <c r="W12" s="185"/>
      <c r="X12" s="185"/>
      <c r="Y12" s="185"/>
    </row>
    <row r="13" spans="1:25" x14ac:dyDescent="0.2">
      <c r="A13" s="184"/>
      <c r="B13" s="509" t="s">
        <v>321</v>
      </c>
      <c r="C13" s="516">
        <f>IF($C$5="Breast",VLOOKUP(B13,'App2 - ORs Top vs. Bottom'!$S$7:$T$21,2,FALSE),IF('App4 - Life Risk Calculator'!$C$5="Prostate",VLOOKUP('App4 - Life Risk Calculator'!B13,'App2 - ORs Top vs. Bottom'!$S$22:$T$36,2,FALSE),IF('App4 - Life Risk Calculator'!$C$5="Colorectal",VLOOKUP('App4 - Life Risk Calculator'!B13,'App2 - ORs Top vs. Bottom'!$S$37:$T$51,2,FALSE),IF('App4 - Life Risk Calculator'!$C$5="Pancreas",VLOOKUP('App4 - Life Risk Calculator'!B13,'App2 - ORs Top vs. Bottom'!$S$52:$T$66,2,FALSE),IF('App4 - Life Risk Calculator'!$C$5="Ovary",VLOOKUP('App4 - Life Risk Calculator'!B13,'App2 - ORs Top vs. Bottom'!$S$67:$T$81,2,FALSE),IF('App4 - Life Risk Calculator'!$C$5="Kidney",VLOOKUP('App4 - Life Risk Calculator'!B13,'App2 - ORs Top vs. Bottom'!$S$82:$T$96,2,FALSE),IF('App4 - Life Risk Calculator'!$C$5="CLL",VLOOKUP('App4 - Life Risk Calculator'!B13,'App2 - ORs Top vs. Bottom'!$S$97:$T$111,2,FALSE),IF('App4 - Life Risk Calculator'!$C$5="Lung",VLOOKUP('App4 - Life Risk Calculator'!B13,'App2 - ORs Top vs. Bottom'!$S$112:$T$126,2,FALSE),IF('App4 - Life Risk Calculator'!$C$5="Testis",VLOOKUP('App4 - Life Risk Calculator'!B13,'App2 - ORs Top vs. Bottom'!$S$127:$T$141,2,FALSE),"N/A")))))))))</f>
        <v>3.4351538851945613</v>
      </c>
      <c r="D13" s="354">
        <v>0.5</v>
      </c>
      <c r="E13" s="268"/>
      <c r="F13" s="268"/>
      <c r="G13" s="268"/>
      <c r="H13" s="184"/>
      <c r="I13" s="184"/>
      <c r="J13" s="184"/>
      <c r="K13" s="184"/>
      <c r="L13" s="519"/>
      <c r="M13" s="519"/>
      <c r="N13" s="184"/>
      <c r="O13" s="184"/>
      <c r="P13" s="184"/>
      <c r="Q13" s="184"/>
      <c r="R13" s="184"/>
      <c r="S13" s="184"/>
      <c r="T13" s="184"/>
      <c r="U13" s="185"/>
      <c r="V13" s="185"/>
      <c r="W13" s="185"/>
      <c r="X13" s="185"/>
      <c r="Y13" s="185"/>
    </row>
    <row r="14" spans="1:25" x14ac:dyDescent="0.2">
      <c r="A14" s="184"/>
      <c r="B14" s="512" t="s">
        <v>55</v>
      </c>
      <c r="C14" s="515">
        <f>IF($C$5="Breast",VLOOKUP(B14,'App2 - ORs Top vs. Bottom'!$S$7:$T$21,2,FALSE),IF('App4 - Life Risk Calculator'!$C$5="Prostate",VLOOKUP('App4 - Life Risk Calculator'!B14,'App2 - ORs Top vs. Bottom'!$S$22:$T$36,2,FALSE),IF('App4 - Life Risk Calculator'!$C$5="Colorectal",VLOOKUP('App4 - Life Risk Calculator'!B14,'App2 - ORs Top vs. Bottom'!$S$37:$T$51,2,FALSE),IF('App4 - Life Risk Calculator'!$C$5="Pancreas",VLOOKUP('App4 - Life Risk Calculator'!B14,'App2 - ORs Top vs. Bottom'!$S$52:$T$66,2,FALSE),IF('App4 - Life Risk Calculator'!$C$5="Ovary",VLOOKUP('App4 - Life Risk Calculator'!B14,'App2 - ORs Top vs. Bottom'!$S$67:$T$81,2,FALSE),IF('App4 - Life Risk Calculator'!$C$5="Kidney",VLOOKUP('App4 - Life Risk Calculator'!B14,'App2 - ORs Top vs. Bottom'!$S$82:$T$96,2,FALSE),IF('App4 - Life Risk Calculator'!$C$5="CLL",VLOOKUP('App4 - Life Risk Calculator'!B14,'App2 - ORs Top vs. Bottom'!$S$97:$T$111,2,FALSE),IF('App4 - Life Risk Calculator'!$C$5="Lung",VLOOKUP('App4 - Life Risk Calculator'!B14,'App2 - ORs Top vs. Bottom'!$S$112:$T$126,2,FALSE),IF('App4 - Life Risk Calculator'!$C$5="Testis",VLOOKUP('App4 - Life Risk Calculator'!B14,'App2 - ORs Top vs. Bottom'!$S$127:$T$141,2,FALSE),"N/A")))))))))</f>
        <v>21.114241454801721</v>
      </c>
      <c r="D14" s="355">
        <v>0.01</v>
      </c>
      <c r="E14" s="268"/>
      <c r="F14" s="268"/>
      <c r="G14" s="268"/>
      <c r="H14" s="184"/>
      <c r="I14" s="184"/>
      <c r="J14" s="184"/>
      <c r="K14" s="184"/>
      <c r="L14" s="184"/>
      <c r="M14" s="184"/>
      <c r="N14" s="184"/>
      <c r="O14" s="184"/>
      <c r="P14" s="184"/>
      <c r="Q14" s="184"/>
      <c r="R14" s="184"/>
      <c r="S14" s="184"/>
      <c r="T14" s="184"/>
      <c r="U14" s="185"/>
      <c r="V14" s="185"/>
      <c r="W14" s="185"/>
      <c r="X14" s="185"/>
      <c r="Y14" s="185"/>
    </row>
    <row r="15" spans="1:25" x14ac:dyDescent="0.2">
      <c r="A15" s="184"/>
      <c r="B15" s="508" t="s">
        <v>56</v>
      </c>
      <c r="C15" s="516">
        <f>IF($C$5="Breast",VLOOKUP(B15,'App2 - ORs Top vs. Bottom'!$S$7:$T$21,2,FALSE),IF('App4 - Life Risk Calculator'!$C$5="Prostate",VLOOKUP('App4 - Life Risk Calculator'!B15,'App2 - ORs Top vs. Bottom'!$S$22:$T$36,2,FALSE),IF('App4 - Life Risk Calculator'!$C$5="Colorectal",VLOOKUP('App4 - Life Risk Calculator'!B15,'App2 - ORs Top vs. Bottom'!$S$37:$T$51,2,FALSE),IF('App4 - Life Risk Calculator'!$C$5="Pancreas",VLOOKUP('App4 - Life Risk Calculator'!B15,'App2 - ORs Top vs. Bottom'!$S$52:$T$66,2,FALSE),IF('App4 - Life Risk Calculator'!$C$5="Ovary",VLOOKUP('App4 - Life Risk Calculator'!B15,'App2 - ORs Top vs. Bottom'!$S$67:$T$81,2,FALSE),IF('App4 - Life Risk Calculator'!$C$5="Kidney",VLOOKUP('App4 - Life Risk Calculator'!B15,'App2 - ORs Top vs. Bottom'!$S$82:$T$96,2,FALSE),IF('App4 - Life Risk Calculator'!$C$5="CLL",VLOOKUP('App4 - Life Risk Calculator'!B15,'App2 - ORs Top vs. Bottom'!$S$97:$T$111,2,FALSE),IF('App4 - Life Risk Calculator'!$C$5="Lung",VLOOKUP('App4 - Life Risk Calculator'!B15,'App2 - ORs Top vs. Bottom'!$S$112:$T$126,2,FALSE),IF('App4 - Life Risk Calculator'!$C$5="Testis",VLOOKUP('App4 - Life Risk Calculator'!B15,'App2 - ORs Top vs. Bottom'!$S$127:$T$141,2,FALSE),"N/A")))))))))</f>
        <v>12.733956444213572</v>
      </c>
      <c r="D15" s="352">
        <v>0.05</v>
      </c>
      <c r="E15" s="268"/>
      <c r="F15" s="268"/>
      <c r="G15" s="268"/>
      <c r="H15" s="184"/>
      <c r="I15" s="184"/>
      <c r="J15" s="184"/>
      <c r="K15" s="184"/>
      <c r="L15" s="184"/>
      <c r="M15" s="184"/>
      <c r="N15" s="184"/>
      <c r="O15" s="184"/>
      <c r="P15" s="184"/>
      <c r="Q15" s="184"/>
      <c r="R15" s="184"/>
      <c r="S15" s="184"/>
      <c r="T15" s="184"/>
      <c r="U15" s="185"/>
      <c r="V15" s="185"/>
      <c r="W15" s="185"/>
      <c r="X15" s="185"/>
      <c r="Y15" s="185"/>
    </row>
    <row r="16" spans="1:25" x14ac:dyDescent="0.2">
      <c r="A16" s="184"/>
      <c r="B16" s="508" t="s">
        <v>57</v>
      </c>
      <c r="C16" s="516">
        <f>IF($C$5="Breast",VLOOKUP(B16,'App2 - ORs Top vs. Bottom'!$S$7:$T$21,2,FALSE),IF('App4 - Life Risk Calculator'!$C$5="Prostate",VLOOKUP('App4 - Life Risk Calculator'!B16,'App2 - ORs Top vs. Bottom'!$S$22:$T$36,2,FALSE),IF('App4 - Life Risk Calculator'!$C$5="Colorectal",VLOOKUP('App4 - Life Risk Calculator'!B16,'App2 - ORs Top vs. Bottom'!$S$37:$T$51,2,FALSE),IF('App4 - Life Risk Calculator'!$C$5="Pancreas",VLOOKUP('App4 - Life Risk Calculator'!B16,'App2 - ORs Top vs. Bottom'!$S$52:$T$66,2,FALSE),IF('App4 - Life Risk Calculator'!$C$5="Ovary",VLOOKUP('App4 - Life Risk Calculator'!B16,'App2 - ORs Top vs. Bottom'!$S$67:$T$81,2,FALSE),IF('App4 - Life Risk Calculator'!$C$5="Kidney",VLOOKUP('App4 - Life Risk Calculator'!B16,'App2 - ORs Top vs. Bottom'!$S$82:$T$96,2,FALSE),IF('App4 - Life Risk Calculator'!$C$5="CLL",VLOOKUP('App4 - Life Risk Calculator'!B16,'App2 - ORs Top vs. Bottom'!$S$97:$T$111,2,FALSE),IF('App4 - Life Risk Calculator'!$C$5="Lung",VLOOKUP('App4 - Life Risk Calculator'!B16,'App2 - ORs Top vs. Bottom'!$S$112:$T$126,2,FALSE),IF('App4 - Life Risk Calculator'!$C$5="Testis",VLOOKUP('App4 - Life Risk Calculator'!B16,'App2 - ORs Top vs. Bottom'!$S$127:$T$141,2,FALSE),"N/A")))))))))</f>
        <v>10.783807228238777</v>
      </c>
      <c r="D16" s="353">
        <v>0.1</v>
      </c>
      <c r="E16" s="268"/>
      <c r="F16" s="268"/>
      <c r="G16" s="268"/>
      <c r="H16" s="184"/>
      <c r="I16" s="184"/>
      <c r="J16" s="184"/>
      <c r="K16" s="184"/>
      <c r="L16" s="184"/>
      <c r="M16" s="184"/>
      <c r="N16" s="184"/>
      <c r="O16" s="184"/>
      <c r="P16" s="184"/>
      <c r="Q16" s="184"/>
      <c r="R16" s="184"/>
      <c r="S16" s="184"/>
      <c r="T16" s="184"/>
      <c r="U16" s="185"/>
      <c r="V16" s="185"/>
      <c r="W16" s="185"/>
      <c r="X16" s="185"/>
      <c r="Y16" s="185"/>
    </row>
    <row r="17" spans="1:25" x14ac:dyDescent="0.2">
      <c r="A17" s="184"/>
      <c r="B17" s="508" t="s">
        <v>58</v>
      </c>
      <c r="C17" s="516">
        <f>IF($C$5="Breast",VLOOKUP(B17,'App2 - ORs Top vs. Bottom'!$S$7:$T$21,2,FALSE),IF('App4 - Life Risk Calculator'!$C$5="Prostate",VLOOKUP('App4 - Life Risk Calculator'!B17,'App2 - ORs Top vs. Bottom'!$S$22:$T$36,2,FALSE),IF('App4 - Life Risk Calculator'!$C$5="Colorectal",VLOOKUP('App4 - Life Risk Calculator'!B17,'App2 - ORs Top vs. Bottom'!$S$37:$T$51,2,FALSE),IF('App4 - Life Risk Calculator'!$C$5="Pancreas",VLOOKUP('App4 - Life Risk Calculator'!B17,'App2 - ORs Top vs. Bottom'!$S$52:$T$66,2,FALSE),IF('App4 - Life Risk Calculator'!$C$5="Ovary",VLOOKUP('App4 - Life Risk Calculator'!B17,'App2 - ORs Top vs. Bottom'!$S$67:$T$81,2,FALSE),IF('App4 - Life Risk Calculator'!$C$5="Kidney",VLOOKUP('App4 - Life Risk Calculator'!B17,'App2 - ORs Top vs. Bottom'!$S$82:$T$96,2,FALSE),IF('App4 - Life Risk Calculator'!$C$5="CLL",VLOOKUP('App4 - Life Risk Calculator'!B17,'App2 - ORs Top vs. Bottom'!$S$97:$T$111,2,FALSE),IF('App4 - Life Risk Calculator'!$C$5="Lung",VLOOKUP('App4 - Life Risk Calculator'!B17,'App2 - ORs Top vs. Bottom'!$S$112:$T$126,2,FALSE),IF('App4 - Life Risk Calculator'!$C$5="Testis",VLOOKUP('App4 - Life Risk Calculator'!B17,'App2 - ORs Top vs. Bottom'!$S$127:$T$141,2,FALSE),"N/A")))))))))</f>
        <v>9.7897224553548892</v>
      </c>
      <c r="D17" s="353">
        <v>0.2</v>
      </c>
      <c r="E17" s="268"/>
      <c r="F17" s="268"/>
      <c r="G17" s="268"/>
      <c r="H17" s="184"/>
      <c r="I17" s="184"/>
      <c r="J17" s="184"/>
      <c r="K17" s="184"/>
      <c r="L17" s="184"/>
      <c r="M17" s="184"/>
      <c r="N17" s="184"/>
      <c r="O17" s="184"/>
      <c r="P17" s="184"/>
      <c r="Q17" s="184"/>
      <c r="R17" s="184"/>
      <c r="S17" s="184"/>
      <c r="T17" s="184"/>
      <c r="U17" s="185"/>
      <c r="V17" s="185"/>
      <c r="W17" s="185"/>
      <c r="X17" s="185"/>
      <c r="Y17" s="185"/>
    </row>
    <row r="18" spans="1:25" x14ac:dyDescent="0.2">
      <c r="A18" s="184"/>
      <c r="B18" s="509" t="s">
        <v>322</v>
      </c>
      <c r="C18" s="517">
        <f>IF($C$5="Breast",VLOOKUP(B18,'App2 - ORs Top vs. Bottom'!$S$7:$T$21,2,FALSE),IF('App4 - Life Risk Calculator'!$C$5="Prostate",VLOOKUP('App4 - Life Risk Calculator'!B18,'App2 - ORs Top vs. Bottom'!$S$22:$T$36,2,FALSE),IF('App4 - Life Risk Calculator'!$C$5="Colorectal",VLOOKUP('App4 - Life Risk Calculator'!B18,'App2 - ORs Top vs. Bottom'!$S$37:$T$51,2,FALSE),IF('App4 - Life Risk Calculator'!$C$5="Pancreas",VLOOKUP('App4 - Life Risk Calculator'!B18,'App2 - ORs Top vs. Bottom'!$S$52:$T$66,2,FALSE),IF('App4 - Life Risk Calculator'!$C$5="Ovary",VLOOKUP('App4 - Life Risk Calculator'!B18,'App2 - ORs Top vs. Bottom'!$S$67:$T$81,2,FALSE),IF('App4 - Life Risk Calculator'!$C$5="Kidney",VLOOKUP('App4 - Life Risk Calculator'!B18,'App2 - ORs Top vs. Bottom'!$S$82:$T$96,2,FALSE),IF('App4 - Life Risk Calculator'!$C$5="CLL",VLOOKUP('App4 - Life Risk Calculator'!B18,'App2 - ORs Top vs. Bottom'!$S$97:$T$111,2,FALSE),IF('App4 - Life Risk Calculator'!$C$5="Lung",VLOOKUP('App4 - Life Risk Calculator'!B18,'App2 - ORs Top vs. Bottom'!$S$112:$T$126,2,FALSE),IF('App4 - Life Risk Calculator'!$C$5="Testis",VLOOKUP('App4 - Life Risk Calculator'!B18,'App2 - ORs Top vs. Bottom'!$S$127:$T$141,2,FALSE),"N/A")))))))))</f>
        <v>11.264168641162668</v>
      </c>
      <c r="D18" s="354">
        <v>0.5</v>
      </c>
      <c r="E18" s="268"/>
      <c r="F18" s="268"/>
      <c r="G18" s="268"/>
      <c r="H18" s="184"/>
      <c r="I18" s="184"/>
      <c r="J18" s="184"/>
      <c r="K18" s="184"/>
      <c r="L18" s="184"/>
      <c r="M18" s="184"/>
      <c r="N18" s="184"/>
      <c r="O18" s="184"/>
      <c r="P18" s="184"/>
      <c r="Q18" s="184"/>
      <c r="R18" s="184"/>
      <c r="S18" s="184"/>
      <c r="T18" s="184"/>
      <c r="U18" s="185"/>
      <c r="V18" s="185"/>
      <c r="W18" s="185"/>
      <c r="X18" s="185"/>
      <c r="Y18" s="185"/>
    </row>
    <row r="19" spans="1:25" x14ac:dyDescent="0.2">
      <c r="A19" s="184"/>
      <c r="B19" s="508" t="s">
        <v>59</v>
      </c>
      <c r="C19" s="516">
        <f>IF($C$5="Breast",VLOOKUP(B19,'App2 - ORs Top vs. Bottom'!$S$7:$T$21,2,FALSE),IF('App4 - Life Risk Calculator'!$C$5="Prostate",VLOOKUP('App4 - Life Risk Calculator'!B19,'App2 - ORs Top vs. Bottom'!$S$22:$T$36,2,FALSE),IF('App4 - Life Risk Calculator'!$C$5="Colorectal",VLOOKUP('App4 - Life Risk Calculator'!B19,'App2 - ORs Top vs. Bottom'!$S$37:$T$51,2,FALSE),IF('App4 - Life Risk Calculator'!$C$5="Pancreas",VLOOKUP('App4 - Life Risk Calculator'!B19,'App2 - ORs Top vs. Bottom'!$S$52:$T$66,2,FALSE),IF('App4 - Life Risk Calculator'!$C$5="Ovary",VLOOKUP('App4 - Life Risk Calculator'!B19,'App2 - ORs Top vs. Bottom'!$S$67:$T$81,2,FALSE),IF('App4 - Life Risk Calculator'!$C$5="Kidney",VLOOKUP('App4 - Life Risk Calculator'!B19,'App2 - ORs Top vs. Bottom'!$S$82:$T$96,2,FALSE),IF('App4 - Life Risk Calculator'!$C$5="CLL",VLOOKUP('App4 - Life Risk Calculator'!B19,'App2 - ORs Top vs. Bottom'!$S$97:$T$111,2,FALSE),IF('App4 - Life Risk Calculator'!$C$5="Lung",VLOOKUP('App4 - Life Risk Calculator'!B19,'App2 - ORs Top vs. Bottom'!$S$112:$T$126,2,FALSE),IF('App4 - Life Risk Calculator'!$C$5="Testis",VLOOKUP('App4 - Life Risk Calculator'!B19,'App2 - ORs Top vs. Bottom'!$S$127:$T$141,2,FALSE),"N/A")))))))))</f>
        <v>33.553578203514931</v>
      </c>
      <c r="D19" s="352">
        <v>0.01</v>
      </c>
      <c r="E19" s="268"/>
      <c r="F19" s="268"/>
      <c r="G19" s="268"/>
      <c r="H19" s="184"/>
      <c r="I19" s="184"/>
      <c r="J19" s="184"/>
      <c r="K19" s="184"/>
      <c r="L19" s="184"/>
      <c r="M19" s="184"/>
      <c r="N19" s="184"/>
      <c r="O19" s="184"/>
      <c r="P19" s="184"/>
      <c r="Q19" s="184"/>
      <c r="R19" s="184"/>
      <c r="S19" s="184"/>
      <c r="T19" s="184"/>
      <c r="U19" s="185"/>
      <c r="V19" s="185"/>
      <c r="W19" s="185"/>
      <c r="X19" s="185"/>
      <c r="Y19" s="185"/>
    </row>
    <row r="20" spans="1:25" x14ac:dyDescent="0.2">
      <c r="A20" s="184"/>
      <c r="B20" s="508" t="s">
        <v>60</v>
      </c>
      <c r="C20" s="516">
        <f>IF($C$5="Breast",VLOOKUP(B20,'App2 - ORs Top vs. Bottom'!$S$7:$T$21,2,FALSE),IF('App4 - Life Risk Calculator'!$C$5="Prostate",VLOOKUP('App4 - Life Risk Calculator'!B20,'App2 - ORs Top vs. Bottom'!$S$22:$T$36,2,FALSE),IF('App4 - Life Risk Calculator'!$C$5="Colorectal",VLOOKUP('App4 - Life Risk Calculator'!B20,'App2 - ORs Top vs. Bottom'!$S$37:$T$51,2,FALSE),IF('App4 - Life Risk Calculator'!$C$5="Pancreas",VLOOKUP('App4 - Life Risk Calculator'!B20,'App2 - ORs Top vs. Bottom'!$S$52:$T$66,2,FALSE),IF('App4 - Life Risk Calculator'!$C$5="Ovary",VLOOKUP('App4 - Life Risk Calculator'!B20,'App2 - ORs Top vs. Bottom'!$S$67:$T$81,2,FALSE),IF('App4 - Life Risk Calculator'!$C$5="Kidney",VLOOKUP('App4 - Life Risk Calculator'!B20,'App2 - ORs Top vs. Bottom'!$S$82:$T$96,2,FALSE),IF('App4 - Life Risk Calculator'!$C$5="CLL",VLOOKUP('App4 - Life Risk Calculator'!B20,'App2 - ORs Top vs. Bottom'!$S$97:$T$111,2,FALSE),IF('App4 - Life Risk Calculator'!$C$5="Lung",VLOOKUP('App4 - Life Risk Calculator'!B20,'App2 - ORs Top vs. Bottom'!$S$112:$T$126,2,FALSE),IF('App4 - Life Risk Calculator'!$C$5="Testis",VLOOKUP('App4 - Life Risk Calculator'!B20,'App2 - ORs Top vs. Bottom'!$S$127:$T$141,2,FALSE),"N/A")))))))))</f>
        <v>19.517157170472306</v>
      </c>
      <c r="D20" s="352">
        <v>0.05</v>
      </c>
      <c r="E20" s="268"/>
      <c r="F20" s="268"/>
      <c r="G20" s="268"/>
      <c r="H20" s="184"/>
      <c r="I20" s="184"/>
      <c r="J20" s="184"/>
      <c r="K20" s="184"/>
      <c r="L20" s="184"/>
      <c r="M20" s="184"/>
      <c r="N20" s="184"/>
      <c r="O20" s="184"/>
      <c r="P20" s="184"/>
      <c r="Q20" s="184"/>
      <c r="R20" s="184"/>
      <c r="S20" s="184"/>
      <c r="T20" s="184"/>
      <c r="U20" s="185"/>
      <c r="V20" s="185"/>
      <c r="W20" s="185"/>
      <c r="X20" s="185"/>
      <c r="Y20" s="185"/>
    </row>
    <row r="21" spans="1:25" x14ac:dyDescent="0.2">
      <c r="A21" s="184"/>
      <c r="B21" s="508" t="s">
        <v>61</v>
      </c>
      <c r="C21" s="516">
        <f>IF($C$5="Breast",VLOOKUP(B21,'App2 - ORs Top vs. Bottom'!$S$7:$T$21,2,FALSE),IF('App4 - Life Risk Calculator'!$C$5="Prostate",VLOOKUP('App4 - Life Risk Calculator'!B21,'App2 - ORs Top vs. Bottom'!$S$22:$T$36,2,FALSE),IF('App4 - Life Risk Calculator'!$C$5="Colorectal",VLOOKUP('App4 - Life Risk Calculator'!B21,'App2 - ORs Top vs. Bottom'!$S$37:$T$51,2,FALSE),IF('App4 - Life Risk Calculator'!$C$5="Pancreas",VLOOKUP('App4 - Life Risk Calculator'!B21,'App2 - ORs Top vs. Bottom'!$S$52:$T$66,2,FALSE),IF('App4 - Life Risk Calculator'!$C$5="Ovary",VLOOKUP('App4 - Life Risk Calculator'!B21,'App2 - ORs Top vs. Bottom'!$S$67:$T$81,2,FALSE),IF('App4 - Life Risk Calculator'!$C$5="Kidney",VLOOKUP('App4 - Life Risk Calculator'!B21,'App2 - ORs Top vs. Bottom'!$S$82:$T$96,2,FALSE),IF('App4 - Life Risk Calculator'!$C$5="CLL",VLOOKUP('App4 - Life Risk Calculator'!B21,'App2 - ORs Top vs. Bottom'!$S$97:$T$111,2,FALSE),IF('App4 - Life Risk Calculator'!$C$5="Lung",VLOOKUP('App4 - Life Risk Calculator'!B21,'App2 - ORs Top vs. Bottom'!$S$112:$T$126,2,FALSE),IF('App4 - Life Risk Calculator'!$C$5="Testis",VLOOKUP('App4 - Life Risk Calculator'!B21,'App2 - ORs Top vs. Bottom'!$S$127:$T$141,2,FALSE),"N/A")))))))))</f>
        <v>16.573688722728484</v>
      </c>
      <c r="D21" s="353">
        <v>0.1</v>
      </c>
      <c r="E21" s="268"/>
      <c r="F21" s="268"/>
      <c r="G21" s="268"/>
      <c r="H21" s="184"/>
      <c r="I21" s="184"/>
      <c r="J21" s="184"/>
      <c r="K21" s="184"/>
      <c r="L21" s="184"/>
      <c r="M21" s="184"/>
      <c r="N21" s="184"/>
      <c r="O21" s="184"/>
      <c r="P21" s="184"/>
      <c r="Q21" s="184"/>
      <c r="R21" s="184"/>
      <c r="S21" s="184"/>
      <c r="T21" s="184"/>
      <c r="U21" s="185"/>
      <c r="V21" s="185"/>
      <c r="W21" s="185"/>
      <c r="X21" s="185"/>
      <c r="Y21" s="185"/>
    </row>
    <row r="22" spans="1:25" x14ac:dyDescent="0.2">
      <c r="A22" s="184"/>
      <c r="B22" s="508" t="s">
        <v>62</v>
      </c>
      <c r="C22" s="516">
        <f>IF($C$5="Breast",VLOOKUP(B22,'App2 - ORs Top vs. Bottom'!$S$7:$T$21,2,FALSE),IF('App4 - Life Risk Calculator'!$C$5="Prostate",VLOOKUP('App4 - Life Risk Calculator'!B22,'App2 - ORs Top vs. Bottom'!$S$22:$T$36,2,FALSE),IF('App4 - Life Risk Calculator'!$C$5="Colorectal",VLOOKUP('App4 - Life Risk Calculator'!B22,'App2 - ORs Top vs. Bottom'!$S$37:$T$51,2,FALSE),IF('App4 - Life Risk Calculator'!$C$5="Pancreas",VLOOKUP('App4 - Life Risk Calculator'!B22,'App2 - ORs Top vs. Bottom'!$S$52:$T$66,2,FALSE),IF('App4 - Life Risk Calculator'!$C$5="Ovary",VLOOKUP('App4 - Life Risk Calculator'!B22,'App2 - ORs Top vs. Bottom'!$S$67:$T$81,2,FALSE),IF('App4 - Life Risk Calculator'!$C$5="Kidney",VLOOKUP('App4 - Life Risk Calculator'!B22,'App2 - ORs Top vs. Bottom'!$S$82:$T$96,2,FALSE),IF('App4 - Life Risk Calculator'!$C$5="CLL",VLOOKUP('App4 - Life Risk Calculator'!B22,'App2 - ORs Top vs. Bottom'!$S$97:$T$111,2,FALSE),IF('App4 - Life Risk Calculator'!$C$5="Lung",VLOOKUP('App4 - Life Risk Calculator'!B22,'App2 - ORs Top vs. Bottom'!$S$112:$T$126,2,FALSE),IF('App4 - Life Risk Calculator'!$C$5="Testis",VLOOKUP('App4 - Life Risk Calculator'!B22,'App2 - ORs Top vs. Bottom'!$S$127:$T$141,2,FALSE),"N/A")))))))))</f>
        <v>15.408933899680056</v>
      </c>
      <c r="D22" s="353">
        <v>0.2</v>
      </c>
      <c r="E22" s="268"/>
      <c r="F22" s="268"/>
      <c r="G22" s="268"/>
      <c r="H22" s="184"/>
      <c r="I22" s="184"/>
      <c r="J22" s="184"/>
      <c r="K22" s="184"/>
      <c r="L22" s="184"/>
      <c r="M22" s="184"/>
      <c r="N22" s="184"/>
      <c r="O22" s="184"/>
      <c r="P22" s="184"/>
      <c r="Q22" s="184"/>
      <c r="R22" s="184"/>
      <c r="S22" s="184"/>
      <c r="T22" s="184"/>
      <c r="U22" s="185"/>
      <c r="V22" s="185"/>
      <c r="W22" s="185"/>
      <c r="X22" s="185"/>
      <c r="Y22" s="185"/>
    </row>
    <row r="23" spans="1:25" ht="17" thickBot="1" x14ac:dyDescent="0.25">
      <c r="A23" s="184"/>
      <c r="B23" s="193" t="s">
        <v>323</v>
      </c>
      <c r="C23" s="518">
        <f>IF($C$5="Breast",VLOOKUP(B23,'App2 - ORs Top vs. Bottom'!$S$7:$T$21,2,FALSE),IF('App4 - Life Risk Calculator'!$C$5="Prostate",VLOOKUP('App4 - Life Risk Calculator'!B23,'App2 - ORs Top vs. Bottom'!$S$22:$T$36,2,FALSE),IF('App4 - Life Risk Calculator'!$C$5="Colorectal",VLOOKUP('App4 - Life Risk Calculator'!B23,'App2 - ORs Top vs. Bottom'!$S$37:$T$51,2,FALSE),IF('App4 - Life Risk Calculator'!$C$5="Pancreas",VLOOKUP('App4 - Life Risk Calculator'!B23,'App2 - ORs Top vs. Bottom'!$S$52:$T$66,2,FALSE),IF('App4 - Life Risk Calculator'!$C$5="Ovary",VLOOKUP('App4 - Life Risk Calculator'!B23,'App2 - ORs Top vs. Bottom'!$S$67:$T$81,2,FALSE),IF('App4 - Life Risk Calculator'!$C$5="Kidney",VLOOKUP('App4 - Life Risk Calculator'!B23,'App2 - ORs Top vs. Bottom'!$S$82:$T$96,2,FALSE),IF('App4 - Life Risk Calculator'!$C$5="CLL",VLOOKUP('App4 - Life Risk Calculator'!B23,'App2 - ORs Top vs. Bottom'!$S$97:$T$111,2,FALSE),IF('App4 - Life Risk Calculator'!$C$5="Lung",VLOOKUP('App4 - Life Risk Calculator'!B23,'App2 - ORs Top vs. Bottom'!$S$112:$T$126,2,FALSE),IF('App4 - Life Risk Calculator'!$C$5="Testis",VLOOKUP('App4 - Life Risk Calculator'!B23,'App2 - ORs Top vs. Bottom'!$S$127:$T$141,2,FALSE),"N/A")))))))))</f>
        <v>19.708971526014594</v>
      </c>
      <c r="D23" s="356">
        <v>0.5</v>
      </c>
      <c r="E23" s="268"/>
      <c r="F23" s="268"/>
      <c r="G23" s="268"/>
      <c r="H23" s="184"/>
      <c r="I23" s="184"/>
      <c r="J23" s="184"/>
      <c r="K23" s="184"/>
      <c r="L23" s="184"/>
      <c r="M23" s="184"/>
      <c r="N23" s="184"/>
      <c r="O23" s="184"/>
      <c r="P23" s="184"/>
      <c r="Q23" s="184"/>
      <c r="R23" s="184"/>
      <c r="S23" s="184"/>
      <c r="T23" s="184"/>
      <c r="U23" s="185"/>
      <c r="V23" s="185"/>
      <c r="W23" s="185"/>
      <c r="X23" s="185"/>
      <c r="Y23" s="185"/>
    </row>
    <row r="24" spans="1:25" ht="17" thickBot="1" x14ac:dyDescent="0.25">
      <c r="A24" s="184"/>
      <c r="B24" s="269"/>
      <c r="C24" s="184"/>
      <c r="D24" s="268"/>
      <c r="E24" s="268"/>
      <c r="F24" s="268"/>
      <c r="G24" s="268"/>
      <c r="H24" s="184"/>
      <c r="I24" s="184"/>
      <c r="J24" s="184"/>
      <c r="K24" s="184"/>
      <c r="L24" s="184"/>
      <c r="M24" s="184"/>
      <c r="N24" s="184"/>
      <c r="O24" s="184"/>
      <c r="P24" s="184"/>
      <c r="Q24" s="184"/>
      <c r="R24" s="184"/>
      <c r="S24" s="184"/>
      <c r="T24" s="184"/>
      <c r="U24" s="185"/>
      <c r="V24" s="185"/>
      <c r="W24" s="185"/>
      <c r="X24" s="185"/>
      <c r="Y24" s="185"/>
    </row>
    <row r="25" spans="1:25" ht="17" thickBot="1" x14ac:dyDescent="0.25">
      <c r="A25" s="184"/>
      <c r="B25" s="347" t="s">
        <v>45</v>
      </c>
      <c r="C25" s="349" t="s">
        <v>46</v>
      </c>
      <c r="D25" s="350" t="s">
        <v>47</v>
      </c>
      <c r="E25" s="268"/>
      <c r="F25" s="268"/>
      <c r="G25" s="268"/>
      <c r="H25" s="184"/>
      <c r="I25" s="184"/>
      <c r="J25" s="184"/>
      <c r="K25" s="184"/>
      <c r="L25" s="184"/>
      <c r="M25" s="184"/>
      <c r="N25" s="184"/>
      <c r="O25" s="184"/>
      <c r="P25" s="184"/>
      <c r="Q25" s="184"/>
      <c r="R25" s="184"/>
      <c r="S25" s="184"/>
      <c r="T25" s="184"/>
      <c r="U25" s="185"/>
      <c r="V25" s="185"/>
      <c r="W25" s="185"/>
      <c r="X25" s="185"/>
      <c r="Y25" s="185"/>
    </row>
    <row r="26" spans="1:25" ht="18" thickTop="1" thickBot="1" x14ac:dyDescent="0.25">
      <c r="A26" s="184"/>
      <c r="B26" s="348" t="s">
        <v>323</v>
      </c>
      <c r="C26" s="351">
        <f>VLOOKUP(B26,B8:D23,2,FALSE)</f>
        <v>19.708971526014594</v>
      </c>
      <c r="D26" s="266">
        <f>VLOOKUP(B26,B8:D23,3,FALSE)</f>
        <v>0.5</v>
      </c>
      <c r="F26" s="184"/>
      <c r="G26" s="184"/>
      <c r="H26" s="184"/>
      <c r="I26" s="184"/>
      <c r="J26" s="184"/>
      <c r="K26" s="184"/>
      <c r="L26" s="184"/>
      <c r="M26" s="184"/>
      <c r="N26" s="184"/>
      <c r="O26" s="184"/>
      <c r="P26" s="184"/>
      <c r="Q26" s="184"/>
      <c r="R26" s="184"/>
      <c r="S26" s="184"/>
      <c r="T26" s="184"/>
      <c r="U26" s="185"/>
      <c r="V26" s="185"/>
      <c r="W26" s="185"/>
      <c r="X26" s="185"/>
      <c r="Y26" s="185"/>
    </row>
    <row r="27" spans="1:25" ht="17" thickBot="1" x14ac:dyDescent="0.25">
      <c r="A27" s="184"/>
      <c r="B27" s="184"/>
      <c r="C27" s="184"/>
      <c r="D27" s="184"/>
      <c r="E27" s="184"/>
      <c r="F27" s="184"/>
      <c r="G27" s="184"/>
      <c r="H27" s="184"/>
      <c r="I27" s="184"/>
      <c r="J27" s="184"/>
      <c r="K27" s="184"/>
      <c r="L27" s="184"/>
      <c r="M27" s="184"/>
      <c r="N27" s="184"/>
      <c r="O27" s="184"/>
      <c r="P27" s="184"/>
      <c r="Q27" s="184"/>
      <c r="R27" s="184"/>
      <c r="S27" s="184"/>
      <c r="T27" s="184"/>
      <c r="U27" s="185"/>
      <c r="V27" s="185"/>
      <c r="W27" s="185"/>
      <c r="X27" s="185"/>
      <c r="Y27" s="185"/>
    </row>
    <row r="28" spans="1:25" x14ac:dyDescent="0.2">
      <c r="A28" s="184"/>
      <c r="B28" s="1492" t="s">
        <v>63</v>
      </c>
      <c r="C28" s="1499" t="s">
        <v>64</v>
      </c>
      <c r="D28" s="1497" t="s">
        <v>65</v>
      </c>
      <c r="E28" s="1498"/>
      <c r="F28" s="1497" t="s">
        <v>66</v>
      </c>
      <c r="G28" s="1498"/>
      <c r="H28" s="1495" t="s">
        <v>67</v>
      </c>
      <c r="I28" s="1496"/>
      <c r="J28" s="184"/>
      <c r="K28" s="184"/>
      <c r="L28" s="184"/>
      <c r="M28" s="184"/>
      <c r="N28" s="184"/>
      <c r="O28" s="184"/>
      <c r="P28" s="184"/>
      <c r="Q28" s="184"/>
      <c r="R28" s="184"/>
      <c r="S28" s="184"/>
      <c r="T28" s="184"/>
      <c r="U28" s="185"/>
      <c r="V28" s="185"/>
      <c r="W28" s="185"/>
      <c r="X28" s="185"/>
      <c r="Y28" s="185"/>
    </row>
    <row r="29" spans="1:25" x14ac:dyDescent="0.2">
      <c r="A29" s="184"/>
      <c r="B29" s="1493"/>
      <c r="C29" s="1500"/>
      <c r="D29" s="1502" t="s">
        <v>68</v>
      </c>
      <c r="E29" s="1503"/>
      <c r="F29" s="1502" t="str">
        <f>C5</f>
        <v>Testis</v>
      </c>
      <c r="G29" s="1503"/>
      <c r="H29" s="1502" t="str">
        <f>C5</f>
        <v>Testis</v>
      </c>
      <c r="I29" s="1504"/>
      <c r="J29" s="184"/>
      <c r="K29" s="184"/>
      <c r="L29" s="184"/>
      <c r="M29" s="184"/>
      <c r="N29" s="184"/>
      <c r="O29" s="184"/>
      <c r="P29" s="184"/>
      <c r="Q29" s="184"/>
      <c r="R29" s="184"/>
      <c r="S29" s="184"/>
      <c r="T29" s="184"/>
      <c r="U29" s="185"/>
      <c r="V29" s="185"/>
      <c r="W29" s="185"/>
      <c r="X29" s="185"/>
      <c r="Y29" s="185"/>
    </row>
    <row r="30" spans="1:25" ht="17" thickBot="1" x14ac:dyDescent="0.25">
      <c r="A30" s="184"/>
      <c r="B30" s="1493"/>
      <c r="C30" s="1501"/>
      <c r="D30" s="196" t="s">
        <v>69</v>
      </c>
      <c r="E30" s="197" t="s">
        <v>70</v>
      </c>
      <c r="F30" s="198" t="s">
        <v>71</v>
      </c>
      <c r="G30" s="197" t="s">
        <v>70</v>
      </c>
      <c r="H30" s="196" t="s">
        <v>71</v>
      </c>
      <c r="I30" s="199" t="s">
        <v>70</v>
      </c>
      <c r="J30" s="184"/>
      <c r="K30" s="184"/>
      <c r="L30" s="184"/>
      <c r="M30" s="184"/>
      <c r="N30" s="184"/>
      <c r="O30" s="184"/>
      <c r="P30" s="184"/>
      <c r="Q30" s="184"/>
      <c r="R30" s="184"/>
      <c r="S30" s="184"/>
      <c r="T30" s="184"/>
      <c r="U30" s="185"/>
      <c r="V30" s="185"/>
      <c r="W30" s="185"/>
      <c r="X30" s="185"/>
      <c r="Y30" s="185"/>
    </row>
    <row r="31" spans="1:25" ht="17" thickTop="1" x14ac:dyDescent="0.2">
      <c r="A31" s="184"/>
      <c r="B31" s="1493"/>
      <c r="C31" s="200" t="s">
        <v>72</v>
      </c>
      <c r="D31" s="267">
        <v>94</v>
      </c>
      <c r="E31" s="215">
        <v>78</v>
      </c>
      <c r="F31" s="203">
        <f>IF($C$5="Breast",VLOOKUP(C31,'App3 - Inci Mort Data'!$B$7:$S$25,3,FALSE),IF('App4 - Life Risk Calculator'!$C$5="Prostate",VLOOKUP('App4 - Life Risk Calculator'!C31,'App3 - Inci Mort Data'!$B$27:$S$45,3,FALSE),IF('App4 - Life Risk Calculator'!$C$5="Colorectal",VLOOKUP('App4 - Life Risk Calculator'!C31,'App3 - Inci Mort Data'!$B$47:$S$65,3,FALSE),IF('App4 - Life Risk Calculator'!$C$5="Pancreas",VLOOKUP('App4 - Life Risk Calculator'!C31,'App3 - Inci Mort Data'!$B$7:$S$25,9,FALSE),IF('App4 - Life Risk Calculator'!$C$5="Ovary",VLOOKUP('App4 - Life Risk Calculator'!C31,'App3 - Inci Mort Data'!$B$27:$S$45,9,FALSE),IF('App4 - Life Risk Calculator'!$C$5="Kidney",VLOOKUP('App4 - Life Risk Calculator'!C31,'App3 - Inci Mort Data'!$B$47:$S$65,9,FALSE),IF('App4 - Life Risk Calculator'!$C$5="CLL",VLOOKUP('App4 - Life Risk Calculator'!C31,'App3 - Inci Mort Data'!$B$7:$S$25,15,FALSE),IF('App4 - Life Risk Calculator'!$C$5="Lung",VLOOKUP('App4 - Life Risk Calculator'!C31,'App3 - Inci Mort Data'!$B$27:$S$45,15,FALSE),IF('App4 - Life Risk Calculator'!$C$5="Testis",VLOOKUP('App4 - Life Risk Calculator'!C31,'App3 - Inci Mort Data'!$B$47:$S$65,15,FALSE),"N/A")))))))))</f>
        <v>0</v>
      </c>
      <c r="G31" s="202">
        <f>IF($C$5="Breast",VLOOKUP(C31,'App3 - Inci Mort Data'!$B$7:$S$25,4,FALSE),IF('App4 - Life Risk Calculator'!$C$5="Prostate",VLOOKUP('App4 - Life Risk Calculator'!C31,'App3 - Inci Mort Data'!$B$27:$S$45,4,FALSE),IF('App4 - Life Risk Calculator'!$C$5="Colorectal",VLOOKUP('App4 - Life Risk Calculator'!C31,'App3 - Inci Mort Data'!$B$47:$S$65,4,FALSE),IF('App4 - Life Risk Calculator'!$C$5="Pancreas",VLOOKUP('App4 - Life Risk Calculator'!C31,'App3 - Inci Mort Data'!$B$7:$S$25,10,FALSE),IF('App4 - Life Risk Calculator'!$C$5="Ovary",VLOOKUP('App4 - Life Risk Calculator'!C31,'App3 - Inci Mort Data'!$B$27:$S$45,10,FALSE),IF('App4 - Life Risk Calculator'!$C$5="Kidney",VLOOKUP('App4 - Life Risk Calculator'!C31,'App3 - Inci Mort Data'!$B$47:$S$65,10,FALSE),IF('App4 - Life Risk Calculator'!$C$5="CLL",VLOOKUP('App4 - Life Risk Calculator'!C31,'App3 - Inci Mort Data'!$B$7:$S$25,16,FALSE),IF('App4 - Life Risk Calculator'!$C$5="Lung",VLOOKUP('App4 - Life Risk Calculator'!C31,'App3 - Inci Mort Data'!$B$27:$S$45,16,FALSE),IF('App4 - Life Risk Calculator'!$C$5="Testis",VLOOKUP('App4 - Life Risk Calculator'!C31,'App3 - Inci Mort Data'!$B$47:$S$65,16,FALSE),"N/A")))))))))</f>
        <v>0</v>
      </c>
      <c r="H31" s="201">
        <f>IF($C$5="Breast",VLOOKUP(C31,'App3 - Inci Mort Data'!$B$7:$S$25,5,FALSE),IF('App4 - Life Risk Calculator'!$C$5="Prostate",VLOOKUP('App4 - Life Risk Calculator'!C31,'App3 - Inci Mort Data'!$B$27:$S$45,5,FALSE),IF('App4 - Life Risk Calculator'!$C$5="Colorectal",VLOOKUP('App4 - Life Risk Calculator'!C31,'App3 - Inci Mort Data'!$B$47:$S$65,5,FALSE),IF('App4 - Life Risk Calculator'!$C$5="Pancreas",VLOOKUP('App4 - Life Risk Calculator'!C31,'App3 - Inci Mort Data'!$B$7:$S$25,11,FALSE),IF('App4 - Life Risk Calculator'!$C$5="Ovary",VLOOKUP('App4 - Life Risk Calculator'!C31,'App3 - Inci Mort Data'!$B$27:$S$45,11,FALSE),IF('App4 - Life Risk Calculator'!$C$5="Kidney",VLOOKUP('App4 - Life Risk Calculator'!C31,'App3 - Inci Mort Data'!$B$47:$S$65,11,FALSE),IF('App4 - Life Risk Calculator'!$C$5="CLL",VLOOKUP('App4 - Life Risk Calculator'!C31,'App3 - Inci Mort Data'!$B$7:$S$25,17,FALSE),IF('App4 - Life Risk Calculator'!$C$5="Lung",VLOOKUP('App4 - Life Risk Calculator'!C31,'App3 - Inci Mort Data'!$B$27:$S$45,17,FALSE),IF('App4 - Life Risk Calculator'!$C$5="Testis",VLOOKUP('App4 - Life Risk Calculator'!C31,'App3 - Inci Mort Data'!$B$47:$S$65,17,FALSE),"N/A")))))))))</f>
        <v>0.4</v>
      </c>
      <c r="I31" s="204">
        <f>IF($C$5="Breast",VLOOKUP(C31,'App3 - Inci Mort Data'!$B$7:$S$25,6,FALSE),IF('App4 - Life Risk Calculator'!$C$5="Prostate",VLOOKUP('App4 - Life Risk Calculator'!C31,'App3 - Inci Mort Data'!$B$27:$S$45,6,FALSE),IF('App4 - Life Risk Calculator'!$C$5="Colorectal",VLOOKUP('App4 - Life Risk Calculator'!C31,'App3 - Inci Mort Data'!$B$47:$S$65,6,FALSE),IF('App4 - Life Risk Calculator'!$C$5="Pancreas",VLOOKUP('App4 - Life Risk Calculator'!C31,'App3 - Inci Mort Data'!$B$7:$S$25,12,FALSE),IF('App4 - Life Risk Calculator'!$C$5="Ovary",VLOOKUP('App4 - Life Risk Calculator'!C31,'App3 - Inci Mort Data'!$B$27:$S$45,12,FALSE),IF('App4 - Life Risk Calculator'!$C$5="Kidney",VLOOKUP('App4 - Life Risk Calculator'!C31,'App3 - Inci Mort Data'!$B$47:$S$65,12,FALSE),IF('App4 - Life Risk Calculator'!$C$5="CLL",VLOOKUP('App4 - Life Risk Calculator'!C31,'App3 - Inci Mort Data'!$B$7:$S$25,18,FALSE),IF('App4 - Life Risk Calculator'!$C$5="Lung",VLOOKUP('App4 - Life Risk Calculator'!C31,'App3 - Inci Mort Data'!$B$27:$S$45,18,FALSE),IF('App4 - Life Risk Calculator'!$C$5="Testis",VLOOKUP('App4 - Life Risk Calculator'!C31,'App3 - Inci Mort Data'!$B$47:$S$65,18,FALSE),"N/A")))))))))</f>
        <v>0</v>
      </c>
      <c r="J31" s="184"/>
      <c r="K31" s="184"/>
      <c r="L31" s="184"/>
      <c r="M31" s="184"/>
      <c r="N31" s="184"/>
      <c r="O31" s="184"/>
      <c r="P31" s="184"/>
      <c r="Q31" s="184"/>
      <c r="R31" s="184"/>
      <c r="S31" s="184"/>
      <c r="T31" s="184"/>
      <c r="U31" s="185"/>
      <c r="V31" s="185"/>
      <c r="W31" s="185"/>
      <c r="X31" s="185"/>
      <c r="Y31" s="185"/>
    </row>
    <row r="32" spans="1:25" x14ac:dyDescent="0.2">
      <c r="A32" s="184"/>
      <c r="B32" s="1493"/>
      <c r="C32" s="200" t="s">
        <v>73</v>
      </c>
      <c r="D32" s="267">
        <v>10</v>
      </c>
      <c r="E32" s="215">
        <v>10</v>
      </c>
      <c r="F32" s="203">
        <f>IF($C$5="Breast",VLOOKUP(C32,'App3 - Inci Mort Data'!$B$7:$S$25,3,FALSE),IF('App4 - Life Risk Calculator'!$C$5="Prostate",VLOOKUP('App4 - Life Risk Calculator'!C32,'App3 - Inci Mort Data'!$B$27:$S$45,3,FALSE),IF('App4 - Life Risk Calculator'!$C$5="Colorectal",VLOOKUP('App4 - Life Risk Calculator'!C32,'App3 - Inci Mort Data'!$B$47:$S$65,3,FALSE),IF('App4 - Life Risk Calculator'!$C$5="Pancreas",VLOOKUP('App4 - Life Risk Calculator'!C32,'App3 - Inci Mort Data'!$B$7:$S$25,9,FALSE),IF('App4 - Life Risk Calculator'!$C$5="Ovary",VLOOKUP('App4 - Life Risk Calculator'!C32,'App3 - Inci Mort Data'!$B$27:$S$45,9,FALSE),IF('App4 - Life Risk Calculator'!$C$5="Kidney",VLOOKUP('App4 - Life Risk Calculator'!C32,'App3 - Inci Mort Data'!$B$47:$S$65,9,FALSE),IF('App4 - Life Risk Calculator'!$C$5="CLL",VLOOKUP('App4 - Life Risk Calculator'!C32,'App3 - Inci Mort Data'!$B$7:$S$25,15,FALSE),IF('App4 - Life Risk Calculator'!$C$5="Lung",VLOOKUP('App4 - Life Risk Calculator'!C32,'App3 - Inci Mort Data'!$B$27:$S$45,15,FALSE),IF('App4 - Life Risk Calculator'!$C$5="Testis",VLOOKUP('App4 - Life Risk Calculator'!C32,'App3 - Inci Mort Data'!$B$47:$S$65,15,FALSE),"N/A")))))))))</f>
        <v>0</v>
      </c>
      <c r="G32" s="202">
        <f>IF($C$5="Breast",VLOOKUP(C32,'App3 - Inci Mort Data'!$B$7:$S$25,4,FALSE),IF('App4 - Life Risk Calculator'!$C$5="Prostate",VLOOKUP('App4 - Life Risk Calculator'!C32,'App3 - Inci Mort Data'!$B$27:$S$45,4,FALSE),IF('App4 - Life Risk Calculator'!$C$5="Colorectal",VLOOKUP('App4 - Life Risk Calculator'!C32,'App3 - Inci Mort Data'!$B$47:$S$65,4,FALSE),IF('App4 - Life Risk Calculator'!$C$5="Pancreas",VLOOKUP('App4 - Life Risk Calculator'!C32,'App3 - Inci Mort Data'!$B$7:$S$25,10,FALSE),IF('App4 - Life Risk Calculator'!$C$5="Ovary",VLOOKUP('App4 - Life Risk Calculator'!C32,'App3 - Inci Mort Data'!$B$27:$S$45,10,FALSE),IF('App4 - Life Risk Calculator'!$C$5="Kidney",VLOOKUP('App4 - Life Risk Calculator'!C32,'App3 - Inci Mort Data'!$B$47:$S$65,10,FALSE),IF('App4 - Life Risk Calculator'!$C$5="CLL",VLOOKUP('App4 - Life Risk Calculator'!C32,'App3 - Inci Mort Data'!$B$7:$S$25,16,FALSE),IF('App4 - Life Risk Calculator'!$C$5="Lung",VLOOKUP('App4 - Life Risk Calculator'!C32,'App3 - Inci Mort Data'!$B$27:$S$45,16,FALSE),IF('App4 - Life Risk Calculator'!$C$5="Testis",VLOOKUP('App4 - Life Risk Calculator'!C32,'App3 - Inci Mort Data'!$B$47:$S$65,16,FALSE),"N/A")))))))))</f>
        <v>0</v>
      </c>
      <c r="H32" s="201">
        <f>IF($C$5="Breast",VLOOKUP(C32,'App3 - Inci Mort Data'!$B$7:$S$25,5,FALSE),IF('App4 - Life Risk Calculator'!$C$5="Prostate",VLOOKUP('App4 - Life Risk Calculator'!C32,'App3 - Inci Mort Data'!$B$27:$S$45,5,FALSE),IF('App4 - Life Risk Calculator'!$C$5="Colorectal",VLOOKUP('App4 - Life Risk Calculator'!C32,'App3 - Inci Mort Data'!$B$47:$S$65,5,FALSE),IF('App4 - Life Risk Calculator'!$C$5="Pancreas",VLOOKUP('App4 - Life Risk Calculator'!C32,'App3 - Inci Mort Data'!$B$7:$S$25,11,FALSE),IF('App4 - Life Risk Calculator'!$C$5="Ovary",VLOOKUP('App4 - Life Risk Calculator'!C32,'App3 - Inci Mort Data'!$B$27:$S$45,11,FALSE),IF('App4 - Life Risk Calculator'!$C$5="Kidney",VLOOKUP('App4 - Life Risk Calculator'!C32,'App3 - Inci Mort Data'!$B$47:$S$65,11,FALSE),IF('App4 - Life Risk Calculator'!$C$5="CLL",VLOOKUP('App4 - Life Risk Calculator'!C32,'App3 - Inci Mort Data'!$B$7:$S$25,17,FALSE),IF('App4 - Life Risk Calculator'!$C$5="Lung",VLOOKUP('App4 - Life Risk Calculator'!C32,'App3 - Inci Mort Data'!$B$27:$S$45,17,FALSE),IF('App4 - Life Risk Calculator'!$C$5="Testis",VLOOKUP('App4 - Life Risk Calculator'!C32,'App3 - Inci Mort Data'!$B$47:$S$65,17,FALSE),"N/A")))))))))</f>
        <v>0.1</v>
      </c>
      <c r="I32" s="204">
        <f>IF($C$5="Breast",VLOOKUP(C32,'App3 - Inci Mort Data'!$B$7:$S$25,6,FALSE),IF('App4 - Life Risk Calculator'!$C$5="Prostate",VLOOKUP('App4 - Life Risk Calculator'!C32,'App3 - Inci Mort Data'!$B$27:$S$45,6,FALSE),IF('App4 - Life Risk Calculator'!$C$5="Colorectal",VLOOKUP('App4 - Life Risk Calculator'!C32,'App3 - Inci Mort Data'!$B$47:$S$65,6,FALSE),IF('App4 - Life Risk Calculator'!$C$5="Pancreas",VLOOKUP('App4 - Life Risk Calculator'!C32,'App3 - Inci Mort Data'!$B$7:$S$25,12,FALSE),IF('App4 - Life Risk Calculator'!$C$5="Ovary",VLOOKUP('App4 - Life Risk Calculator'!C32,'App3 - Inci Mort Data'!$B$27:$S$45,12,FALSE),IF('App4 - Life Risk Calculator'!$C$5="Kidney",VLOOKUP('App4 - Life Risk Calculator'!C32,'App3 - Inci Mort Data'!$B$47:$S$65,12,FALSE),IF('App4 - Life Risk Calculator'!$C$5="CLL",VLOOKUP('App4 - Life Risk Calculator'!C32,'App3 - Inci Mort Data'!$B$7:$S$25,18,FALSE),IF('App4 - Life Risk Calculator'!$C$5="Lung",VLOOKUP('App4 - Life Risk Calculator'!C32,'App3 - Inci Mort Data'!$B$27:$S$45,18,FALSE),IF('App4 - Life Risk Calculator'!$C$5="Testis",VLOOKUP('App4 - Life Risk Calculator'!C32,'App3 - Inci Mort Data'!$B$47:$S$65,18,FALSE),"N/A")))))))))</f>
        <v>0</v>
      </c>
      <c r="J32" s="184"/>
      <c r="K32" s="184"/>
      <c r="L32" s="184"/>
      <c r="M32" s="184"/>
      <c r="N32" s="184"/>
      <c r="O32" s="184"/>
      <c r="P32" s="184"/>
      <c r="Q32" s="184"/>
      <c r="R32" s="184"/>
      <c r="S32" s="184"/>
      <c r="T32" s="184"/>
      <c r="U32" s="185"/>
      <c r="V32" s="185"/>
      <c r="W32" s="185"/>
      <c r="X32" s="185"/>
      <c r="Y32" s="185"/>
    </row>
    <row r="33" spans="1:25" x14ac:dyDescent="0.2">
      <c r="A33" s="184"/>
      <c r="B33" s="1493"/>
      <c r="C33" s="200" t="s">
        <v>74</v>
      </c>
      <c r="D33" s="267">
        <v>10</v>
      </c>
      <c r="E33" s="215">
        <v>10</v>
      </c>
      <c r="F33" s="203">
        <f>IF($C$5="Breast",VLOOKUP(C33,'App3 - Inci Mort Data'!$B$7:$S$25,3,FALSE),IF('App4 - Life Risk Calculator'!$C$5="Prostate",VLOOKUP('App4 - Life Risk Calculator'!C33,'App3 - Inci Mort Data'!$B$27:$S$45,3,FALSE),IF('App4 - Life Risk Calculator'!$C$5="Colorectal",VLOOKUP('App4 - Life Risk Calculator'!C33,'App3 - Inci Mort Data'!$B$47:$S$65,3,FALSE),IF('App4 - Life Risk Calculator'!$C$5="Pancreas",VLOOKUP('App4 - Life Risk Calculator'!C33,'App3 - Inci Mort Data'!$B$7:$S$25,9,FALSE),IF('App4 - Life Risk Calculator'!$C$5="Ovary",VLOOKUP('App4 - Life Risk Calculator'!C33,'App3 - Inci Mort Data'!$B$27:$S$45,9,FALSE),IF('App4 - Life Risk Calculator'!$C$5="Kidney",VLOOKUP('App4 - Life Risk Calculator'!C33,'App3 - Inci Mort Data'!$B$47:$S$65,9,FALSE),IF('App4 - Life Risk Calculator'!$C$5="CLL",VLOOKUP('App4 - Life Risk Calculator'!C33,'App3 - Inci Mort Data'!$B$7:$S$25,15,FALSE),IF('App4 - Life Risk Calculator'!$C$5="Lung",VLOOKUP('App4 - Life Risk Calculator'!C33,'App3 - Inci Mort Data'!$B$27:$S$45,15,FALSE),IF('App4 - Life Risk Calculator'!$C$5="Testis",VLOOKUP('App4 - Life Risk Calculator'!C33,'App3 - Inci Mort Data'!$B$47:$S$65,15,FALSE),"N/A")))))))))</f>
        <v>0</v>
      </c>
      <c r="G33" s="202">
        <f>IF($C$5="Breast",VLOOKUP(C33,'App3 - Inci Mort Data'!$B$7:$S$25,4,FALSE),IF('App4 - Life Risk Calculator'!$C$5="Prostate",VLOOKUP('App4 - Life Risk Calculator'!C33,'App3 - Inci Mort Data'!$B$27:$S$45,4,FALSE),IF('App4 - Life Risk Calculator'!$C$5="Colorectal",VLOOKUP('App4 - Life Risk Calculator'!C33,'App3 - Inci Mort Data'!$B$47:$S$65,4,FALSE),IF('App4 - Life Risk Calculator'!$C$5="Pancreas",VLOOKUP('App4 - Life Risk Calculator'!C33,'App3 - Inci Mort Data'!$B$7:$S$25,10,FALSE),IF('App4 - Life Risk Calculator'!$C$5="Ovary",VLOOKUP('App4 - Life Risk Calculator'!C33,'App3 - Inci Mort Data'!$B$27:$S$45,10,FALSE),IF('App4 - Life Risk Calculator'!$C$5="Kidney",VLOOKUP('App4 - Life Risk Calculator'!C33,'App3 - Inci Mort Data'!$B$47:$S$65,10,FALSE),IF('App4 - Life Risk Calculator'!$C$5="CLL",VLOOKUP('App4 - Life Risk Calculator'!C33,'App3 - Inci Mort Data'!$B$7:$S$25,16,FALSE),IF('App4 - Life Risk Calculator'!$C$5="Lung",VLOOKUP('App4 - Life Risk Calculator'!C33,'App3 - Inci Mort Data'!$B$27:$S$45,16,FALSE),IF('App4 - Life Risk Calculator'!$C$5="Testis",VLOOKUP('App4 - Life Risk Calculator'!C33,'App3 - Inci Mort Data'!$B$47:$S$65,16,FALSE),"N/A")))))))))</f>
        <v>0</v>
      </c>
      <c r="H33" s="201">
        <f>IF($C$5="Breast",VLOOKUP(C33,'App3 - Inci Mort Data'!$B$7:$S$25,5,FALSE),IF('App4 - Life Risk Calculator'!$C$5="Prostate",VLOOKUP('App4 - Life Risk Calculator'!C33,'App3 - Inci Mort Data'!$B$27:$S$45,5,FALSE),IF('App4 - Life Risk Calculator'!$C$5="Colorectal",VLOOKUP('App4 - Life Risk Calculator'!C33,'App3 - Inci Mort Data'!$B$47:$S$65,5,FALSE),IF('App4 - Life Risk Calculator'!$C$5="Pancreas",VLOOKUP('App4 - Life Risk Calculator'!C33,'App3 - Inci Mort Data'!$B$7:$S$25,11,FALSE),IF('App4 - Life Risk Calculator'!$C$5="Ovary",VLOOKUP('App4 - Life Risk Calculator'!C33,'App3 - Inci Mort Data'!$B$27:$S$45,11,FALSE),IF('App4 - Life Risk Calculator'!$C$5="Kidney",VLOOKUP('App4 - Life Risk Calculator'!C33,'App3 - Inci Mort Data'!$B$47:$S$65,11,FALSE),IF('App4 - Life Risk Calculator'!$C$5="CLL",VLOOKUP('App4 - Life Risk Calculator'!C33,'App3 - Inci Mort Data'!$B$7:$S$25,17,FALSE),IF('App4 - Life Risk Calculator'!$C$5="Lung",VLOOKUP('App4 - Life Risk Calculator'!C33,'App3 - Inci Mort Data'!$B$27:$S$45,17,FALSE),IF('App4 - Life Risk Calculator'!$C$5="Testis",VLOOKUP('App4 - Life Risk Calculator'!C33,'App3 - Inci Mort Data'!$B$47:$S$65,17,FALSE),"N/A")))))))))</f>
        <v>0.3</v>
      </c>
      <c r="I33" s="204">
        <f>IF($C$5="Breast",VLOOKUP(C33,'App3 - Inci Mort Data'!$B$7:$S$25,6,FALSE),IF('App4 - Life Risk Calculator'!$C$5="Prostate",VLOOKUP('App4 - Life Risk Calculator'!C33,'App3 - Inci Mort Data'!$B$27:$S$45,6,FALSE),IF('App4 - Life Risk Calculator'!$C$5="Colorectal",VLOOKUP('App4 - Life Risk Calculator'!C33,'App3 - Inci Mort Data'!$B$47:$S$65,6,FALSE),IF('App4 - Life Risk Calculator'!$C$5="Pancreas",VLOOKUP('App4 - Life Risk Calculator'!C33,'App3 - Inci Mort Data'!$B$7:$S$25,12,FALSE),IF('App4 - Life Risk Calculator'!$C$5="Ovary",VLOOKUP('App4 - Life Risk Calculator'!C33,'App3 - Inci Mort Data'!$B$27:$S$45,12,FALSE),IF('App4 - Life Risk Calculator'!$C$5="Kidney",VLOOKUP('App4 - Life Risk Calculator'!C33,'App3 - Inci Mort Data'!$B$47:$S$65,12,FALSE),IF('App4 - Life Risk Calculator'!$C$5="CLL",VLOOKUP('App4 - Life Risk Calculator'!C33,'App3 - Inci Mort Data'!$B$7:$S$25,18,FALSE),IF('App4 - Life Risk Calculator'!$C$5="Lung",VLOOKUP('App4 - Life Risk Calculator'!C33,'App3 - Inci Mort Data'!$B$27:$S$45,18,FALSE),IF('App4 - Life Risk Calculator'!$C$5="Testis",VLOOKUP('App4 - Life Risk Calculator'!C33,'App3 - Inci Mort Data'!$B$47:$S$65,18,FALSE),"N/A")))))))))</f>
        <v>0</v>
      </c>
      <c r="J33" s="184"/>
      <c r="K33" s="184"/>
      <c r="L33" s="184"/>
      <c r="M33" s="184"/>
      <c r="N33" s="184"/>
      <c r="O33" s="184"/>
      <c r="P33" s="184"/>
      <c r="Q33" s="184"/>
      <c r="R33" s="184"/>
      <c r="S33" s="184"/>
      <c r="T33" s="184"/>
      <c r="U33" s="185"/>
      <c r="V33" s="185"/>
      <c r="W33" s="185"/>
      <c r="X33" s="185"/>
      <c r="Y33" s="185"/>
    </row>
    <row r="34" spans="1:25" x14ac:dyDescent="0.2">
      <c r="A34" s="184"/>
      <c r="B34" s="1493"/>
      <c r="C34" s="200" t="s">
        <v>75</v>
      </c>
      <c r="D34" s="267">
        <v>30</v>
      </c>
      <c r="E34" s="215">
        <v>20</v>
      </c>
      <c r="F34" s="203">
        <f>IF($C$5="Breast",VLOOKUP(C34,'App3 - Inci Mort Data'!$B$7:$S$25,3,FALSE),IF('App4 - Life Risk Calculator'!$C$5="Prostate",VLOOKUP('App4 - Life Risk Calculator'!C34,'App3 - Inci Mort Data'!$B$27:$S$45,3,FALSE),IF('App4 - Life Risk Calculator'!$C$5="Colorectal",VLOOKUP('App4 - Life Risk Calculator'!C34,'App3 - Inci Mort Data'!$B$47:$S$65,3,FALSE),IF('App4 - Life Risk Calculator'!$C$5="Pancreas",VLOOKUP('App4 - Life Risk Calculator'!C34,'App3 - Inci Mort Data'!$B$7:$S$25,9,FALSE),IF('App4 - Life Risk Calculator'!$C$5="Ovary",VLOOKUP('App4 - Life Risk Calculator'!C34,'App3 - Inci Mort Data'!$B$27:$S$45,9,FALSE),IF('App4 - Life Risk Calculator'!$C$5="Kidney",VLOOKUP('App4 - Life Risk Calculator'!C34,'App3 - Inci Mort Data'!$B$47:$S$65,9,FALSE),IF('App4 - Life Risk Calculator'!$C$5="CLL",VLOOKUP('App4 - Life Risk Calculator'!C34,'App3 - Inci Mort Data'!$B$7:$S$25,15,FALSE),IF('App4 - Life Risk Calculator'!$C$5="Lung",VLOOKUP('App4 - Life Risk Calculator'!C34,'App3 - Inci Mort Data'!$B$27:$S$45,15,FALSE),IF('App4 - Life Risk Calculator'!$C$5="Testis",VLOOKUP('App4 - Life Risk Calculator'!C34,'App3 - Inci Mort Data'!$B$47:$S$65,15,FALSE),"N/A")))))))))</f>
        <v>0</v>
      </c>
      <c r="G34" s="202">
        <f>IF($C$5="Breast",VLOOKUP(C34,'App3 - Inci Mort Data'!$B$7:$S$25,4,FALSE),IF('App4 - Life Risk Calculator'!$C$5="Prostate",VLOOKUP('App4 - Life Risk Calculator'!C34,'App3 - Inci Mort Data'!$B$27:$S$45,4,FALSE),IF('App4 - Life Risk Calculator'!$C$5="Colorectal",VLOOKUP('App4 - Life Risk Calculator'!C34,'App3 - Inci Mort Data'!$B$47:$S$65,4,FALSE),IF('App4 - Life Risk Calculator'!$C$5="Pancreas",VLOOKUP('App4 - Life Risk Calculator'!C34,'App3 - Inci Mort Data'!$B$7:$S$25,10,FALSE),IF('App4 - Life Risk Calculator'!$C$5="Ovary",VLOOKUP('App4 - Life Risk Calculator'!C34,'App3 - Inci Mort Data'!$B$27:$S$45,10,FALSE),IF('App4 - Life Risk Calculator'!$C$5="Kidney",VLOOKUP('App4 - Life Risk Calculator'!C34,'App3 - Inci Mort Data'!$B$47:$S$65,10,FALSE),IF('App4 - Life Risk Calculator'!$C$5="CLL",VLOOKUP('App4 - Life Risk Calculator'!C34,'App3 - Inci Mort Data'!$B$7:$S$25,16,FALSE),IF('App4 - Life Risk Calculator'!$C$5="Lung",VLOOKUP('App4 - Life Risk Calculator'!C34,'App3 - Inci Mort Data'!$B$27:$S$45,16,FALSE),IF('App4 - Life Risk Calculator'!$C$5="Testis",VLOOKUP('App4 - Life Risk Calculator'!C34,'App3 - Inci Mort Data'!$B$47:$S$65,16,FALSE),"N/A")))))))))</f>
        <v>0</v>
      </c>
      <c r="H34" s="201">
        <f>IF($C$5="Breast",VLOOKUP(C34,'App3 - Inci Mort Data'!$B$7:$S$25,5,FALSE),IF('App4 - Life Risk Calculator'!$C$5="Prostate",VLOOKUP('App4 - Life Risk Calculator'!C34,'App3 - Inci Mort Data'!$B$27:$S$45,5,FALSE),IF('App4 - Life Risk Calculator'!$C$5="Colorectal",VLOOKUP('App4 - Life Risk Calculator'!C34,'App3 - Inci Mort Data'!$B$47:$S$65,5,FALSE),IF('App4 - Life Risk Calculator'!$C$5="Pancreas",VLOOKUP('App4 - Life Risk Calculator'!C34,'App3 - Inci Mort Data'!$B$7:$S$25,11,FALSE),IF('App4 - Life Risk Calculator'!$C$5="Ovary",VLOOKUP('App4 - Life Risk Calculator'!C34,'App3 - Inci Mort Data'!$B$27:$S$45,11,FALSE),IF('App4 - Life Risk Calculator'!$C$5="Kidney",VLOOKUP('App4 - Life Risk Calculator'!C34,'App3 - Inci Mort Data'!$B$47:$S$65,11,FALSE),IF('App4 - Life Risk Calculator'!$C$5="CLL",VLOOKUP('App4 - Life Risk Calculator'!C34,'App3 - Inci Mort Data'!$B$7:$S$25,17,FALSE),IF('App4 - Life Risk Calculator'!$C$5="Lung",VLOOKUP('App4 - Life Risk Calculator'!C34,'App3 - Inci Mort Data'!$B$27:$S$45,17,FALSE),IF('App4 - Life Risk Calculator'!$C$5="Testis",VLOOKUP('App4 - Life Risk Calculator'!C34,'App3 - Inci Mort Data'!$B$47:$S$65,17,FALSE),"N/A")))))))))</f>
        <v>2.6</v>
      </c>
      <c r="I34" s="204">
        <f>IF($C$5="Breast",VLOOKUP(C34,'App3 - Inci Mort Data'!$B$7:$S$25,6,FALSE),IF('App4 - Life Risk Calculator'!$C$5="Prostate",VLOOKUP('App4 - Life Risk Calculator'!C34,'App3 - Inci Mort Data'!$B$27:$S$45,6,FALSE),IF('App4 - Life Risk Calculator'!$C$5="Colorectal",VLOOKUP('App4 - Life Risk Calculator'!C34,'App3 - Inci Mort Data'!$B$47:$S$65,6,FALSE),IF('App4 - Life Risk Calculator'!$C$5="Pancreas",VLOOKUP('App4 - Life Risk Calculator'!C34,'App3 - Inci Mort Data'!$B$7:$S$25,12,FALSE),IF('App4 - Life Risk Calculator'!$C$5="Ovary",VLOOKUP('App4 - Life Risk Calculator'!C34,'App3 - Inci Mort Data'!$B$27:$S$45,12,FALSE),IF('App4 - Life Risk Calculator'!$C$5="Kidney",VLOOKUP('App4 - Life Risk Calculator'!C34,'App3 - Inci Mort Data'!$B$47:$S$65,12,FALSE),IF('App4 - Life Risk Calculator'!$C$5="CLL",VLOOKUP('App4 - Life Risk Calculator'!C34,'App3 - Inci Mort Data'!$B$7:$S$25,18,FALSE),IF('App4 - Life Risk Calculator'!$C$5="Lung",VLOOKUP('App4 - Life Risk Calculator'!C34,'App3 - Inci Mort Data'!$B$27:$S$45,18,FALSE),IF('App4 - Life Risk Calculator'!$C$5="Testis",VLOOKUP('App4 - Life Risk Calculator'!C34,'App3 - Inci Mort Data'!$B$47:$S$65,18,FALSE),"N/A")))))))))</f>
        <v>0</v>
      </c>
      <c r="J34" s="184"/>
      <c r="K34" s="184"/>
      <c r="L34" s="184"/>
      <c r="M34" s="184"/>
      <c r="N34" s="184"/>
      <c r="O34" s="184"/>
      <c r="P34" s="184"/>
      <c r="Q34" s="184"/>
      <c r="R34" s="184"/>
      <c r="S34" s="184"/>
      <c r="T34" s="184"/>
      <c r="U34" s="185"/>
      <c r="V34" s="185"/>
      <c r="W34" s="185"/>
      <c r="X34" s="185"/>
      <c r="Y34" s="185"/>
    </row>
    <row r="35" spans="1:25" x14ac:dyDescent="0.2">
      <c r="A35" s="184"/>
      <c r="B35" s="1493"/>
      <c r="C35" s="200" t="s">
        <v>76</v>
      </c>
      <c r="D35" s="267">
        <v>50</v>
      </c>
      <c r="E35" s="215">
        <v>20</v>
      </c>
      <c r="F35" s="203">
        <f>IF($C$5="Breast",VLOOKUP(C35,'App3 - Inci Mort Data'!$B$7:$S$25,3,FALSE),IF('App4 - Life Risk Calculator'!$C$5="Prostate",VLOOKUP('App4 - Life Risk Calculator'!C35,'App3 - Inci Mort Data'!$B$27:$S$45,3,FALSE),IF('App4 - Life Risk Calculator'!$C$5="Colorectal",VLOOKUP('App4 - Life Risk Calculator'!C35,'App3 - Inci Mort Data'!$B$47:$S$65,3,FALSE),IF('App4 - Life Risk Calculator'!$C$5="Pancreas",VLOOKUP('App4 - Life Risk Calculator'!C35,'App3 - Inci Mort Data'!$B$7:$S$25,9,FALSE),IF('App4 - Life Risk Calculator'!$C$5="Ovary",VLOOKUP('App4 - Life Risk Calculator'!C35,'App3 - Inci Mort Data'!$B$27:$S$45,9,FALSE),IF('App4 - Life Risk Calculator'!$C$5="Kidney",VLOOKUP('App4 - Life Risk Calculator'!C35,'App3 - Inci Mort Data'!$B$47:$S$65,9,FALSE),IF('App4 - Life Risk Calculator'!$C$5="CLL",VLOOKUP('App4 - Life Risk Calculator'!C35,'App3 - Inci Mort Data'!$B$7:$S$25,15,FALSE),IF('App4 - Life Risk Calculator'!$C$5="Lung",VLOOKUP('App4 - Life Risk Calculator'!C35,'App3 - Inci Mort Data'!$B$27:$S$45,15,FALSE),IF('App4 - Life Risk Calculator'!$C$5="Testis",VLOOKUP('App4 - Life Risk Calculator'!C35,'App3 - Inci Mort Data'!$B$47:$S$65,15,FALSE),"N/A")))))))))</f>
        <v>0.1</v>
      </c>
      <c r="G35" s="202">
        <f>IF($C$5="Breast",VLOOKUP(C35,'App3 - Inci Mort Data'!$B$7:$S$25,4,FALSE),IF('App4 - Life Risk Calculator'!$C$5="Prostate",VLOOKUP('App4 - Life Risk Calculator'!C35,'App3 - Inci Mort Data'!$B$27:$S$45,4,FALSE),IF('App4 - Life Risk Calculator'!$C$5="Colorectal",VLOOKUP('App4 - Life Risk Calculator'!C35,'App3 - Inci Mort Data'!$B$47:$S$65,4,FALSE),IF('App4 - Life Risk Calculator'!$C$5="Pancreas",VLOOKUP('App4 - Life Risk Calculator'!C35,'App3 - Inci Mort Data'!$B$7:$S$25,10,FALSE),IF('App4 - Life Risk Calculator'!$C$5="Ovary",VLOOKUP('App4 - Life Risk Calculator'!C35,'App3 - Inci Mort Data'!$B$27:$S$45,10,FALSE),IF('App4 - Life Risk Calculator'!$C$5="Kidney",VLOOKUP('App4 - Life Risk Calculator'!C35,'App3 - Inci Mort Data'!$B$47:$S$65,10,FALSE),IF('App4 - Life Risk Calculator'!$C$5="CLL",VLOOKUP('App4 - Life Risk Calculator'!C35,'App3 - Inci Mort Data'!$B$7:$S$25,16,FALSE),IF('App4 - Life Risk Calculator'!$C$5="Lung",VLOOKUP('App4 - Life Risk Calculator'!C35,'App3 - Inci Mort Data'!$B$27:$S$45,16,FALSE),IF('App4 - Life Risk Calculator'!$C$5="Testis",VLOOKUP('App4 - Life Risk Calculator'!C35,'App3 - Inci Mort Data'!$B$47:$S$65,16,FALSE),"N/A")))))))))</f>
        <v>0</v>
      </c>
      <c r="H35" s="201">
        <f>IF($C$5="Breast",VLOOKUP(C35,'App3 - Inci Mort Data'!$B$7:$S$25,5,FALSE),IF('App4 - Life Risk Calculator'!$C$5="Prostate",VLOOKUP('App4 - Life Risk Calculator'!C35,'App3 - Inci Mort Data'!$B$27:$S$45,5,FALSE),IF('App4 - Life Risk Calculator'!$C$5="Colorectal",VLOOKUP('App4 - Life Risk Calculator'!C35,'App3 - Inci Mort Data'!$B$47:$S$65,5,FALSE),IF('App4 - Life Risk Calculator'!$C$5="Pancreas",VLOOKUP('App4 - Life Risk Calculator'!C35,'App3 - Inci Mort Data'!$B$7:$S$25,11,FALSE),IF('App4 - Life Risk Calculator'!$C$5="Ovary",VLOOKUP('App4 - Life Risk Calculator'!C35,'App3 - Inci Mort Data'!$B$27:$S$45,11,FALSE),IF('App4 - Life Risk Calculator'!$C$5="Kidney",VLOOKUP('App4 - Life Risk Calculator'!C35,'App3 - Inci Mort Data'!$B$47:$S$65,11,FALSE),IF('App4 - Life Risk Calculator'!$C$5="CLL",VLOOKUP('App4 - Life Risk Calculator'!C35,'App3 - Inci Mort Data'!$B$7:$S$25,17,FALSE),IF('App4 - Life Risk Calculator'!$C$5="Lung",VLOOKUP('App4 - Life Risk Calculator'!C35,'App3 - Inci Mort Data'!$B$27:$S$45,17,FALSE),IF('App4 - Life Risk Calculator'!$C$5="Testis",VLOOKUP('App4 - Life Risk Calculator'!C35,'App3 - Inci Mort Data'!$B$47:$S$65,17,FALSE),"N/A")))))))))</f>
        <v>9.3000000000000007</v>
      </c>
      <c r="I35" s="204">
        <f>IF($C$5="Breast",VLOOKUP(C35,'App3 - Inci Mort Data'!$B$7:$S$25,6,FALSE),IF('App4 - Life Risk Calculator'!$C$5="Prostate",VLOOKUP('App4 - Life Risk Calculator'!C35,'App3 - Inci Mort Data'!$B$27:$S$45,6,FALSE),IF('App4 - Life Risk Calculator'!$C$5="Colorectal",VLOOKUP('App4 - Life Risk Calculator'!C35,'App3 - Inci Mort Data'!$B$47:$S$65,6,FALSE),IF('App4 - Life Risk Calculator'!$C$5="Pancreas",VLOOKUP('App4 - Life Risk Calculator'!C35,'App3 - Inci Mort Data'!$B$7:$S$25,12,FALSE),IF('App4 - Life Risk Calculator'!$C$5="Ovary",VLOOKUP('App4 - Life Risk Calculator'!C35,'App3 - Inci Mort Data'!$B$27:$S$45,12,FALSE),IF('App4 - Life Risk Calculator'!$C$5="Kidney",VLOOKUP('App4 - Life Risk Calculator'!C35,'App3 - Inci Mort Data'!$B$47:$S$65,12,FALSE),IF('App4 - Life Risk Calculator'!$C$5="CLL",VLOOKUP('App4 - Life Risk Calculator'!C35,'App3 - Inci Mort Data'!$B$7:$S$25,18,FALSE),IF('App4 - Life Risk Calculator'!$C$5="Lung",VLOOKUP('App4 - Life Risk Calculator'!C35,'App3 - Inci Mort Data'!$B$27:$S$45,18,FALSE),IF('App4 - Life Risk Calculator'!$C$5="Testis",VLOOKUP('App4 - Life Risk Calculator'!C35,'App3 - Inci Mort Data'!$B$47:$S$65,18,FALSE),"N/A")))))))))</f>
        <v>0</v>
      </c>
      <c r="J35" s="184"/>
      <c r="K35" s="184"/>
      <c r="L35" s="184"/>
      <c r="M35" s="184"/>
      <c r="N35" s="184"/>
      <c r="O35" s="184"/>
      <c r="P35" s="184"/>
      <c r="Q35" s="184"/>
      <c r="R35" s="184"/>
      <c r="S35" s="184"/>
      <c r="T35" s="184"/>
      <c r="U35" s="185"/>
      <c r="V35" s="185"/>
      <c r="W35" s="185"/>
      <c r="X35" s="185"/>
      <c r="Y35" s="185"/>
    </row>
    <row r="36" spans="1:25" x14ac:dyDescent="0.2">
      <c r="A36" s="184"/>
      <c r="B36" s="1493"/>
      <c r="C36" s="200" t="s">
        <v>77</v>
      </c>
      <c r="D36" s="267">
        <v>60</v>
      </c>
      <c r="E36" s="215">
        <v>30</v>
      </c>
      <c r="F36" s="203">
        <f>IF($C$5="Breast",VLOOKUP(C36,'App3 - Inci Mort Data'!$B$7:$S$25,3,FALSE),IF('App4 - Life Risk Calculator'!$C$5="Prostate",VLOOKUP('App4 - Life Risk Calculator'!C36,'App3 - Inci Mort Data'!$B$27:$S$45,3,FALSE),IF('App4 - Life Risk Calculator'!$C$5="Colorectal",VLOOKUP('App4 - Life Risk Calculator'!C36,'App3 - Inci Mort Data'!$B$47:$S$65,3,FALSE),IF('App4 - Life Risk Calculator'!$C$5="Pancreas",VLOOKUP('App4 - Life Risk Calculator'!C36,'App3 - Inci Mort Data'!$B$7:$S$25,9,FALSE),IF('App4 - Life Risk Calculator'!$C$5="Ovary",VLOOKUP('App4 - Life Risk Calculator'!C36,'App3 - Inci Mort Data'!$B$27:$S$45,9,FALSE),IF('App4 - Life Risk Calculator'!$C$5="Kidney",VLOOKUP('App4 - Life Risk Calculator'!C36,'App3 - Inci Mort Data'!$B$47:$S$65,9,FALSE),IF('App4 - Life Risk Calculator'!$C$5="CLL",VLOOKUP('App4 - Life Risk Calculator'!C36,'App3 - Inci Mort Data'!$B$7:$S$25,15,FALSE),IF('App4 - Life Risk Calculator'!$C$5="Lung",VLOOKUP('App4 - Life Risk Calculator'!C36,'App3 - Inci Mort Data'!$B$27:$S$45,15,FALSE),IF('App4 - Life Risk Calculator'!$C$5="Testis",VLOOKUP('App4 - Life Risk Calculator'!C36,'App3 - Inci Mort Data'!$B$47:$S$65,15,FALSE),"N/A")))))))))</f>
        <v>0.2</v>
      </c>
      <c r="G36" s="202">
        <f>IF($C$5="Breast",VLOOKUP(C36,'App3 - Inci Mort Data'!$B$7:$S$25,4,FALSE),IF('App4 - Life Risk Calculator'!$C$5="Prostate",VLOOKUP('App4 - Life Risk Calculator'!C36,'App3 - Inci Mort Data'!$B$27:$S$45,4,FALSE),IF('App4 - Life Risk Calculator'!$C$5="Colorectal",VLOOKUP('App4 - Life Risk Calculator'!C36,'App3 - Inci Mort Data'!$B$47:$S$65,4,FALSE),IF('App4 - Life Risk Calculator'!$C$5="Pancreas",VLOOKUP('App4 - Life Risk Calculator'!C36,'App3 - Inci Mort Data'!$B$7:$S$25,10,FALSE),IF('App4 - Life Risk Calculator'!$C$5="Ovary",VLOOKUP('App4 - Life Risk Calculator'!C36,'App3 - Inci Mort Data'!$B$27:$S$45,10,FALSE),IF('App4 - Life Risk Calculator'!$C$5="Kidney",VLOOKUP('App4 - Life Risk Calculator'!C36,'App3 - Inci Mort Data'!$B$47:$S$65,10,FALSE),IF('App4 - Life Risk Calculator'!$C$5="CLL",VLOOKUP('App4 - Life Risk Calculator'!C36,'App3 - Inci Mort Data'!$B$7:$S$25,16,FALSE),IF('App4 - Life Risk Calculator'!$C$5="Lung",VLOOKUP('App4 - Life Risk Calculator'!C36,'App3 - Inci Mort Data'!$B$27:$S$45,16,FALSE),IF('App4 - Life Risk Calculator'!$C$5="Testis",VLOOKUP('App4 - Life Risk Calculator'!C36,'App3 - Inci Mort Data'!$B$47:$S$65,16,FALSE),"N/A")))))))))</f>
        <v>0</v>
      </c>
      <c r="H36" s="201">
        <f>IF($C$5="Breast",VLOOKUP(C36,'App3 - Inci Mort Data'!$B$7:$S$25,5,FALSE),IF('App4 - Life Risk Calculator'!$C$5="Prostate",VLOOKUP('App4 - Life Risk Calculator'!C36,'App3 - Inci Mort Data'!$B$27:$S$45,5,FALSE),IF('App4 - Life Risk Calculator'!$C$5="Colorectal",VLOOKUP('App4 - Life Risk Calculator'!C36,'App3 - Inci Mort Data'!$B$47:$S$65,5,FALSE),IF('App4 - Life Risk Calculator'!$C$5="Pancreas",VLOOKUP('App4 - Life Risk Calculator'!C36,'App3 - Inci Mort Data'!$B$7:$S$25,11,FALSE),IF('App4 - Life Risk Calculator'!$C$5="Ovary",VLOOKUP('App4 - Life Risk Calculator'!C36,'App3 - Inci Mort Data'!$B$27:$S$45,11,FALSE),IF('App4 - Life Risk Calculator'!$C$5="Kidney",VLOOKUP('App4 - Life Risk Calculator'!C36,'App3 - Inci Mort Data'!$B$47:$S$65,11,FALSE),IF('App4 - Life Risk Calculator'!$C$5="CLL",VLOOKUP('App4 - Life Risk Calculator'!C36,'App3 - Inci Mort Data'!$B$7:$S$25,17,FALSE),IF('App4 - Life Risk Calculator'!$C$5="Lung",VLOOKUP('App4 - Life Risk Calculator'!C36,'App3 - Inci Mort Data'!$B$27:$S$45,17,FALSE),IF('App4 - Life Risk Calculator'!$C$5="Testis",VLOOKUP('App4 - Life Risk Calculator'!C36,'App3 - Inci Mort Data'!$B$47:$S$65,17,FALSE),"N/A")))))))))</f>
        <v>15.5</v>
      </c>
      <c r="I36" s="204">
        <f>IF($C$5="Breast",VLOOKUP(C36,'App3 - Inci Mort Data'!$B$7:$S$25,6,FALSE),IF('App4 - Life Risk Calculator'!$C$5="Prostate",VLOOKUP('App4 - Life Risk Calculator'!C36,'App3 - Inci Mort Data'!$B$27:$S$45,6,FALSE),IF('App4 - Life Risk Calculator'!$C$5="Colorectal",VLOOKUP('App4 - Life Risk Calculator'!C36,'App3 - Inci Mort Data'!$B$47:$S$65,6,FALSE),IF('App4 - Life Risk Calculator'!$C$5="Pancreas",VLOOKUP('App4 - Life Risk Calculator'!C36,'App3 - Inci Mort Data'!$B$7:$S$25,12,FALSE),IF('App4 - Life Risk Calculator'!$C$5="Ovary",VLOOKUP('App4 - Life Risk Calculator'!C36,'App3 - Inci Mort Data'!$B$27:$S$45,12,FALSE),IF('App4 - Life Risk Calculator'!$C$5="Kidney",VLOOKUP('App4 - Life Risk Calculator'!C36,'App3 - Inci Mort Data'!$B$47:$S$65,12,FALSE),IF('App4 - Life Risk Calculator'!$C$5="CLL",VLOOKUP('App4 - Life Risk Calculator'!C36,'App3 - Inci Mort Data'!$B$7:$S$25,18,FALSE),IF('App4 - Life Risk Calculator'!$C$5="Lung",VLOOKUP('App4 - Life Risk Calculator'!C36,'App3 - Inci Mort Data'!$B$27:$S$45,18,FALSE),IF('App4 - Life Risk Calculator'!$C$5="Testis",VLOOKUP('App4 - Life Risk Calculator'!C36,'App3 - Inci Mort Data'!$B$47:$S$65,18,FALSE),"N/A")))))))))</f>
        <v>0</v>
      </c>
      <c r="J36" s="184"/>
      <c r="K36" s="184"/>
      <c r="L36" s="184"/>
      <c r="M36" s="184"/>
      <c r="N36" s="184"/>
      <c r="O36" s="184"/>
      <c r="P36" s="184"/>
      <c r="Q36" s="184"/>
      <c r="R36" s="184"/>
      <c r="S36" s="184"/>
      <c r="T36" s="184"/>
      <c r="U36" s="185"/>
      <c r="V36" s="185"/>
      <c r="W36" s="185"/>
      <c r="X36" s="185"/>
      <c r="Y36" s="185"/>
    </row>
    <row r="37" spans="1:25" x14ac:dyDescent="0.2">
      <c r="A37" s="184"/>
      <c r="B37" s="1493"/>
      <c r="C37" s="200" t="s">
        <v>78</v>
      </c>
      <c r="D37" s="267">
        <v>80</v>
      </c>
      <c r="E37" s="215">
        <v>40</v>
      </c>
      <c r="F37" s="203">
        <f>IF($C$5="Breast",VLOOKUP(C37,'App3 - Inci Mort Data'!$B$7:$S$25,3,FALSE),IF('App4 - Life Risk Calculator'!$C$5="Prostate",VLOOKUP('App4 - Life Risk Calculator'!C37,'App3 - Inci Mort Data'!$B$27:$S$45,3,FALSE),IF('App4 - Life Risk Calculator'!$C$5="Colorectal",VLOOKUP('App4 - Life Risk Calculator'!C37,'App3 - Inci Mort Data'!$B$47:$S$65,3,FALSE),IF('App4 - Life Risk Calculator'!$C$5="Pancreas",VLOOKUP('App4 - Life Risk Calculator'!C37,'App3 - Inci Mort Data'!$B$7:$S$25,9,FALSE),IF('App4 - Life Risk Calculator'!$C$5="Ovary",VLOOKUP('App4 - Life Risk Calculator'!C37,'App3 - Inci Mort Data'!$B$27:$S$45,9,FALSE),IF('App4 - Life Risk Calculator'!$C$5="Kidney",VLOOKUP('App4 - Life Risk Calculator'!C37,'App3 - Inci Mort Data'!$B$47:$S$65,9,FALSE),IF('App4 - Life Risk Calculator'!$C$5="CLL",VLOOKUP('App4 - Life Risk Calculator'!C37,'App3 - Inci Mort Data'!$B$7:$S$25,15,FALSE),IF('App4 - Life Risk Calculator'!$C$5="Lung",VLOOKUP('App4 - Life Risk Calculator'!C37,'App3 - Inci Mort Data'!$B$27:$S$45,15,FALSE),IF('App4 - Life Risk Calculator'!$C$5="Testis",VLOOKUP('App4 - Life Risk Calculator'!C37,'App3 - Inci Mort Data'!$B$47:$S$65,15,FALSE),"N/A")))))))))</f>
        <v>0.4</v>
      </c>
      <c r="G37" s="202">
        <f>IF($C$5="Breast",VLOOKUP(C37,'App3 - Inci Mort Data'!$B$7:$S$25,4,FALSE),IF('App4 - Life Risk Calculator'!$C$5="Prostate",VLOOKUP('App4 - Life Risk Calculator'!C37,'App3 - Inci Mort Data'!$B$27:$S$45,4,FALSE),IF('App4 - Life Risk Calculator'!$C$5="Colorectal",VLOOKUP('App4 - Life Risk Calculator'!C37,'App3 - Inci Mort Data'!$B$47:$S$65,4,FALSE),IF('App4 - Life Risk Calculator'!$C$5="Pancreas",VLOOKUP('App4 - Life Risk Calculator'!C37,'App3 - Inci Mort Data'!$B$7:$S$25,10,FALSE),IF('App4 - Life Risk Calculator'!$C$5="Ovary",VLOOKUP('App4 - Life Risk Calculator'!C37,'App3 - Inci Mort Data'!$B$27:$S$45,10,FALSE),IF('App4 - Life Risk Calculator'!$C$5="Kidney",VLOOKUP('App4 - Life Risk Calculator'!C37,'App3 - Inci Mort Data'!$B$47:$S$65,10,FALSE),IF('App4 - Life Risk Calculator'!$C$5="CLL",VLOOKUP('App4 - Life Risk Calculator'!C37,'App3 - Inci Mort Data'!$B$7:$S$25,16,FALSE),IF('App4 - Life Risk Calculator'!$C$5="Lung",VLOOKUP('App4 - Life Risk Calculator'!C37,'App3 - Inci Mort Data'!$B$27:$S$45,16,FALSE),IF('App4 - Life Risk Calculator'!$C$5="Testis",VLOOKUP('App4 - Life Risk Calculator'!C37,'App3 - Inci Mort Data'!$B$47:$S$65,16,FALSE),"N/A")))))))))</f>
        <v>0</v>
      </c>
      <c r="H37" s="201">
        <f>IF($C$5="Breast",VLOOKUP(C37,'App3 - Inci Mort Data'!$B$7:$S$25,5,FALSE),IF('App4 - Life Risk Calculator'!$C$5="Prostate",VLOOKUP('App4 - Life Risk Calculator'!C37,'App3 - Inci Mort Data'!$B$27:$S$45,5,FALSE),IF('App4 - Life Risk Calculator'!$C$5="Colorectal",VLOOKUP('App4 - Life Risk Calculator'!C37,'App3 - Inci Mort Data'!$B$47:$S$65,5,FALSE),IF('App4 - Life Risk Calculator'!$C$5="Pancreas",VLOOKUP('App4 - Life Risk Calculator'!C37,'App3 - Inci Mort Data'!$B$7:$S$25,11,FALSE),IF('App4 - Life Risk Calculator'!$C$5="Ovary",VLOOKUP('App4 - Life Risk Calculator'!C37,'App3 - Inci Mort Data'!$B$27:$S$45,11,FALSE),IF('App4 - Life Risk Calculator'!$C$5="Kidney",VLOOKUP('App4 - Life Risk Calculator'!C37,'App3 - Inci Mort Data'!$B$47:$S$65,11,FALSE),IF('App4 - Life Risk Calculator'!$C$5="CLL",VLOOKUP('App4 - Life Risk Calculator'!C37,'App3 - Inci Mort Data'!$B$7:$S$25,17,FALSE),IF('App4 - Life Risk Calculator'!$C$5="Lung",VLOOKUP('App4 - Life Risk Calculator'!C37,'App3 - Inci Mort Data'!$B$27:$S$45,17,FALSE),IF('App4 - Life Risk Calculator'!$C$5="Testis",VLOOKUP('App4 - Life Risk Calculator'!C37,'App3 - Inci Mort Data'!$B$47:$S$65,17,FALSE),"N/A")))))))))</f>
        <v>20.399999999999999</v>
      </c>
      <c r="I37" s="204">
        <f>IF($C$5="Breast",VLOOKUP(C37,'App3 - Inci Mort Data'!$B$7:$S$25,6,FALSE),IF('App4 - Life Risk Calculator'!$C$5="Prostate",VLOOKUP('App4 - Life Risk Calculator'!C37,'App3 - Inci Mort Data'!$B$27:$S$45,6,FALSE),IF('App4 - Life Risk Calculator'!$C$5="Colorectal",VLOOKUP('App4 - Life Risk Calculator'!C37,'App3 - Inci Mort Data'!$B$47:$S$65,6,FALSE),IF('App4 - Life Risk Calculator'!$C$5="Pancreas",VLOOKUP('App4 - Life Risk Calculator'!C37,'App3 - Inci Mort Data'!$B$7:$S$25,12,FALSE),IF('App4 - Life Risk Calculator'!$C$5="Ovary",VLOOKUP('App4 - Life Risk Calculator'!C37,'App3 - Inci Mort Data'!$B$27:$S$45,12,FALSE),IF('App4 - Life Risk Calculator'!$C$5="Kidney",VLOOKUP('App4 - Life Risk Calculator'!C37,'App3 - Inci Mort Data'!$B$47:$S$65,12,FALSE),IF('App4 - Life Risk Calculator'!$C$5="CLL",VLOOKUP('App4 - Life Risk Calculator'!C37,'App3 - Inci Mort Data'!$B$7:$S$25,18,FALSE),IF('App4 - Life Risk Calculator'!$C$5="Lung",VLOOKUP('App4 - Life Risk Calculator'!C37,'App3 - Inci Mort Data'!$B$27:$S$45,18,FALSE),IF('App4 - Life Risk Calculator'!$C$5="Testis",VLOOKUP('App4 - Life Risk Calculator'!C37,'App3 - Inci Mort Data'!$B$47:$S$65,18,FALSE),"N/A")))))))))</f>
        <v>0</v>
      </c>
      <c r="J37" s="184"/>
      <c r="K37" s="184"/>
      <c r="L37" s="184"/>
      <c r="M37" s="184"/>
      <c r="N37" s="184"/>
      <c r="O37" s="184"/>
      <c r="P37" s="184"/>
      <c r="Q37" s="184"/>
      <c r="R37" s="184"/>
      <c r="S37" s="184"/>
      <c r="T37" s="184"/>
      <c r="U37" s="185"/>
      <c r="V37" s="185"/>
      <c r="W37" s="185"/>
      <c r="X37" s="185"/>
      <c r="Y37" s="185"/>
    </row>
    <row r="38" spans="1:25" x14ac:dyDescent="0.2">
      <c r="A38" s="184"/>
      <c r="B38" s="1493"/>
      <c r="C38" s="200" t="s">
        <v>79</v>
      </c>
      <c r="D38" s="267">
        <v>120</v>
      </c>
      <c r="E38" s="215">
        <v>70</v>
      </c>
      <c r="F38" s="203">
        <f>IF($C$5="Breast",VLOOKUP(C38,'App3 - Inci Mort Data'!$B$7:$S$25,3,FALSE),IF('App4 - Life Risk Calculator'!$C$5="Prostate",VLOOKUP('App4 - Life Risk Calculator'!C38,'App3 - Inci Mort Data'!$B$27:$S$45,3,FALSE),IF('App4 - Life Risk Calculator'!$C$5="Colorectal",VLOOKUP('App4 - Life Risk Calculator'!C38,'App3 - Inci Mort Data'!$B$47:$S$65,3,FALSE),IF('App4 - Life Risk Calculator'!$C$5="Pancreas",VLOOKUP('App4 - Life Risk Calculator'!C38,'App3 - Inci Mort Data'!$B$7:$S$25,9,FALSE),IF('App4 - Life Risk Calculator'!$C$5="Ovary",VLOOKUP('App4 - Life Risk Calculator'!C38,'App3 - Inci Mort Data'!$B$27:$S$45,9,FALSE),IF('App4 - Life Risk Calculator'!$C$5="Kidney",VLOOKUP('App4 - Life Risk Calculator'!C38,'App3 - Inci Mort Data'!$B$47:$S$65,9,FALSE),IF('App4 - Life Risk Calculator'!$C$5="CLL",VLOOKUP('App4 - Life Risk Calculator'!C38,'App3 - Inci Mort Data'!$B$7:$S$25,15,FALSE),IF('App4 - Life Risk Calculator'!$C$5="Lung",VLOOKUP('App4 - Life Risk Calculator'!C38,'App3 - Inci Mort Data'!$B$27:$S$45,15,FALSE),IF('App4 - Life Risk Calculator'!$C$5="Testis",VLOOKUP('App4 - Life Risk Calculator'!C38,'App3 - Inci Mort Data'!$B$47:$S$65,15,FALSE),"N/A")))))))))</f>
        <v>0.2</v>
      </c>
      <c r="G38" s="202">
        <f>IF($C$5="Breast",VLOOKUP(C38,'App3 - Inci Mort Data'!$B$7:$S$25,4,FALSE),IF('App4 - Life Risk Calculator'!$C$5="Prostate",VLOOKUP('App4 - Life Risk Calculator'!C38,'App3 - Inci Mort Data'!$B$27:$S$45,4,FALSE),IF('App4 - Life Risk Calculator'!$C$5="Colorectal",VLOOKUP('App4 - Life Risk Calculator'!C38,'App3 - Inci Mort Data'!$B$47:$S$65,4,FALSE),IF('App4 - Life Risk Calculator'!$C$5="Pancreas",VLOOKUP('App4 - Life Risk Calculator'!C38,'App3 - Inci Mort Data'!$B$7:$S$25,10,FALSE),IF('App4 - Life Risk Calculator'!$C$5="Ovary",VLOOKUP('App4 - Life Risk Calculator'!C38,'App3 - Inci Mort Data'!$B$27:$S$45,10,FALSE),IF('App4 - Life Risk Calculator'!$C$5="Kidney",VLOOKUP('App4 - Life Risk Calculator'!C38,'App3 - Inci Mort Data'!$B$47:$S$65,10,FALSE),IF('App4 - Life Risk Calculator'!$C$5="CLL",VLOOKUP('App4 - Life Risk Calculator'!C38,'App3 - Inci Mort Data'!$B$7:$S$25,16,FALSE),IF('App4 - Life Risk Calculator'!$C$5="Lung",VLOOKUP('App4 - Life Risk Calculator'!C38,'App3 - Inci Mort Data'!$B$27:$S$45,16,FALSE),IF('App4 - Life Risk Calculator'!$C$5="Testis",VLOOKUP('App4 - Life Risk Calculator'!C38,'App3 - Inci Mort Data'!$B$47:$S$65,16,FALSE),"N/A")))))))))</f>
        <v>0</v>
      </c>
      <c r="H38" s="201">
        <f>IF($C$5="Breast",VLOOKUP(C38,'App3 - Inci Mort Data'!$B$7:$S$25,5,FALSE),IF('App4 - Life Risk Calculator'!$C$5="Prostate",VLOOKUP('App4 - Life Risk Calculator'!C38,'App3 - Inci Mort Data'!$B$27:$S$45,5,FALSE),IF('App4 - Life Risk Calculator'!$C$5="Colorectal",VLOOKUP('App4 - Life Risk Calculator'!C38,'App3 - Inci Mort Data'!$B$47:$S$65,5,FALSE),IF('App4 - Life Risk Calculator'!$C$5="Pancreas",VLOOKUP('App4 - Life Risk Calculator'!C38,'App3 - Inci Mort Data'!$B$7:$S$25,11,FALSE),IF('App4 - Life Risk Calculator'!$C$5="Ovary",VLOOKUP('App4 - Life Risk Calculator'!C38,'App3 - Inci Mort Data'!$B$27:$S$45,11,FALSE),IF('App4 - Life Risk Calculator'!$C$5="Kidney",VLOOKUP('App4 - Life Risk Calculator'!C38,'App3 - Inci Mort Data'!$B$47:$S$65,11,FALSE),IF('App4 - Life Risk Calculator'!$C$5="CLL",VLOOKUP('App4 - Life Risk Calculator'!C38,'App3 - Inci Mort Data'!$B$7:$S$25,17,FALSE),IF('App4 - Life Risk Calculator'!$C$5="Lung",VLOOKUP('App4 - Life Risk Calculator'!C38,'App3 - Inci Mort Data'!$B$27:$S$45,17,FALSE),IF('App4 - Life Risk Calculator'!$C$5="Testis",VLOOKUP('App4 - Life Risk Calculator'!C38,'App3 - Inci Mort Data'!$B$47:$S$65,17,FALSE),"N/A")))))))))</f>
        <v>18.8</v>
      </c>
      <c r="I38" s="204">
        <f>IF($C$5="Breast",VLOOKUP(C38,'App3 - Inci Mort Data'!$B$7:$S$25,6,FALSE),IF('App4 - Life Risk Calculator'!$C$5="Prostate",VLOOKUP('App4 - Life Risk Calculator'!C38,'App3 - Inci Mort Data'!$B$27:$S$45,6,FALSE),IF('App4 - Life Risk Calculator'!$C$5="Colorectal",VLOOKUP('App4 - Life Risk Calculator'!C38,'App3 - Inci Mort Data'!$B$47:$S$65,6,FALSE),IF('App4 - Life Risk Calculator'!$C$5="Pancreas",VLOOKUP('App4 - Life Risk Calculator'!C38,'App3 - Inci Mort Data'!$B$7:$S$25,12,FALSE),IF('App4 - Life Risk Calculator'!$C$5="Ovary",VLOOKUP('App4 - Life Risk Calculator'!C38,'App3 - Inci Mort Data'!$B$27:$S$45,12,FALSE),IF('App4 - Life Risk Calculator'!$C$5="Kidney",VLOOKUP('App4 - Life Risk Calculator'!C38,'App3 - Inci Mort Data'!$B$47:$S$65,12,FALSE),IF('App4 - Life Risk Calculator'!$C$5="CLL",VLOOKUP('App4 - Life Risk Calculator'!C38,'App3 - Inci Mort Data'!$B$7:$S$25,18,FALSE),IF('App4 - Life Risk Calculator'!$C$5="Lung",VLOOKUP('App4 - Life Risk Calculator'!C38,'App3 - Inci Mort Data'!$B$27:$S$45,18,FALSE),IF('App4 - Life Risk Calculator'!$C$5="Testis",VLOOKUP('App4 - Life Risk Calculator'!C38,'App3 - Inci Mort Data'!$B$47:$S$65,18,FALSE),"N/A")))))))))</f>
        <v>0</v>
      </c>
      <c r="J38" s="184"/>
      <c r="K38" s="184"/>
      <c r="L38" s="184"/>
      <c r="M38" s="184"/>
      <c r="N38" s="184"/>
      <c r="O38" s="184"/>
      <c r="P38" s="184"/>
      <c r="Q38" s="184"/>
      <c r="R38" s="184"/>
      <c r="S38" s="184"/>
      <c r="T38" s="184"/>
      <c r="U38" s="185"/>
      <c r="V38" s="185"/>
      <c r="W38" s="185"/>
      <c r="X38" s="185"/>
      <c r="Y38" s="185"/>
    </row>
    <row r="39" spans="1:25" x14ac:dyDescent="0.2">
      <c r="A39" s="184"/>
      <c r="B39" s="1493"/>
      <c r="C39" s="200" t="s">
        <v>80</v>
      </c>
      <c r="D39" s="267">
        <v>180</v>
      </c>
      <c r="E39" s="215">
        <v>100</v>
      </c>
      <c r="F39" s="203">
        <f>IF($C$5="Breast",VLOOKUP(C39,'App3 - Inci Mort Data'!$B$7:$S$25,3,FALSE),IF('App4 - Life Risk Calculator'!$C$5="Prostate",VLOOKUP('App4 - Life Risk Calculator'!C39,'App3 - Inci Mort Data'!$B$27:$S$45,3,FALSE),IF('App4 - Life Risk Calculator'!$C$5="Colorectal",VLOOKUP('App4 - Life Risk Calculator'!C39,'App3 - Inci Mort Data'!$B$47:$S$65,3,FALSE),IF('App4 - Life Risk Calculator'!$C$5="Pancreas",VLOOKUP('App4 - Life Risk Calculator'!C39,'App3 - Inci Mort Data'!$B$7:$S$25,9,FALSE),IF('App4 - Life Risk Calculator'!$C$5="Ovary",VLOOKUP('App4 - Life Risk Calculator'!C39,'App3 - Inci Mort Data'!$B$27:$S$45,9,FALSE),IF('App4 - Life Risk Calculator'!$C$5="Kidney",VLOOKUP('App4 - Life Risk Calculator'!C39,'App3 - Inci Mort Data'!$B$47:$S$65,9,FALSE),IF('App4 - Life Risk Calculator'!$C$5="CLL",VLOOKUP('App4 - Life Risk Calculator'!C39,'App3 - Inci Mort Data'!$B$7:$S$25,15,FALSE),IF('App4 - Life Risk Calculator'!$C$5="Lung",VLOOKUP('App4 - Life Risk Calculator'!C39,'App3 - Inci Mort Data'!$B$27:$S$45,15,FALSE),IF('App4 - Life Risk Calculator'!$C$5="Testis",VLOOKUP('App4 - Life Risk Calculator'!C39,'App3 - Inci Mort Data'!$B$47:$S$65,15,FALSE),"N/A")))))))))</f>
        <v>0.2</v>
      </c>
      <c r="G39" s="202">
        <f>IF($C$5="Breast",VLOOKUP(C39,'App3 - Inci Mort Data'!$B$7:$S$25,4,FALSE),IF('App4 - Life Risk Calculator'!$C$5="Prostate",VLOOKUP('App4 - Life Risk Calculator'!C39,'App3 - Inci Mort Data'!$B$27:$S$45,4,FALSE),IF('App4 - Life Risk Calculator'!$C$5="Colorectal",VLOOKUP('App4 - Life Risk Calculator'!C39,'App3 - Inci Mort Data'!$B$47:$S$65,4,FALSE),IF('App4 - Life Risk Calculator'!$C$5="Pancreas",VLOOKUP('App4 - Life Risk Calculator'!C39,'App3 - Inci Mort Data'!$B$7:$S$25,10,FALSE),IF('App4 - Life Risk Calculator'!$C$5="Ovary",VLOOKUP('App4 - Life Risk Calculator'!C39,'App3 - Inci Mort Data'!$B$27:$S$45,10,FALSE),IF('App4 - Life Risk Calculator'!$C$5="Kidney",VLOOKUP('App4 - Life Risk Calculator'!C39,'App3 - Inci Mort Data'!$B$47:$S$65,10,FALSE),IF('App4 - Life Risk Calculator'!$C$5="CLL",VLOOKUP('App4 - Life Risk Calculator'!C39,'App3 - Inci Mort Data'!$B$7:$S$25,16,FALSE),IF('App4 - Life Risk Calculator'!$C$5="Lung",VLOOKUP('App4 - Life Risk Calculator'!C39,'App3 - Inci Mort Data'!$B$27:$S$45,16,FALSE),IF('App4 - Life Risk Calculator'!$C$5="Testis",VLOOKUP('App4 - Life Risk Calculator'!C39,'App3 - Inci Mort Data'!$B$47:$S$65,16,FALSE),"N/A")))))))))</f>
        <v>0</v>
      </c>
      <c r="H39" s="201">
        <f>IF($C$5="Breast",VLOOKUP(C39,'App3 - Inci Mort Data'!$B$7:$S$25,5,FALSE),IF('App4 - Life Risk Calculator'!$C$5="Prostate",VLOOKUP('App4 - Life Risk Calculator'!C39,'App3 - Inci Mort Data'!$B$27:$S$45,5,FALSE),IF('App4 - Life Risk Calculator'!$C$5="Colorectal",VLOOKUP('App4 - Life Risk Calculator'!C39,'App3 - Inci Mort Data'!$B$47:$S$65,5,FALSE),IF('App4 - Life Risk Calculator'!$C$5="Pancreas",VLOOKUP('App4 - Life Risk Calculator'!C39,'App3 - Inci Mort Data'!$B$7:$S$25,11,FALSE),IF('App4 - Life Risk Calculator'!$C$5="Ovary",VLOOKUP('App4 - Life Risk Calculator'!C39,'App3 - Inci Mort Data'!$B$27:$S$45,11,FALSE),IF('App4 - Life Risk Calculator'!$C$5="Kidney",VLOOKUP('App4 - Life Risk Calculator'!C39,'App3 - Inci Mort Data'!$B$47:$S$65,11,FALSE),IF('App4 - Life Risk Calculator'!$C$5="CLL",VLOOKUP('App4 - Life Risk Calculator'!C39,'App3 - Inci Mort Data'!$B$7:$S$25,17,FALSE),IF('App4 - Life Risk Calculator'!$C$5="Lung",VLOOKUP('App4 - Life Risk Calculator'!C39,'App3 - Inci Mort Data'!$B$27:$S$45,17,FALSE),IF('App4 - Life Risk Calculator'!$C$5="Testis",VLOOKUP('App4 - Life Risk Calculator'!C39,'App3 - Inci Mort Data'!$B$47:$S$65,17,FALSE),"N/A")))))))))</f>
        <v>12.3</v>
      </c>
      <c r="I39" s="204">
        <f>IF($C$5="Breast",VLOOKUP(C39,'App3 - Inci Mort Data'!$B$7:$S$25,6,FALSE),IF('App4 - Life Risk Calculator'!$C$5="Prostate",VLOOKUP('App4 - Life Risk Calculator'!C39,'App3 - Inci Mort Data'!$B$27:$S$45,6,FALSE),IF('App4 - Life Risk Calculator'!$C$5="Colorectal",VLOOKUP('App4 - Life Risk Calculator'!C39,'App3 - Inci Mort Data'!$B$47:$S$65,6,FALSE),IF('App4 - Life Risk Calculator'!$C$5="Pancreas",VLOOKUP('App4 - Life Risk Calculator'!C39,'App3 - Inci Mort Data'!$B$7:$S$25,12,FALSE),IF('App4 - Life Risk Calculator'!$C$5="Ovary",VLOOKUP('App4 - Life Risk Calculator'!C39,'App3 - Inci Mort Data'!$B$27:$S$45,12,FALSE),IF('App4 - Life Risk Calculator'!$C$5="Kidney",VLOOKUP('App4 - Life Risk Calculator'!C39,'App3 - Inci Mort Data'!$B$47:$S$65,12,FALSE),IF('App4 - Life Risk Calculator'!$C$5="CLL",VLOOKUP('App4 - Life Risk Calculator'!C39,'App3 - Inci Mort Data'!$B$7:$S$25,18,FALSE),IF('App4 - Life Risk Calculator'!$C$5="Lung",VLOOKUP('App4 - Life Risk Calculator'!C39,'App3 - Inci Mort Data'!$B$27:$S$45,18,FALSE),IF('App4 - Life Risk Calculator'!$C$5="Testis",VLOOKUP('App4 - Life Risk Calculator'!C39,'App3 - Inci Mort Data'!$B$47:$S$65,18,FALSE),"N/A")))))))))</f>
        <v>0</v>
      </c>
      <c r="J39" s="184"/>
      <c r="K39" s="184"/>
      <c r="L39" s="184"/>
      <c r="M39" s="184"/>
      <c r="N39" s="184"/>
      <c r="O39" s="184"/>
      <c r="P39" s="184"/>
      <c r="Q39" s="184"/>
      <c r="R39" s="184"/>
      <c r="S39" s="184"/>
      <c r="T39" s="184"/>
      <c r="U39" s="185"/>
      <c r="V39" s="185"/>
      <c r="W39" s="185"/>
      <c r="X39" s="185"/>
      <c r="Y39" s="185"/>
    </row>
    <row r="40" spans="1:25" x14ac:dyDescent="0.2">
      <c r="A40" s="184"/>
      <c r="B40" s="1493"/>
      <c r="C40" s="200" t="s">
        <v>81</v>
      </c>
      <c r="D40" s="267">
        <v>270</v>
      </c>
      <c r="E40" s="215">
        <v>170</v>
      </c>
      <c r="F40" s="203">
        <f>IF($C$5="Breast",VLOOKUP(C40,'App3 - Inci Mort Data'!$B$7:$S$25,3,FALSE),IF('App4 - Life Risk Calculator'!$C$5="Prostate",VLOOKUP('App4 - Life Risk Calculator'!C40,'App3 - Inci Mort Data'!$B$27:$S$45,3,FALSE),IF('App4 - Life Risk Calculator'!$C$5="Colorectal",VLOOKUP('App4 - Life Risk Calculator'!C40,'App3 - Inci Mort Data'!$B$47:$S$65,3,FALSE),IF('App4 - Life Risk Calculator'!$C$5="Pancreas",VLOOKUP('App4 - Life Risk Calculator'!C40,'App3 - Inci Mort Data'!$B$7:$S$25,9,FALSE),IF('App4 - Life Risk Calculator'!$C$5="Ovary",VLOOKUP('App4 - Life Risk Calculator'!C40,'App3 - Inci Mort Data'!$B$27:$S$45,9,FALSE),IF('App4 - Life Risk Calculator'!$C$5="Kidney",VLOOKUP('App4 - Life Risk Calculator'!C40,'App3 - Inci Mort Data'!$B$47:$S$65,9,FALSE),IF('App4 - Life Risk Calculator'!$C$5="CLL",VLOOKUP('App4 - Life Risk Calculator'!C40,'App3 - Inci Mort Data'!$B$7:$S$25,15,FALSE),IF('App4 - Life Risk Calculator'!$C$5="Lung",VLOOKUP('App4 - Life Risk Calculator'!C40,'App3 - Inci Mort Data'!$B$27:$S$45,15,FALSE),IF('App4 - Life Risk Calculator'!$C$5="Testis",VLOOKUP('App4 - Life Risk Calculator'!C40,'App3 - Inci Mort Data'!$B$47:$S$65,15,FALSE),"N/A")))))))))</f>
        <v>0.3</v>
      </c>
      <c r="G40" s="202">
        <f>IF($C$5="Breast",VLOOKUP(C40,'App3 - Inci Mort Data'!$B$7:$S$25,4,FALSE),IF('App4 - Life Risk Calculator'!$C$5="Prostate",VLOOKUP('App4 - Life Risk Calculator'!C40,'App3 - Inci Mort Data'!$B$27:$S$45,4,FALSE),IF('App4 - Life Risk Calculator'!$C$5="Colorectal",VLOOKUP('App4 - Life Risk Calculator'!C40,'App3 - Inci Mort Data'!$B$47:$S$65,4,FALSE),IF('App4 - Life Risk Calculator'!$C$5="Pancreas",VLOOKUP('App4 - Life Risk Calculator'!C40,'App3 - Inci Mort Data'!$B$7:$S$25,10,FALSE),IF('App4 - Life Risk Calculator'!$C$5="Ovary",VLOOKUP('App4 - Life Risk Calculator'!C40,'App3 - Inci Mort Data'!$B$27:$S$45,10,FALSE),IF('App4 - Life Risk Calculator'!$C$5="Kidney",VLOOKUP('App4 - Life Risk Calculator'!C40,'App3 - Inci Mort Data'!$B$47:$S$65,10,FALSE),IF('App4 - Life Risk Calculator'!$C$5="CLL",VLOOKUP('App4 - Life Risk Calculator'!C40,'App3 - Inci Mort Data'!$B$7:$S$25,16,FALSE),IF('App4 - Life Risk Calculator'!$C$5="Lung",VLOOKUP('App4 - Life Risk Calculator'!C40,'App3 - Inci Mort Data'!$B$27:$S$45,16,FALSE),IF('App4 - Life Risk Calculator'!$C$5="Testis",VLOOKUP('App4 - Life Risk Calculator'!C40,'App3 - Inci Mort Data'!$B$47:$S$65,16,FALSE),"N/A")))))))))</f>
        <v>0</v>
      </c>
      <c r="H40" s="201">
        <f>IF($C$5="Breast",VLOOKUP(C40,'App3 - Inci Mort Data'!$B$7:$S$25,5,FALSE),IF('App4 - Life Risk Calculator'!$C$5="Prostate",VLOOKUP('App4 - Life Risk Calculator'!C40,'App3 - Inci Mort Data'!$B$27:$S$45,5,FALSE),IF('App4 - Life Risk Calculator'!$C$5="Colorectal",VLOOKUP('App4 - Life Risk Calculator'!C40,'App3 - Inci Mort Data'!$B$47:$S$65,5,FALSE),IF('App4 - Life Risk Calculator'!$C$5="Pancreas",VLOOKUP('App4 - Life Risk Calculator'!C40,'App3 - Inci Mort Data'!$B$7:$S$25,11,FALSE),IF('App4 - Life Risk Calculator'!$C$5="Ovary",VLOOKUP('App4 - Life Risk Calculator'!C40,'App3 - Inci Mort Data'!$B$27:$S$45,11,FALSE),IF('App4 - Life Risk Calculator'!$C$5="Kidney",VLOOKUP('App4 - Life Risk Calculator'!C40,'App3 - Inci Mort Data'!$B$47:$S$65,11,FALSE),IF('App4 - Life Risk Calculator'!$C$5="CLL",VLOOKUP('App4 - Life Risk Calculator'!C40,'App3 - Inci Mort Data'!$B$7:$S$25,17,FALSE),IF('App4 - Life Risk Calculator'!$C$5="Lung",VLOOKUP('App4 - Life Risk Calculator'!C40,'App3 - Inci Mort Data'!$B$27:$S$45,17,FALSE),IF('App4 - Life Risk Calculator'!$C$5="Testis",VLOOKUP('App4 - Life Risk Calculator'!C40,'App3 - Inci Mort Data'!$B$47:$S$65,17,FALSE),"N/A")))))))))</f>
        <v>9.4</v>
      </c>
      <c r="I40" s="204">
        <f>IF($C$5="Breast",VLOOKUP(C40,'App3 - Inci Mort Data'!$B$7:$S$25,6,FALSE),IF('App4 - Life Risk Calculator'!$C$5="Prostate",VLOOKUP('App4 - Life Risk Calculator'!C40,'App3 - Inci Mort Data'!$B$27:$S$45,6,FALSE),IF('App4 - Life Risk Calculator'!$C$5="Colorectal",VLOOKUP('App4 - Life Risk Calculator'!C40,'App3 - Inci Mort Data'!$B$47:$S$65,6,FALSE),IF('App4 - Life Risk Calculator'!$C$5="Pancreas",VLOOKUP('App4 - Life Risk Calculator'!C40,'App3 - Inci Mort Data'!$B$7:$S$25,12,FALSE),IF('App4 - Life Risk Calculator'!$C$5="Ovary",VLOOKUP('App4 - Life Risk Calculator'!C40,'App3 - Inci Mort Data'!$B$27:$S$45,12,FALSE),IF('App4 - Life Risk Calculator'!$C$5="Kidney",VLOOKUP('App4 - Life Risk Calculator'!C40,'App3 - Inci Mort Data'!$B$47:$S$65,12,FALSE),IF('App4 - Life Risk Calculator'!$C$5="CLL",VLOOKUP('App4 - Life Risk Calculator'!C40,'App3 - Inci Mort Data'!$B$7:$S$25,18,FALSE),IF('App4 - Life Risk Calculator'!$C$5="Lung",VLOOKUP('App4 - Life Risk Calculator'!C40,'App3 - Inci Mort Data'!$B$27:$S$45,18,FALSE),IF('App4 - Life Risk Calculator'!$C$5="Testis",VLOOKUP('App4 - Life Risk Calculator'!C40,'App3 - Inci Mort Data'!$B$47:$S$65,18,FALSE),"N/A")))))))))</f>
        <v>0</v>
      </c>
      <c r="J40" s="184"/>
      <c r="K40" s="184"/>
      <c r="L40" s="184"/>
      <c r="M40" s="184"/>
      <c r="N40" s="184"/>
      <c r="O40" s="184"/>
      <c r="P40" s="184"/>
      <c r="Q40" s="184"/>
      <c r="R40" s="184"/>
      <c r="S40" s="184"/>
      <c r="T40" s="184"/>
      <c r="U40" s="185"/>
      <c r="V40" s="185"/>
      <c r="W40" s="185"/>
      <c r="X40" s="185"/>
      <c r="Y40" s="185"/>
    </row>
    <row r="41" spans="1:25" x14ac:dyDescent="0.2">
      <c r="A41" s="184"/>
      <c r="B41" s="1493"/>
      <c r="C41" s="200" t="s">
        <v>82</v>
      </c>
      <c r="D41" s="267">
        <v>390</v>
      </c>
      <c r="E41" s="215">
        <v>240</v>
      </c>
      <c r="F41" s="203">
        <f>IF($C$5="Breast",VLOOKUP(C41,'App3 - Inci Mort Data'!$B$7:$S$25,3,FALSE),IF('App4 - Life Risk Calculator'!$C$5="Prostate",VLOOKUP('App4 - Life Risk Calculator'!C41,'App3 - Inci Mort Data'!$B$27:$S$45,3,FALSE),IF('App4 - Life Risk Calculator'!$C$5="Colorectal",VLOOKUP('App4 - Life Risk Calculator'!C41,'App3 - Inci Mort Data'!$B$47:$S$65,3,FALSE),IF('App4 - Life Risk Calculator'!$C$5="Pancreas",VLOOKUP('App4 - Life Risk Calculator'!C41,'App3 - Inci Mort Data'!$B$7:$S$25,9,FALSE),IF('App4 - Life Risk Calculator'!$C$5="Ovary",VLOOKUP('App4 - Life Risk Calculator'!C41,'App3 - Inci Mort Data'!$B$27:$S$45,9,FALSE),IF('App4 - Life Risk Calculator'!$C$5="Kidney",VLOOKUP('App4 - Life Risk Calculator'!C41,'App3 - Inci Mort Data'!$B$47:$S$65,9,FALSE),IF('App4 - Life Risk Calculator'!$C$5="CLL",VLOOKUP('App4 - Life Risk Calculator'!C41,'App3 - Inci Mort Data'!$B$7:$S$25,15,FALSE),IF('App4 - Life Risk Calculator'!$C$5="Lung",VLOOKUP('App4 - Life Risk Calculator'!C41,'App3 - Inci Mort Data'!$B$27:$S$45,15,FALSE),IF('App4 - Life Risk Calculator'!$C$5="Testis",VLOOKUP('App4 - Life Risk Calculator'!C41,'App3 - Inci Mort Data'!$B$47:$S$65,15,FALSE),"N/A")))))))))</f>
        <v>0.4</v>
      </c>
      <c r="G41" s="202">
        <f>IF($C$5="Breast",VLOOKUP(C41,'App3 - Inci Mort Data'!$B$7:$S$25,4,FALSE),IF('App4 - Life Risk Calculator'!$C$5="Prostate",VLOOKUP('App4 - Life Risk Calculator'!C41,'App3 - Inci Mort Data'!$B$27:$S$45,4,FALSE),IF('App4 - Life Risk Calculator'!$C$5="Colorectal",VLOOKUP('App4 - Life Risk Calculator'!C41,'App3 - Inci Mort Data'!$B$47:$S$65,4,FALSE),IF('App4 - Life Risk Calculator'!$C$5="Pancreas",VLOOKUP('App4 - Life Risk Calculator'!C41,'App3 - Inci Mort Data'!$B$7:$S$25,10,FALSE),IF('App4 - Life Risk Calculator'!$C$5="Ovary",VLOOKUP('App4 - Life Risk Calculator'!C41,'App3 - Inci Mort Data'!$B$27:$S$45,10,FALSE),IF('App4 - Life Risk Calculator'!$C$5="Kidney",VLOOKUP('App4 - Life Risk Calculator'!C41,'App3 - Inci Mort Data'!$B$47:$S$65,10,FALSE),IF('App4 - Life Risk Calculator'!$C$5="CLL",VLOOKUP('App4 - Life Risk Calculator'!C41,'App3 - Inci Mort Data'!$B$7:$S$25,16,FALSE),IF('App4 - Life Risk Calculator'!$C$5="Lung",VLOOKUP('App4 - Life Risk Calculator'!C41,'App3 - Inci Mort Data'!$B$27:$S$45,16,FALSE),IF('App4 - Life Risk Calculator'!$C$5="Testis",VLOOKUP('App4 - Life Risk Calculator'!C41,'App3 - Inci Mort Data'!$B$47:$S$65,16,FALSE),"N/A")))))))))</f>
        <v>0</v>
      </c>
      <c r="H41" s="201">
        <f>IF($C$5="Breast",VLOOKUP(C41,'App3 - Inci Mort Data'!$B$7:$S$25,5,FALSE),IF('App4 - Life Risk Calculator'!$C$5="Prostate",VLOOKUP('App4 - Life Risk Calculator'!C41,'App3 - Inci Mort Data'!$B$27:$S$45,5,FALSE),IF('App4 - Life Risk Calculator'!$C$5="Colorectal",VLOOKUP('App4 - Life Risk Calculator'!C41,'App3 - Inci Mort Data'!$B$47:$S$65,5,FALSE),IF('App4 - Life Risk Calculator'!$C$5="Pancreas",VLOOKUP('App4 - Life Risk Calculator'!C41,'App3 - Inci Mort Data'!$B$7:$S$25,11,FALSE),IF('App4 - Life Risk Calculator'!$C$5="Ovary",VLOOKUP('App4 - Life Risk Calculator'!C41,'App3 - Inci Mort Data'!$B$27:$S$45,11,FALSE),IF('App4 - Life Risk Calculator'!$C$5="Kidney",VLOOKUP('App4 - Life Risk Calculator'!C41,'App3 - Inci Mort Data'!$B$47:$S$65,11,FALSE),IF('App4 - Life Risk Calculator'!$C$5="CLL",VLOOKUP('App4 - Life Risk Calculator'!C41,'App3 - Inci Mort Data'!$B$7:$S$25,17,FALSE),IF('App4 - Life Risk Calculator'!$C$5="Lung",VLOOKUP('App4 - Life Risk Calculator'!C41,'App3 - Inci Mort Data'!$B$27:$S$45,17,FALSE),IF('App4 - Life Risk Calculator'!$C$5="Testis",VLOOKUP('App4 - Life Risk Calculator'!C41,'App3 - Inci Mort Data'!$B$47:$S$65,17,FALSE),"N/A")))))))))</f>
        <v>7</v>
      </c>
      <c r="I41" s="204">
        <f>IF($C$5="Breast",VLOOKUP(C41,'App3 - Inci Mort Data'!$B$7:$S$25,6,FALSE),IF('App4 - Life Risk Calculator'!$C$5="Prostate",VLOOKUP('App4 - Life Risk Calculator'!C41,'App3 - Inci Mort Data'!$B$27:$S$45,6,FALSE),IF('App4 - Life Risk Calculator'!$C$5="Colorectal",VLOOKUP('App4 - Life Risk Calculator'!C41,'App3 - Inci Mort Data'!$B$47:$S$65,6,FALSE),IF('App4 - Life Risk Calculator'!$C$5="Pancreas",VLOOKUP('App4 - Life Risk Calculator'!C41,'App3 - Inci Mort Data'!$B$7:$S$25,12,FALSE),IF('App4 - Life Risk Calculator'!$C$5="Ovary",VLOOKUP('App4 - Life Risk Calculator'!C41,'App3 - Inci Mort Data'!$B$27:$S$45,12,FALSE),IF('App4 - Life Risk Calculator'!$C$5="Kidney",VLOOKUP('App4 - Life Risk Calculator'!C41,'App3 - Inci Mort Data'!$B$47:$S$65,12,FALSE),IF('App4 - Life Risk Calculator'!$C$5="CLL",VLOOKUP('App4 - Life Risk Calculator'!C41,'App3 - Inci Mort Data'!$B$7:$S$25,18,FALSE),IF('App4 - Life Risk Calculator'!$C$5="Lung",VLOOKUP('App4 - Life Risk Calculator'!C41,'App3 - Inci Mort Data'!$B$27:$S$45,18,FALSE),IF('App4 - Life Risk Calculator'!$C$5="Testis",VLOOKUP('App4 - Life Risk Calculator'!C41,'App3 - Inci Mort Data'!$B$47:$S$65,18,FALSE),"N/A")))))))))</f>
        <v>0</v>
      </c>
      <c r="J41" s="184"/>
      <c r="K41" s="184"/>
      <c r="L41" s="184"/>
      <c r="M41" s="184"/>
      <c r="N41" s="184"/>
      <c r="O41" s="184"/>
      <c r="P41" s="184"/>
      <c r="Q41" s="184"/>
      <c r="R41" s="184"/>
      <c r="S41" s="184"/>
      <c r="T41" s="184"/>
      <c r="U41" s="185"/>
      <c r="V41" s="185"/>
      <c r="W41" s="185"/>
      <c r="X41" s="185"/>
      <c r="Y41" s="185"/>
    </row>
    <row r="42" spans="1:25" x14ac:dyDescent="0.2">
      <c r="A42" s="184"/>
      <c r="B42" s="1493"/>
      <c r="C42" s="200" t="s">
        <v>83</v>
      </c>
      <c r="D42" s="267">
        <v>580</v>
      </c>
      <c r="E42" s="215">
        <v>390</v>
      </c>
      <c r="F42" s="203">
        <f>IF($C$5="Breast",VLOOKUP(C42,'App3 - Inci Mort Data'!$B$7:$S$25,3,FALSE),IF('App4 - Life Risk Calculator'!$C$5="Prostate",VLOOKUP('App4 - Life Risk Calculator'!C42,'App3 - Inci Mort Data'!$B$27:$S$45,3,FALSE),IF('App4 - Life Risk Calculator'!$C$5="Colorectal",VLOOKUP('App4 - Life Risk Calculator'!C42,'App3 - Inci Mort Data'!$B$47:$S$65,3,FALSE),IF('App4 - Life Risk Calculator'!$C$5="Pancreas",VLOOKUP('App4 - Life Risk Calculator'!C42,'App3 - Inci Mort Data'!$B$7:$S$25,9,FALSE),IF('App4 - Life Risk Calculator'!$C$5="Ovary",VLOOKUP('App4 - Life Risk Calculator'!C42,'App3 - Inci Mort Data'!$B$27:$S$45,9,FALSE),IF('App4 - Life Risk Calculator'!$C$5="Kidney",VLOOKUP('App4 - Life Risk Calculator'!C42,'App3 - Inci Mort Data'!$B$47:$S$65,9,FALSE),IF('App4 - Life Risk Calculator'!$C$5="CLL",VLOOKUP('App4 - Life Risk Calculator'!C42,'App3 - Inci Mort Data'!$B$7:$S$25,15,FALSE),IF('App4 - Life Risk Calculator'!$C$5="Lung",VLOOKUP('App4 - Life Risk Calculator'!C42,'App3 - Inci Mort Data'!$B$27:$S$45,15,FALSE),IF('App4 - Life Risk Calculator'!$C$5="Testis",VLOOKUP('App4 - Life Risk Calculator'!C42,'App3 - Inci Mort Data'!$B$47:$S$65,15,FALSE),"N/A")))))))))</f>
        <v>0.1</v>
      </c>
      <c r="G42" s="202">
        <f>IF($C$5="Breast",VLOOKUP(C42,'App3 - Inci Mort Data'!$B$7:$S$25,4,FALSE),IF('App4 - Life Risk Calculator'!$C$5="Prostate",VLOOKUP('App4 - Life Risk Calculator'!C42,'App3 - Inci Mort Data'!$B$27:$S$45,4,FALSE),IF('App4 - Life Risk Calculator'!$C$5="Colorectal",VLOOKUP('App4 - Life Risk Calculator'!C42,'App3 - Inci Mort Data'!$B$47:$S$65,4,FALSE),IF('App4 - Life Risk Calculator'!$C$5="Pancreas",VLOOKUP('App4 - Life Risk Calculator'!C42,'App3 - Inci Mort Data'!$B$7:$S$25,10,FALSE),IF('App4 - Life Risk Calculator'!$C$5="Ovary",VLOOKUP('App4 - Life Risk Calculator'!C42,'App3 - Inci Mort Data'!$B$27:$S$45,10,FALSE),IF('App4 - Life Risk Calculator'!$C$5="Kidney",VLOOKUP('App4 - Life Risk Calculator'!C42,'App3 - Inci Mort Data'!$B$47:$S$65,10,FALSE),IF('App4 - Life Risk Calculator'!$C$5="CLL",VLOOKUP('App4 - Life Risk Calculator'!C42,'App3 - Inci Mort Data'!$B$7:$S$25,16,FALSE),IF('App4 - Life Risk Calculator'!$C$5="Lung",VLOOKUP('App4 - Life Risk Calculator'!C42,'App3 - Inci Mort Data'!$B$27:$S$45,16,FALSE),IF('App4 - Life Risk Calculator'!$C$5="Testis",VLOOKUP('App4 - Life Risk Calculator'!C42,'App3 - Inci Mort Data'!$B$47:$S$65,16,FALSE),"N/A")))))))))</f>
        <v>0</v>
      </c>
      <c r="H42" s="201">
        <f>IF($C$5="Breast",VLOOKUP(C42,'App3 - Inci Mort Data'!$B$7:$S$25,5,FALSE),IF('App4 - Life Risk Calculator'!$C$5="Prostate",VLOOKUP('App4 - Life Risk Calculator'!C42,'App3 - Inci Mort Data'!$B$27:$S$45,5,FALSE),IF('App4 - Life Risk Calculator'!$C$5="Colorectal",VLOOKUP('App4 - Life Risk Calculator'!C42,'App3 - Inci Mort Data'!$B$47:$S$65,5,FALSE),IF('App4 - Life Risk Calculator'!$C$5="Pancreas",VLOOKUP('App4 - Life Risk Calculator'!C42,'App3 - Inci Mort Data'!$B$7:$S$25,11,FALSE),IF('App4 - Life Risk Calculator'!$C$5="Ovary",VLOOKUP('App4 - Life Risk Calculator'!C42,'App3 - Inci Mort Data'!$B$27:$S$45,11,FALSE),IF('App4 - Life Risk Calculator'!$C$5="Kidney",VLOOKUP('App4 - Life Risk Calculator'!C42,'App3 - Inci Mort Data'!$B$47:$S$65,11,FALSE),IF('App4 - Life Risk Calculator'!$C$5="CLL",VLOOKUP('App4 - Life Risk Calculator'!C42,'App3 - Inci Mort Data'!$B$7:$S$25,17,FALSE),IF('App4 - Life Risk Calculator'!$C$5="Lung",VLOOKUP('App4 - Life Risk Calculator'!C42,'App3 - Inci Mort Data'!$B$27:$S$45,17,FALSE),IF('App4 - Life Risk Calculator'!$C$5="Testis",VLOOKUP('App4 - Life Risk Calculator'!C42,'App3 - Inci Mort Data'!$B$47:$S$65,17,FALSE),"N/A")))))))))</f>
        <v>5.2</v>
      </c>
      <c r="I42" s="204">
        <f>IF($C$5="Breast",VLOOKUP(C42,'App3 - Inci Mort Data'!$B$7:$S$25,6,FALSE),IF('App4 - Life Risk Calculator'!$C$5="Prostate",VLOOKUP('App4 - Life Risk Calculator'!C42,'App3 - Inci Mort Data'!$B$27:$S$45,6,FALSE),IF('App4 - Life Risk Calculator'!$C$5="Colorectal",VLOOKUP('App4 - Life Risk Calculator'!C42,'App3 - Inci Mort Data'!$B$47:$S$65,6,FALSE),IF('App4 - Life Risk Calculator'!$C$5="Pancreas",VLOOKUP('App4 - Life Risk Calculator'!C42,'App3 - Inci Mort Data'!$B$7:$S$25,12,FALSE),IF('App4 - Life Risk Calculator'!$C$5="Ovary",VLOOKUP('App4 - Life Risk Calculator'!C42,'App3 - Inci Mort Data'!$B$27:$S$45,12,FALSE),IF('App4 - Life Risk Calculator'!$C$5="Kidney",VLOOKUP('App4 - Life Risk Calculator'!C42,'App3 - Inci Mort Data'!$B$47:$S$65,12,FALSE),IF('App4 - Life Risk Calculator'!$C$5="CLL",VLOOKUP('App4 - Life Risk Calculator'!C42,'App3 - Inci Mort Data'!$B$7:$S$25,18,FALSE),IF('App4 - Life Risk Calculator'!$C$5="Lung",VLOOKUP('App4 - Life Risk Calculator'!C42,'App3 - Inci Mort Data'!$B$27:$S$45,18,FALSE),IF('App4 - Life Risk Calculator'!$C$5="Testis",VLOOKUP('App4 - Life Risk Calculator'!C42,'App3 - Inci Mort Data'!$B$47:$S$65,18,FALSE),"N/A")))))))))</f>
        <v>0</v>
      </c>
      <c r="J42" s="184"/>
      <c r="K42" s="184"/>
      <c r="L42" s="184"/>
      <c r="M42" s="184"/>
      <c r="N42" s="184"/>
      <c r="O42" s="184"/>
      <c r="P42" s="184"/>
      <c r="Q42" s="184"/>
      <c r="R42" s="184"/>
      <c r="S42" s="184"/>
      <c r="T42" s="184"/>
      <c r="U42" s="185"/>
      <c r="V42" s="185"/>
      <c r="W42" s="185"/>
      <c r="X42" s="185"/>
      <c r="Y42" s="185"/>
    </row>
    <row r="43" spans="1:25" x14ac:dyDescent="0.2">
      <c r="A43" s="184"/>
      <c r="B43" s="1493"/>
      <c r="C43" s="200" t="s">
        <v>84</v>
      </c>
      <c r="D43" s="267">
        <v>910</v>
      </c>
      <c r="E43" s="215">
        <v>600</v>
      </c>
      <c r="F43" s="203">
        <f>IF($C$5="Breast",VLOOKUP(C43,'App3 - Inci Mort Data'!$B$7:$S$25,3,FALSE),IF('App4 - Life Risk Calculator'!$C$5="Prostate",VLOOKUP('App4 - Life Risk Calculator'!C43,'App3 - Inci Mort Data'!$B$27:$S$45,3,FALSE),IF('App4 - Life Risk Calculator'!$C$5="Colorectal",VLOOKUP('App4 - Life Risk Calculator'!C43,'App3 - Inci Mort Data'!$B$47:$S$65,3,FALSE),IF('App4 - Life Risk Calculator'!$C$5="Pancreas",VLOOKUP('App4 - Life Risk Calculator'!C43,'App3 - Inci Mort Data'!$B$7:$S$25,9,FALSE),IF('App4 - Life Risk Calculator'!$C$5="Ovary",VLOOKUP('App4 - Life Risk Calculator'!C43,'App3 - Inci Mort Data'!$B$27:$S$45,9,FALSE),IF('App4 - Life Risk Calculator'!$C$5="Kidney",VLOOKUP('App4 - Life Risk Calculator'!C43,'App3 - Inci Mort Data'!$B$47:$S$65,9,FALSE),IF('App4 - Life Risk Calculator'!$C$5="CLL",VLOOKUP('App4 - Life Risk Calculator'!C43,'App3 - Inci Mort Data'!$B$7:$S$25,15,FALSE),IF('App4 - Life Risk Calculator'!$C$5="Lung",VLOOKUP('App4 - Life Risk Calculator'!C43,'App3 - Inci Mort Data'!$B$27:$S$45,15,FALSE),IF('App4 - Life Risk Calculator'!$C$5="Testis",VLOOKUP('App4 - Life Risk Calculator'!C43,'App3 - Inci Mort Data'!$B$47:$S$65,15,FALSE),"N/A")))))))))</f>
        <v>0.2</v>
      </c>
      <c r="G43" s="202">
        <f>IF($C$5="Breast",VLOOKUP(C43,'App3 - Inci Mort Data'!$B$7:$S$25,4,FALSE),IF('App4 - Life Risk Calculator'!$C$5="Prostate",VLOOKUP('App4 - Life Risk Calculator'!C43,'App3 - Inci Mort Data'!$B$27:$S$45,4,FALSE),IF('App4 - Life Risk Calculator'!$C$5="Colorectal",VLOOKUP('App4 - Life Risk Calculator'!C43,'App3 - Inci Mort Data'!$B$47:$S$65,4,FALSE),IF('App4 - Life Risk Calculator'!$C$5="Pancreas",VLOOKUP('App4 - Life Risk Calculator'!C43,'App3 - Inci Mort Data'!$B$7:$S$25,10,FALSE),IF('App4 - Life Risk Calculator'!$C$5="Ovary",VLOOKUP('App4 - Life Risk Calculator'!C43,'App3 - Inci Mort Data'!$B$27:$S$45,10,FALSE),IF('App4 - Life Risk Calculator'!$C$5="Kidney",VLOOKUP('App4 - Life Risk Calculator'!C43,'App3 - Inci Mort Data'!$B$47:$S$65,10,FALSE),IF('App4 - Life Risk Calculator'!$C$5="CLL",VLOOKUP('App4 - Life Risk Calculator'!C43,'App3 - Inci Mort Data'!$B$7:$S$25,16,FALSE),IF('App4 - Life Risk Calculator'!$C$5="Lung",VLOOKUP('App4 - Life Risk Calculator'!C43,'App3 - Inci Mort Data'!$B$27:$S$45,16,FALSE),IF('App4 - Life Risk Calculator'!$C$5="Testis",VLOOKUP('App4 - Life Risk Calculator'!C43,'App3 - Inci Mort Data'!$B$47:$S$65,16,FALSE),"N/A")))))))))</f>
        <v>0</v>
      </c>
      <c r="H43" s="201">
        <f>IF($C$5="Breast",VLOOKUP(C43,'App3 - Inci Mort Data'!$B$7:$S$25,5,FALSE),IF('App4 - Life Risk Calculator'!$C$5="Prostate",VLOOKUP('App4 - Life Risk Calculator'!C43,'App3 - Inci Mort Data'!$B$27:$S$45,5,FALSE),IF('App4 - Life Risk Calculator'!$C$5="Colorectal",VLOOKUP('App4 - Life Risk Calculator'!C43,'App3 - Inci Mort Data'!$B$47:$S$65,5,FALSE),IF('App4 - Life Risk Calculator'!$C$5="Pancreas",VLOOKUP('App4 - Life Risk Calculator'!C43,'App3 - Inci Mort Data'!$B$7:$S$25,11,FALSE),IF('App4 - Life Risk Calculator'!$C$5="Ovary",VLOOKUP('App4 - Life Risk Calculator'!C43,'App3 - Inci Mort Data'!$B$27:$S$45,11,FALSE),IF('App4 - Life Risk Calculator'!$C$5="Kidney",VLOOKUP('App4 - Life Risk Calculator'!C43,'App3 - Inci Mort Data'!$B$47:$S$65,11,FALSE),IF('App4 - Life Risk Calculator'!$C$5="CLL",VLOOKUP('App4 - Life Risk Calculator'!C43,'App3 - Inci Mort Data'!$B$7:$S$25,17,FALSE),IF('App4 - Life Risk Calculator'!$C$5="Lung",VLOOKUP('App4 - Life Risk Calculator'!C43,'App3 - Inci Mort Data'!$B$27:$S$45,17,FALSE),IF('App4 - Life Risk Calculator'!$C$5="Testis",VLOOKUP('App4 - Life Risk Calculator'!C43,'App3 - Inci Mort Data'!$B$47:$S$65,17,FALSE),"N/A")))))))))</f>
        <v>3</v>
      </c>
      <c r="I43" s="204">
        <f>IF($C$5="Breast",VLOOKUP(C43,'App3 - Inci Mort Data'!$B$7:$S$25,6,FALSE),IF('App4 - Life Risk Calculator'!$C$5="Prostate",VLOOKUP('App4 - Life Risk Calculator'!C43,'App3 - Inci Mort Data'!$B$27:$S$45,6,FALSE),IF('App4 - Life Risk Calculator'!$C$5="Colorectal",VLOOKUP('App4 - Life Risk Calculator'!C43,'App3 - Inci Mort Data'!$B$47:$S$65,6,FALSE),IF('App4 - Life Risk Calculator'!$C$5="Pancreas",VLOOKUP('App4 - Life Risk Calculator'!C43,'App3 - Inci Mort Data'!$B$7:$S$25,12,FALSE),IF('App4 - Life Risk Calculator'!$C$5="Ovary",VLOOKUP('App4 - Life Risk Calculator'!C43,'App3 - Inci Mort Data'!$B$27:$S$45,12,FALSE),IF('App4 - Life Risk Calculator'!$C$5="Kidney",VLOOKUP('App4 - Life Risk Calculator'!C43,'App3 - Inci Mort Data'!$B$47:$S$65,12,FALSE),IF('App4 - Life Risk Calculator'!$C$5="CLL",VLOOKUP('App4 - Life Risk Calculator'!C43,'App3 - Inci Mort Data'!$B$7:$S$25,18,FALSE),IF('App4 - Life Risk Calculator'!$C$5="Lung",VLOOKUP('App4 - Life Risk Calculator'!C43,'App3 - Inci Mort Data'!$B$27:$S$45,18,FALSE),IF('App4 - Life Risk Calculator'!$C$5="Testis",VLOOKUP('App4 - Life Risk Calculator'!C43,'App3 - Inci Mort Data'!$B$47:$S$65,18,FALSE),"N/A")))))))))</f>
        <v>0</v>
      </c>
      <c r="J43" s="184"/>
      <c r="K43" s="184"/>
      <c r="L43" s="184"/>
      <c r="M43" s="184"/>
      <c r="N43" s="184"/>
      <c r="O43" s="184"/>
      <c r="P43" s="184"/>
      <c r="Q43" s="184"/>
      <c r="R43" s="184"/>
      <c r="S43" s="184"/>
      <c r="T43" s="184"/>
      <c r="U43" s="185"/>
      <c r="V43" s="185"/>
      <c r="W43" s="185"/>
      <c r="X43" s="185"/>
      <c r="Y43" s="185"/>
    </row>
    <row r="44" spans="1:25" x14ac:dyDescent="0.2">
      <c r="A44" s="184"/>
      <c r="B44" s="1493"/>
      <c r="C44" s="200" t="s">
        <v>85</v>
      </c>
      <c r="D44" s="267">
        <v>1460</v>
      </c>
      <c r="E44" s="215">
        <v>940</v>
      </c>
      <c r="F44" s="203">
        <f>IF($C$5="Breast",VLOOKUP(C44,'App3 - Inci Mort Data'!$B$7:$S$25,3,FALSE),IF('App4 - Life Risk Calculator'!$C$5="Prostate",VLOOKUP('App4 - Life Risk Calculator'!C44,'App3 - Inci Mort Data'!$B$27:$S$45,3,FALSE),IF('App4 - Life Risk Calculator'!$C$5="Colorectal",VLOOKUP('App4 - Life Risk Calculator'!C44,'App3 - Inci Mort Data'!$B$47:$S$65,3,FALSE),IF('App4 - Life Risk Calculator'!$C$5="Pancreas",VLOOKUP('App4 - Life Risk Calculator'!C44,'App3 - Inci Mort Data'!$B$7:$S$25,9,FALSE),IF('App4 - Life Risk Calculator'!$C$5="Ovary",VLOOKUP('App4 - Life Risk Calculator'!C44,'App3 - Inci Mort Data'!$B$27:$S$45,9,FALSE),IF('App4 - Life Risk Calculator'!$C$5="Kidney",VLOOKUP('App4 - Life Risk Calculator'!C44,'App3 - Inci Mort Data'!$B$47:$S$65,9,FALSE),IF('App4 - Life Risk Calculator'!$C$5="CLL",VLOOKUP('App4 - Life Risk Calculator'!C44,'App3 - Inci Mort Data'!$B$7:$S$25,15,FALSE),IF('App4 - Life Risk Calculator'!$C$5="Lung",VLOOKUP('App4 - Life Risk Calculator'!C44,'App3 - Inci Mort Data'!$B$27:$S$45,15,FALSE),IF('App4 - Life Risk Calculator'!$C$5="Testis",VLOOKUP('App4 - Life Risk Calculator'!C44,'App3 - Inci Mort Data'!$B$47:$S$65,15,FALSE),"N/A")))))))))</f>
        <v>0.2</v>
      </c>
      <c r="G44" s="202">
        <f>IF($C$5="Breast",VLOOKUP(C44,'App3 - Inci Mort Data'!$B$7:$S$25,4,FALSE),IF('App4 - Life Risk Calculator'!$C$5="Prostate",VLOOKUP('App4 - Life Risk Calculator'!C44,'App3 - Inci Mort Data'!$B$27:$S$45,4,FALSE),IF('App4 - Life Risk Calculator'!$C$5="Colorectal",VLOOKUP('App4 - Life Risk Calculator'!C44,'App3 - Inci Mort Data'!$B$47:$S$65,4,FALSE),IF('App4 - Life Risk Calculator'!$C$5="Pancreas",VLOOKUP('App4 - Life Risk Calculator'!C44,'App3 - Inci Mort Data'!$B$7:$S$25,10,FALSE),IF('App4 - Life Risk Calculator'!$C$5="Ovary",VLOOKUP('App4 - Life Risk Calculator'!C44,'App3 - Inci Mort Data'!$B$27:$S$45,10,FALSE),IF('App4 - Life Risk Calculator'!$C$5="Kidney",VLOOKUP('App4 - Life Risk Calculator'!C44,'App3 - Inci Mort Data'!$B$47:$S$65,10,FALSE),IF('App4 - Life Risk Calculator'!$C$5="CLL",VLOOKUP('App4 - Life Risk Calculator'!C44,'App3 - Inci Mort Data'!$B$7:$S$25,16,FALSE),IF('App4 - Life Risk Calculator'!$C$5="Lung",VLOOKUP('App4 - Life Risk Calculator'!C44,'App3 - Inci Mort Data'!$B$27:$S$45,16,FALSE),IF('App4 - Life Risk Calculator'!$C$5="Testis",VLOOKUP('App4 - Life Risk Calculator'!C44,'App3 - Inci Mort Data'!$B$47:$S$65,16,FALSE),"N/A")))))))))</f>
        <v>0</v>
      </c>
      <c r="H44" s="201">
        <f>IF($C$5="Breast",VLOOKUP(C44,'App3 - Inci Mort Data'!$B$7:$S$25,5,FALSE),IF('App4 - Life Risk Calculator'!$C$5="Prostate",VLOOKUP('App4 - Life Risk Calculator'!C44,'App3 - Inci Mort Data'!$B$27:$S$45,5,FALSE),IF('App4 - Life Risk Calculator'!$C$5="Colorectal",VLOOKUP('App4 - Life Risk Calculator'!C44,'App3 - Inci Mort Data'!$B$47:$S$65,5,FALSE),IF('App4 - Life Risk Calculator'!$C$5="Pancreas",VLOOKUP('App4 - Life Risk Calculator'!C44,'App3 - Inci Mort Data'!$B$7:$S$25,11,FALSE),IF('App4 - Life Risk Calculator'!$C$5="Ovary",VLOOKUP('App4 - Life Risk Calculator'!C44,'App3 - Inci Mort Data'!$B$27:$S$45,11,FALSE),IF('App4 - Life Risk Calculator'!$C$5="Kidney",VLOOKUP('App4 - Life Risk Calculator'!C44,'App3 - Inci Mort Data'!$B$47:$S$65,11,FALSE),IF('App4 - Life Risk Calculator'!$C$5="CLL",VLOOKUP('App4 - Life Risk Calculator'!C44,'App3 - Inci Mort Data'!$B$7:$S$25,17,FALSE),IF('App4 - Life Risk Calculator'!$C$5="Lung",VLOOKUP('App4 - Life Risk Calculator'!C44,'App3 - Inci Mort Data'!$B$27:$S$45,17,FALSE),IF('App4 - Life Risk Calculator'!$C$5="Testis",VLOOKUP('App4 - Life Risk Calculator'!C44,'App3 - Inci Mort Data'!$B$47:$S$65,17,FALSE),"N/A")))))))))</f>
        <v>2.4</v>
      </c>
      <c r="I44" s="204">
        <f>IF($C$5="Breast",VLOOKUP(C44,'App3 - Inci Mort Data'!$B$7:$S$25,6,FALSE),IF('App4 - Life Risk Calculator'!$C$5="Prostate",VLOOKUP('App4 - Life Risk Calculator'!C44,'App3 - Inci Mort Data'!$B$27:$S$45,6,FALSE),IF('App4 - Life Risk Calculator'!$C$5="Colorectal",VLOOKUP('App4 - Life Risk Calculator'!C44,'App3 - Inci Mort Data'!$B$47:$S$65,6,FALSE),IF('App4 - Life Risk Calculator'!$C$5="Pancreas",VLOOKUP('App4 - Life Risk Calculator'!C44,'App3 - Inci Mort Data'!$B$7:$S$25,12,FALSE),IF('App4 - Life Risk Calculator'!$C$5="Ovary",VLOOKUP('App4 - Life Risk Calculator'!C44,'App3 - Inci Mort Data'!$B$27:$S$45,12,FALSE),IF('App4 - Life Risk Calculator'!$C$5="Kidney",VLOOKUP('App4 - Life Risk Calculator'!C44,'App3 - Inci Mort Data'!$B$47:$S$65,12,FALSE),IF('App4 - Life Risk Calculator'!$C$5="CLL",VLOOKUP('App4 - Life Risk Calculator'!C44,'App3 - Inci Mort Data'!$B$7:$S$25,18,FALSE),IF('App4 - Life Risk Calculator'!$C$5="Lung",VLOOKUP('App4 - Life Risk Calculator'!C44,'App3 - Inci Mort Data'!$B$27:$S$45,18,FALSE),IF('App4 - Life Risk Calculator'!$C$5="Testis",VLOOKUP('App4 - Life Risk Calculator'!C44,'App3 - Inci Mort Data'!$B$47:$S$65,18,FALSE),"N/A")))))))))</f>
        <v>0</v>
      </c>
      <c r="J44" s="184"/>
      <c r="K44" s="184"/>
      <c r="L44" s="184"/>
      <c r="M44" s="184"/>
      <c r="N44" s="184"/>
      <c r="O44" s="184"/>
      <c r="P44" s="184"/>
      <c r="Q44" s="184"/>
      <c r="R44" s="184"/>
      <c r="S44" s="184"/>
      <c r="T44" s="184"/>
      <c r="U44" s="185"/>
      <c r="V44" s="185"/>
      <c r="W44" s="185"/>
      <c r="X44" s="185"/>
      <c r="Y44" s="185"/>
    </row>
    <row r="45" spans="1:25" x14ac:dyDescent="0.2">
      <c r="A45" s="184"/>
      <c r="B45" s="1493"/>
      <c r="C45" s="200" t="s">
        <v>86</v>
      </c>
      <c r="D45" s="267">
        <v>2250</v>
      </c>
      <c r="E45" s="215">
        <v>1510</v>
      </c>
      <c r="F45" s="203">
        <f>IF($C$5="Breast",VLOOKUP(C45,'App3 - Inci Mort Data'!$B$7:$S$25,3,FALSE),IF('App4 - Life Risk Calculator'!$C$5="Prostate",VLOOKUP('App4 - Life Risk Calculator'!C45,'App3 - Inci Mort Data'!$B$27:$S$45,3,FALSE),IF('App4 - Life Risk Calculator'!$C$5="Colorectal",VLOOKUP('App4 - Life Risk Calculator'!C45,'App3 - Inci Mort Data'!$B$47:$S$65,3,FALSE),IF('App4 - Life Risk Calculator'!$C$5="Pancreas",VLOOKUP('App4 - Life Risk Calculator'!C45,'App3 - Inci Mort Data'!$B$7:$S$25,9,FALSE),IF('App4 - Life Risk Calculator'!$C$5="Ovary",VLOOKUP('App4 - Life Risk Calculator'!C45,'App3 - Inci Mort Data'!$B$27:$S$45,9,FALSE),IF('App4 - Life Risk Calculator'!$C$5="Kidney",VLOOKUP('App4 - Life Risk Calculator'!C45,'App3 - Inci Mort Data'!$B$47:$S$65,9,FALSE),IF('App4 - Life Risk Calculator'!$C$5="CLL",VLOOKUP('App4 - Life Risk Calculator'!C45,'App3 - Inci Mort Data'!$B$7:$S$25,15,FALSE),IF('App4 - Life Risk Calculator'!$C$5="Lung",VLOOKUP('App4 - Life Risk Calculator'!C45,'App3 - Inci Mort Data'!$B$27:$S$45,15,FALSE),IF('App4 - Life Risk Calculator'!$C$5="Testis",VLOOKUP('App4 - Life Risk Calculator'!C45,'App3 - Inci Mort Data'!$B$47:$S$65,15,FALSE),"N/A")))))))))</f>
        <v>0.2</v>
      </c>
      <c r="G45" s="202">
        <f>IF($C$5="Breast",VLOOKUP(C45,'App3 - Inci Mort Data'!$B$7:$S$25,4,FALSE),IF('App4 - Life Risk Calculator'!$C$5="Prostate",VLOOKUP('App4 - Life Risk Calculator'!C45,'App3 - Inci Mort Data'!$B$27:$S$45,4,FALSE),IF('App4 - Life Risk Calculator'!$C$5="Colorectal",VLOOKUP('App4 - Life Risk Calculator'!C45,'App3 - Inci Mort Data'!$B$47:$S$65,4,FALSE),IF('App4 - Life Risk Calculator'!$C$5="Pancreas",VLOOKUP('App4 - Life Risk Calculator'!C45,'App3 - Inci Mort Data'!$B$7:$S$25,10,FALSE),IF('App4 - Life Risk Calculator'!$C$5="Ovary",VLOOKUP('App4 - Life Risk Calculator'!C45,'App3 - Inci Mort Data'!$B$27:$S$45,10,FALSE),IF('App4 - Life Risk Calculator'!$C$5="Kidney",VLOOKUP('App4 - Life Risk Calculator'!C45,'App3 - Inci Mort Data'!$B$47:$S$65,10,FALSE),IF('App4 - Life Risk Calculator'!$C$5="CLL",VLOOKUP('App4 - Life Risk Calculator'!C45,'App3 - Inci Mort Data'!$B$7:$S$25,16,FALSE),IF('App4 - Life Risk Calculator'!$C$5="Lung",VLOOKUP('App4 - Life Risk Calculator'!C45,'App3 - Inci Mort Data'!$B$27:$S$45,16,FALSE),IF('App4 - Life Risk Calculator'!$C$5="Testis",VLOOKUP('App4 - Life Risk Calculator'!C45,'App3 - Inci Mort Data'!$B$47:$S$65,16,FALSE),"N/A")))))))))</f>
        <v>0</v>
      </c>
      <c r="H45" s="201">
        <f>IF($C$5="Breast",VLOOKUP(C45,'App3 - Inci Mort Data'!$B$7:$S$25,5,FALSE),IF('App4 - Life Risk Calculator'!$C$5="Prostate",VLOOKUP('App4 - Life Risk Calculator'!C45,'App3 - Inci Mort Data'!$B$27:$S$45,5,FALSE),IF('App4 - Life Risk Calculator'!$C$5="Colorectal",VLOOKUP('App4 - Life Risk Calculator'!C45,'App3 - Inci Mort Data'!$B$47:$S$65,5,FALSE),IF('App4 - Life Risk Calculator'!$C$5="Pancreas",VLOOKUP('App4 - Life Risk Calculator'!C45,'App3 - Inci Mort Data'!$B$7:$S$25,11,FALSE),IF('App4 - Life Risk Calculator'!$C$5="Ovary",VLOOKUP('App4 - Life Risk Calculator'!C45,'App3 - Inci Mort Data'!$B$27:$S$45,11,FALSE),IF('App4 - Life Risk Calculator'!$C$5="Kidney",VLOOKUP('App4 - Life Risk Calculator'!C45,'App3 - Inci Mort Data'!$B$47:$S$65,11,FALSE),IF('App4 - Life Risk Calculator'!$C$5="CLL",VLOOKUP('App4 - Life Risk Calculator'!C45,'App3 - Inci Mort Data'!$B$7:$S$25,17,FALSE),IF('App4 - Life Risk Calculator'!$C$5="Lung",VLOOKUP('App4 - Life Risk Calculator'!C45,'App3 - Inci Mort Data'!$B$27:$S$45,17,FALSE),IF('App4 - Life Risk Calculator'!$C$5="Testis",VLOOKUP('App4 - Life Risk Calculator'!C45,'App3 - Inci Mort Data'!$B$47:$S$65,17,FALSE),"N/A")))))))))</f>
        <v>2.4</v>
      </c>
      <c r="I45" s="204">
        <f>IF($C$5="Breast",VLOOKUP(C45,'App3 - Inci Mort Data'!$B$7:$S$25,6,FALSE),IF('App4 - Life Risk Calculator'!$C$5="Prostate",VLOOKUP('App4 - Life Risk Calculator'!C45,'App3 - Inci Mort Data'!$B$27:$S$45,6,FALSE),IF('App4 - Life Risk Calculator'!$C$5="Colorectal",VLOOKUP('App4 - Life Risk Calculator'!C45,'App3 - Inci Mort Data'!$B$47:$S$65,6,FALSE),IF('App4 - Life Risk Calculator'!$C$5="Pancreas",VLOOKUP('App4 - Life Risk Calculator'!C45,'App3 - Inci Mort Data'!$B$7:$S$25,12,FALSE),IF('App4 - Life Risk Calculator'!$C$5="Ovary",VLOOKUP('App4 - Life Risk Calculator'!C45,'App3 - Inci Mort Data'!$B$27:$S$45,12,FALSE),IF('App4 - Life Risk Calculator'!$C$5="Kidney",VLOOKUP('App4 - Life Risk Calculator'!C45,'App3 - Inci Mort Data'!$B$47:$S$65,12,FALSE),IF('App4 - Life Risk Calculator'!$C$5="CLL",VLOOKUP('App4 - Life Risk Calculator'!C45,'App3 - Inci Mort Data'!$B$7:$S$25,18,FALSE),IF('App4 - Life Risk Calculator'!$C$5="Lung",VLOOKUP('App4 - Life Risk Calculator'!C45,'App3 - Inci Mort Data'!$B$27:$S$45,18,FALSE),IF('App4 - Life Risk Calculator'!$C$5="Testis",VLOOKUP('App4 - Life Risk Calculator'!C45,'App3 - Inci Mort Data'!$B$47:$S$65,18,FALSE),"N/A")))))))))</f>
        <v>0</v>
      </c>
      <c r="J45" s="184"/>
      <c r="K45" s="184"/>
      <c r="L45" s="184"/>
      <c r="M45" s="184"/>
      <c r="N45" s="184"/>
      <c r="O45" s="184"/>
      <c r="P45" s="184"/>
      <c r="Q45" s="184"/>
      <c r="R45" s="184"/>
      <c r="S45" s="184"/>
      <c r="T45" s="184"/>
      <c r="U45" s="185"/>
      <c r="V45" s="185"/>
      <c r="W45" s="185"/>
      <c r="X45" s="185"/>
      <c r="Y45" s="185"/>
    </row>
    <row r="46" spans="1:25" x14ac:dyDescent="0.2">
      <c r="A46" s="184"/>
      <c r="B46" s="1493"/>
      <c r="C46" s="200" t="s">
        <v>87</v>
      </c>
      <c r="D46" s="267">
        <v>3920.0000000000005</v>
      </c>
      <c r="E46" s="215">
        <v>2740</v>
      </c>
      <c r="F46" s="203">
        <f>IF($C$5="Breast",VLOOKUP(C46,'App3 - Inci Mort Data'!$B$7:$S$25,3,FALSE),IF('App4 - Life Risk Calculator'!$C$5="Prostate",VLOOKUP('App4 - Life Risk Calculator'!C46,'App3 - Inci Mort Data'!$B$27:$S$45,3,FALSE),IF('App4 - Life Risk Calculator'!$C$5="Colorectal",VLOOKUP('App4 - Life Risk Calculator'!C46,'App3 - Inci Mort Data'!$B$47:$S$65,3,FALSE),IF('App4 - Life Risk Calculator'!$C$5="Pancreas",VLOOKUP('App4 - Life Risk Calculator'!C46,'App3 - Inci Mort Data'!$B$7:$S$25,9,FALSE),IF('App4 - Life Risk Calculator'!$C$5="Ovary",VLOOKUP('App4 - Life Risk Calculator'!C46,'App3 - Inci Mort Data'!$B$27:$S$45,9,FALSE),IF('App4 - Life Risk Calculator'!$C$5="Kidney",VLOOKUP('App4 - Life Risk Calculator'!C46,'App3 - Inci Mort Data'!$B$47:$S$65,9,FALSE),IF('App4 - Life Risk Calculator'!$C$5="CLL",VLOOKUP('App4 - Life Risk Calculator'!C46,'App3 - Inci Mort Data'!$B$7:$S$25,15,FALSE),IF('App4 - Life Risk Calculator'!$C$5="Lung",VLOOKUP('App4 - Life Risk Calculator'!C46,'App3 - Inci Mort Data'!$B$27:$S$45,15,FALSE),IF('App4 - Life Risk Calculator'!$C$5="Testis",VLOOKUP('App4 - Life Risk Calculator'!C46,'App3 - Inci Mort Data'!$B$47:$S$65,15,FALSE),"N/A")))))))))</f>
        <v>0.2</v>
      </c>
      <c r="G46" s="202">
        <f>IF($C$5="Breast",VLOOKUP(C46,'App3 - Inci Mort Data'!$B$7:$S$25,4,FALSE),IF('App4 - Life Risk Calculator'!$C$5="Prostate",VLOOKUP('App4 - Life Risk Calculator'!C46,'App3 - Inci Mort Data'!$B$27:$S$45,4,FALSE),IF('App4 - Life Risk Calculator'!$C$5="Colorectal",VLOOKUP('App4 - Life Risk Calculator'!C46,'App3 - Inci Mort Data'!$B$47:$S$65,4,FALSE),IF('App4 - Life Risk Calculator'!$C$5="Pancreas",VLOOKUP('App4 - Life Risk Calculator'!C46,'App3 - Inci Mort Data'!$B$7:$S$25,10,FALSE),IF('App4 - Life Risk Calculator'!$C$5="Ovary",VLOOKUP('App4 - Life Risk Calculator'!C46,'App3 - Inci Mort Data'!$B$27:$S$45,10,FALSE),IF('App4 - Life Risk Calculator'!$C$5="Kidney",VLOOKUP('App4 - Life Risk Calculator'!C46,'App3 - Inci Mort Data'!$B$47:$S$65,10,FALSE),IF('App4 - Life Risk Calculator'!$C$5="CLL",VLOOKUP('App4 - Life Risk Calculator'!C46,'App3 - Inci Mort Data'!$B$7:$S$25,16,FALSE),IF('App4 - Life Risk Calculator'!$C$5="Lung",VLOOKUP('App4 - Life Risk Calculator'!C46,'App3 - Inci Mort Data'!$B$27:$S$45,16,FALSE),IF('App4 - Life Risk Calculator'!$C$5="Testis",VLOOKUP('App4 - Life Risk Calculator'!C46,'App3 - Inci Mort Data'!$B$47:$S$65,16,FALSE),"N/A")))))))))</f>
        <v>0</v>
      </c>
      <c r="H46" s="201">
        <f>IF($C$5="Breast",VLOOKUP(C46,'App3 - Inci Mort Data'!$B$7:$S$25,5,FALSE),IF('App4 - Life Risk Calculator'!$C$5="Prostate",VLOOKUP('App4 - Life Risk Calculator'!C46,'App3 - Inci Mort Data'!$B$27:$S$45,5,FALSE),IF('App4 - Life Risk Calculator'!$C$5="Colorectal",VLOOKUP('App4 - Life Risk Calculator'!C46,'App3 - Inci Mort Data'!$B$47:$S$65,5,FALSE),IF('App4 - Life Risk Calculator'!$C$5="Pancreas",VLOOKUP('App4 - Life Risk Calculator'!C46,'App3 - Inci Mort Data'!$B$7:$S$25,11,FALSE),IF('App4 - Life Risk Calculator'!$C$5="Ovary",VLOOKUP('App4 - Life Risk Calculator'!C46,'App3 - Inci Mort Data'!$B$27:$S$45,11,FALSE),IF('App4 - Life Risk Calculator'!$C$5="Kidney",VLOOKUP('App4 - Life Risk Calculator'!C46,'App3 - Inci Mort Data'!$B$47:$S$65,11,FALSE),IF('App4 - Life Risk Calculator'!$C$5="CLL",VLOOKUP('App4 - Life Risk Calculator'!C46,'App3 - Inci Mort Data'!$B$7:$S$25,17,FALSE),IF('App4 - Life Risk Calculator'!$C$5="Lung",VLOOKUP('App4 - Life Risk Calculator'!C46,'App3 - Inci Mort Data'!$B$27:$S$45,17,FALSE),IF('App4 - Life Risk Calculator'!$C$5="Testis",VLOOKUP('App4 - Life Risk Calculator'!C46,'App3 - Inci Mort Data'!$B$47:$S$65,17,FALSE),"N/A")))))))))</f>
        <v>1.4</v>
      </c>
      <c r="I46" s="204">
        <f>IF($C$5="Breast",VLOOKUP(C46,'App3 - Inci Mort Data'!$B$7:$S$25,6,FALSE),IF('App4 - Life Risk Calculator'!$C$5="Prostate",VLOOKUP('App4 - Life Risk Calculator'!C46,'App3 - Inci Mort Data'!$B$27:$S$45,6,FALSE),IF('App4 - Life Risk Calculator'!$C$5="Colorectal",VLOOKUP('App4 - Life Risk Calculator'!C46,'App3 - Inci Mort Data'!$B$47:$S$65,6,FALSE),IF('App4 - Life Risk Calculator'!$C$5="Pancreas",VLOOKUP('App4 - Life Risk Calculator'!C46,'App3 - Inci Mort Data'!$B$7:$S$25,12,FALSE),IF('App4 - Life Risk Calculator'!$C$5="Ovary",VLOOKUP('App4 - Life Risk Calculator'!C46,'App3 - Inci Mort Data'!$B$27:$S$45,12,FALSE),IF('App4 - Life Risk Calculator'!$C$5="Kidney",VLOOKUP('App4 - Life Risk Calculator'!C46,'App3 - Inci Mort Data'!$B$47:$S$65,12,FALSE),IF('App4 - Life Risk Calculator'!$C$5="CLL",VLOOKUP('App4 - Life Risk Calculator'!C46,'App3 - Inci Mort Data'!$B$7:$S$25,18,FALSE),IF('App4 - Life Risk Calculator'!$C$5="Lung",VLOOKUP('App4 - Life Risk Calculator'!C46,'App3 - Inci Mort Data'!$B$27:$S$45,18,FALSE),IF('App4 - Life Risk Calculator'!$C$5="Testis",VLOOKUP('App4 - Life Risk Calculator'!C46,'App3 - Inci Mort Data'!$B$47:$S$65,18,FALSE),"N/A")))))))))</f>
        <v>0</v>
      </c>
      <c r="J46" s="184"/>
      <c r="K46" s="184"/>
      <c r="L46" s="184"/>
      <c r="M46" s="184"/>
      <c r="N46" s="184"/>
      <c r="O46" s="184"/>
      <c r="P46" s="184"/>
      <c r="Q46" s="184"/>
      <c r="R46" s="184"/>
      <c r="S46" s="184"/>
      <c r="T46" s="184"/>
      <c r="U46" s="185"/>
      <c r="V46" s="185"/>
      <c r="W46" s="185"/>
      <c r="X46" s="185"/>
      <c r="Y46" s="185"/>
    </row>
    <row r="47" spans="1:25" x14ac:dyDescent="0.2">
      <c r="A47" s="184"/>
      <c r="B47" s="1493"/>
      <c r="C47" s="200" t="s">
        <v>88</v>
      </c>
      <c r="D47" s="267">
        <v>6820</v>
      </c>
      <c r="E47" s="215">
        <v>5020</v>
      </c>
      <c r="F47" s="203">
        <f>IF($C$5="Breast",VLOOKUP(C47,'App3 - Inci Mort Data'!$B$7:$S$25,3,FALSE),IF('App4 - Life Risk Calculator'!$C$5="Prostate",VLOOKUP('App4 - Life Risk Calculator'!C47,'App3 - Inci Mort Data'!$B$27:$S$45,3,FALSE),IF('App4 - Life Risk Calculator'!$C$5="Colorectal",VLOOKUP('App4 - Life Risk Calculator'!C47,'App3 - Inci Mort Data'!$B$47:$S$65,3,FALSE),IF('App4 - Life Risk Calculator'!$C$5="Pancreas",VLOOKUP('App4 - Life Risk Calculator'!C47,'App3 - Inci Mort Data'!$B$7:$S$25,9,FALSE),IF('App4 - Life Risk Calculator'!$C$5="Ovary",VLOOKUP('App4 - Life Risk Calculator'!C47,'App3 - Inci Mort Data'!$B$27:$S$45,9,FALSE),IF('App4 - Life Risk Calculator'!$C$5="Kidney",VLOOKUP('App4 - Life Risk Calculator'!C47,'App3 - Inci Mort Data'!$B$47:$S$65,9,FALSE),IF('App4 - Life Risk Calculator'!$C$5="CLL",VLOOKUP('App4 - Life Risk Calculator'!C47,'App3 - Inci Mort Data'!$B$7:$S$25,15,FALSE),IF('App4 - Life Risk Calculator'!$C$5="Lung",VLOOKUP('App4 - Life Risk Calculator'!C47,'App3 - Inci Mort Data'!$B$27:$S$45,15,FALSE),IF('App4 - Life Risk Calculator'!$C$5="Testis",VLOOKUP('App4 - Life Risk Calculator'!C47,'App3 - Inci Mort Data'!$B$47:$S$65,15,FALSE),"N/A")))))))))</f>
        <v>0.3</v>
      </c>
      <c r="G47" s="202">
        <f>IF($C$5="Breast",VLOOKUP(C47,'App3 - Inci Mort Data'!$B$7:$S$25,4,FALSE),IF('App4 - Life Risk Calculator'!$C$5="Prostate",VLOOKUP('App4 - Life Risk Calculator'!C47,'App3 - Inci Mort Data'!$B$27:$S$45,4,FALSE),IF('App4 - Life Risk Calculator'!$C$5="Colorectal",VLOOKUP('App4 - Life Risk Calculator'!C47,'App3 - Inci Mort Data'!$B$47:$S$65,4,FALSE),IF('App4 - Life Risk Calculator'!$C$5="Pancreas",VLOOKUP('App4 - Life Risk Calculator'!C47,'App3 - Inci Mort Data'!$B$7:$S$25,10,FALSE),IF('App4 - Life Risk Calculator'!$C$5="Ovary",VLOOKUP('App4 - Life Risk Calculator'!C47,'App3 - Inci Mort Data'!$B$27:$S$45,10,FALSE),IF('App4 - Life Risk Calculator'!$C$5="Kidney",VLOOKUP('App4 - Life Risk Calculator'!C47,'App3 - Inci Mort Data'!$B$47:$S$65,10,FALSE),IF('App4 - Life Risk Calculator'!$C$5="CLL",VLOOKUP('App4 - Life Risk Calculator'!C47,'App3 - Inci Mort Data'!$B$7:$S$25,16,FALSE),IF('App4 - Life Risk Calculator'!$C$5="Lung",VLOOKUP('App4 - Life Risk Calculator'!C47,'App3 - Inci Mort Data'!$B$27:$S$45,16,FALSE),IF('App4 - Life Risk Calculator'!$C$5="Testis",VLOOKUP('App4 - Life Risk Calculator'!C47,'App3 - Inci Mort Data'!$B$47:$S$65,16,FALSE),"N/A")))))))))</f>
        <v>0</v>
      </c>
      <c r="H47" s="201">
        <f>IF($C$5="Breast",VLOOKUP(C47,'App3 - Inci Mort Data'!$B$7:$S$25,5,FALSE),IF('App4 - Life Risk Calculator'!$C$5="Prostate",VLOOKUP('App4 - Life Risk Calculator'!C47,'App3 - Inci Mort Data'!$B$27:$S$45,5,FALSE),IF('App4 - Life Risk Calculator'!$C$5="Colorectal",VLOOKUP('App4 - Life Risk Calculator'!C47,'App3 - Inci Mort Data'!$B$47:$S$65,5,FALSE),IF('App4 - Life Risk Calculator'!$C$5="Pancreas",VLOOKUP('App4 - Life Risk Calculator'!C47,'App3 - Inci Mort Data'!$B$7:$S$25,11,FALSE),IF('App4 - Life Risk Calculator'!$C$5="Ovary",VLOOKUP('App4 - Life Risk Calculator'!C47,'App3 - Inci Mort Data'!$B$27:$S$45,11,FALSE),IF('App4 - Life Risk Calculator'!$C$5="Kidney",VLOOKUP('App4 - Life Risk Calculator'!C47,'App3 - Inci Mort Data'!$B$47:$S$65,11,FALSE),IF('App4 - Life Risk Calculator'!$C$5="CLL",VLOOKUP('App4 - Life Risk Calculator'!C47,'App3 - Inci Mort Data'!$B$7:$S$25,17,FALSE),IF('App4 - Life Risk Calculator'!$C$5="Lung",VLOOKUP('App4 - Life Risk Calculator'!C47,'App3 - Inci Mort Data'!$B$27:$S$45,17,FALSE),IF('App4 - Life Risk Calculator'!$C$5="Testis",VLOOKUP('App4 - Life Risk Calculator'!C47,'App3 - Inci Mort Data'!$B$47:$S$65,17,FALSE),"N/A")))))))))</f>
        <v>1.1000000000000001</v>
      </c>
      <c r="I47" s="204">
        <f>IF($C$5="Breast",VLOOKUP(C47,'App3 - Inci Mort Data'!$B$7:$S$25,6,FALSE),IF('App4 - Life Risk Calculator'!$C$5="Prostate",VLOOKUP('App4 - Life Risk Calculator'!C47,'App3 - Inci Mort Data'!$B$27:$S$45,6,FALSE),IF('App4 - Life Risk Calculator'!$C$5="Colorectal",VLOOKUP('App4 - Life Risk Calculator'!C47,'App3 - Inci Mort Data'!$B$47:$S$65,6,FALSE),IF('App4 - Life Risk Calculator'!$C$5="Pancreas",VLOOKUP('App4 - Life Risk Calculator'!C47,'App3 - Inci Mort Data'!$B$7:$S$25,12,FALSE),IF('App4 - Life Risk Calculator'!$C$5="Ovary",VLOOKUP('App4 - Life Risk Calculator'!C47,'App3 - Inci Mort Data'!$B$27:$S$45,12,FALSE),IF('App4 - Life Risk Calculator'!$C$5="Kidney",VLOOKUP('App4 - Life Risk Calculator'!C47,'App3 - Inci Mort Data'!$B$47:$S$65,12,FALSE),IF('App4 - Life Risk Calculator'!$C$5="CLL",VLOOKUP('App4 - Life Risk Calculator'!C47,'App3 - Inci Mort Data'!$B$7:$S$25,18,FALSE),IF('App4 - Life Risk Calculator'!$C$5="Lung",VLOOKUP('App4 - Life Risk Calculator'!C47,'App3 - Inci Mort Data'!$B$27:$S$45,18,FALSE),IF('App4 - Life Risk Calculator'!$C$5="Testis",VLOOKUP('App4 - Life Risk Calculator'!C47,'App3 - Inci Mort Data'!$B$47:$S$65,18,FALSE),"N/A")))))))))</f>
        <v>0</v>
      </c>
      <c r="J47" s="184"/>
      <c r="K47" s="184"/>
      <c r="L47" s="184"/>
      <c r="M47" s="184"/>
      <c r="N47" s="184"/>
      <c r="O47" s="184"/>
      <c r="P47" s="184"/>
      <c r="Q47" s="184"/>
      <c r="R47" s="184"/>
      <c r="S47" s="184"/>
      <c r="T47" s="184"/>
      <c r="U47" s="185"/>
      <c r="V47" s="185"/>
      <c r="W47" s="185"/>
      <c r="X47" s="185"/>
      <c r="Y47" s="185"/>
    </row>
    <row r="48" spans="1:25" x14ac:dyDescent="0.2">
      <c r="A48" s="184"/>
      <c r="B48" s="1493"/>
      <c r="C48" s="200" t="s">
        <v>89</v>
      </c>
      <c r="D48" s="267">
        <v>12510</v>
      </c>
      <c r="E48" s="215">
        <v>9770</v>
      </c>
      <c r="F48" s="203">
        <f>IF($C$5="Breast",VLOOKUP(C48,'App3 - Inci Mort Data'!$B$7:$S$25,3,FALSE),IF('App4 - Life Risk Calculator'!$C$5="Prostate",VLOOKUP('App4 - Life Risk Calculator'!C48,'App3 - Inci Mort Data'!$B$27:$S$45,3,FALSE),IF('App4 - Life Risk Calculator'!$C$5="Colorectal",VLOOKUP('App4 - Life Risk Calculator'!C48,'App3 - Inci Mort Data'!$B$47:$S$65,3,FALSE),IF('App4 - Life Risk Calculator'!$C$5="Pancreas",VLOOKUP('App4 - Life Risk Calculator'!C48,'App3 - Inci Mort Data'!$B$7:$S$25,9,FALSE),IF('App4 - Life Risk Calculator'!$C$5="Ovary",VLOOKUP('App4 - Life Risk Calculator'!C48,'App3 - Inci Mort Data'!$B$27:$S$45,9,FALSE),IF('App4 - Life Risk Calculator'!$C$5="Kidney",VLOOKUP('App4 - Life Risk Calculator'!C48,'App3 - Inci Mort Data'!$B$47:$S$65,9,FALSE),IF('App4 - Life Risk Calculator'!$C$5="CLL",VLOOKUP('App4 - Life Risk Calculator'!C48,'App3 - Inci Mort Data'!$B$7:$S$25,15,FALSE),IF('App4 - Life Risk Calculator'!$C$5="Lung",VLOOKUP('App4 - Life Risk Calculator'!C48,'App3 - Inci Mort Data'!$B$27:$S$45,15,FALSE),IF('App4 - Life Risk Calculator'!$C$5="Testis",VLOOKUP('App4 - Life Risk Calculator'!C48,'App3 - Inci Mort Data'!$B$47:$S$65,15,FALSE),"N/A")))))))))</f>
        <v>0.3</v>
      </c>
      <c r="G48" s="202">
        <f>IF($C$5="Breast",VLOOKUP(C48,'App3 - Inci Mort Data'!$B$7:$S$25,4,FALSE),IF('App4 - Life Risk Calculator'!$C$5="Prostate",VLOOKUP('App4 - Life Risk Calculator'!C48,'App3 - Inci Mort Data'!$B$27:$S$45,4,FALSE),IF('App4 - Life Risk Calculator'!$C$5="Colorectal",VLOOKUP('App4 - Life Risk Calculator'!C48,'App3 - Inci Mort Data'!$B$47:$S$65,4,FALSE),IF('App4 - Life Risk Calculator'!$C$5="Pancreas",VLOOKUP('App4 - Life Risk Calculator'!C48,'App3 - Inci Mort Data'!$B$7:$S$25,10,FALSE),IF('App4 - Life Risk Calculator'!$C$5="Ovary",VLOOKUP('App4 - Life Risk Calculator'!C48,'App3 - Inci Mort Data'!$B$27:$S$45,10,FALSE),IF('App4 - Life Risk Calculator'!$C$5="Kidney",VLOOKUP('App4 - Life Risk Calculator'!C48,'App3 - Inci Mort Data'!$B$47:$S$65,10,FALSE),IF('App4 - Life Risk Calculator'!$C$5="CLL",VLOOKUP('App4 - Life Risk Calculator'!C48,'App3 - Inci Mort Data'!$B$7:$S$25,16,FALSE),IF('App4 - Life Risk Calculator'!$C$5="Lung",VLOOKUP('App4 - Life Risk Calculator'!C48,'App3 - Inci Mort Data'!$B$27:$S$45,16,FALSE),IF('App4 - Life Risk Calculator'!$C$5="Testis",VLOOKUP('App4 - Life Risk Calculator'!C48,'App3 - Inci Mort Data'!$B$47:$S$65,16,FALSE),"N/A")))))))))</f>
        <v>0</v>
      </c>
      <c r="H48" s="201">
        <f>IF($C$5="Breast",VLOOKUP(C48,'App3 - Inci Mort Data'!$B$7:$S$25,5,FALSE),IF('App4 - Life Risk Calculator'!$C$5="Prostate",VLOOKUP('App4 - Life Risk Calculator'!C48,'App3 - Inci Mort Data'!$B$27:$S$45,5,FALSE),IF('App4 - Life Risk Calculator'!$C$5="Colorectal",VLOOKUP('App4 - Life Risk Calculator'!C48,'App3 - Inci Mort Data'!$B$47:$S$65,5,FALSE),IF('App4 - Life Risk Calculator'!$C$5="Pancreas",VLOOKUP('App4 - Life Risk Calculator'!C48,'App3 - Inci Mort Data'!$B$7:$S$25,11,FALSE),IF('App4 - Life Risk Calculator'!$C$5="Ovary",VLOOKUP('App4 - Life Risk Calculator'!C48,'App3 - Inci Mort Data'!$B$27:$S$45,11,FALSE),IF('App4 - Life Risk Calculator'!$C$5="Kidney",VLOOKUP('App4 - Life Risk Calculator'!C48,'App3 - Inci Mort Data'!$B$47:$S$65,11,FALSE),IF('App4 - Life Risk Calculator'!$C$5="CLL",VLOOKUP('App4 - Life Risk Calculator'!C48,'App3 - Inci Mort Data'!$B$7:$S$25,17,FALSE),IF('App4 - Life Risk Calculator'!$C$5="Lung",VLOOKUP('App4 - Life Risk Calculator'!C48,'App3 - Inci Mort Data'!$B$27:$S$45,17,FALSE),IF('App4 - Life Risk Calculator'!$C$5="Testis",VLOOKUP('App4 - Life Risk Calculator'!C48,'App3 - Inci Mort Data'!$B$47:$S$65,17,FALSE),"N/A")))))))))</f>
        <v>0.9</v>
      </c>
      <c r="I48" s="204">
        <f>IF($C$5="Breast",VLOOKUP(C48,'App3 - Inci Mort Data'!$B$7:$S$25,6,FALSE),IF('App4 - Life Risk Calculator'!$C$5="Prostate",VLOOKUP('App4 - Life Risk Calculator'!C48,'App3 - Inci Mort Data'!$B$27:$S$45,6,FALSE),IF('App4 - Life Risk Calculator'!$C$5="Colorectal",VLOOKUP('App4 - Life Risk Calculator'!C48,'App3 - Inci Mort Data'!$B$47:$S$65,6,FALSE),IF('App4 - Life Risk Calculator'!$C$5="Pancreas",VLOOKUP('App4 - Life Risk Calculator'!C48,'App3 - Inci Mort Data'!$B$7:$S$25,12,FALSE),IF('App4 - Life Risk Calculator'!$C$5="Ovary",VLOOKUP('App4 - Life Risk Calculator'!C48,'App3 - Inci Mort Data'!$B$27:$S$45,12,FALSE),IF('App4 - Life Risk Calculator'!$C$5="Kidney",VLOOKUP('App4 - Life Risk Calculator'!C48,'App3 - Inci Mort Data'!$B$47:$S$65,12,FALSE),IF('App4 - Life Risk Calculator'!$C$5="CLL",VLOOKUP('App4 - Life Risk Calculator'!C48,'App3 - Inci Mort Data'!$B$7:$S$25,18,FALSE),IF('App4 - Life Risk Calculator'!$C$5="Lung",VLOOKUP('App4 - Life Risk Calculator'!C48,'App3 - Inci Mort Data'!$B$27:$S$45,18,FALSE),IF('App4 - Life Risk Calculator'!$C$5="Testis",VLOOKUP('App4 - Life Risk Calculator'!C48,'App3 - Inci Mort Data'!$B$47:$S$65,18,FALSE),"N/A")))))))))</f>
        <v>0</v>
      </c>
      <c r="J48" s="184"/>
      <c r="K48" s="184"/>
      <c r="L48" s="184"/>
      <c r="M48" s="184"/>
      <c r="N48" s="184"/>
      <c r="O48" s="184"/>
      <c r="P48" s="184"/>
      <c r="Q48" s="184"/>
      <c r="R48" s="184"/>
      <c r="S48" s="184"/>
      <c r="T48" s="184"/>
      <c r="U48" s="185"/>
      <c r="V48" s="185"/>
      <c r="W48" s="185"/>
      <c r="X48" s="185"/>
      <c r="Y48" s="185"/>
    </row>
    <row r="49" spans="1:25" ht="17" thickBot="1" x14ac:dyDescent="0.25">
      <c r="A49" s="184"/>
      <c r="B49" s="1494"/>
      <c r="C49" s="205" t="s">
        <v>90</v>
      </c>
      <c r="D49" s="216">
        <v>23510</v>
      </c>
      <c r="E49" s="217">
        <v>21520</v>
      </c>
      <c r="F49" s="208">
        <f>IF($C$5="Breast",VLOOKUP(C49,'App3 - Inci Mort Data'!$B$7:$S$25,3,FALSE),IF('App4 - Life Risk Calculator'!$C$5="Prostate",VLOOKUP('App4 - Life Risk Calculator'!C49,'App3 - Inci Mort Data'!$B$27:$S$45,3,FALSE),IF('App4 - Life Risk Calculator'!$C$5="Colorectal",VLOOKUP('App4 - Life Risk Calculator'!C49,'App3 - Inci Mort Data'!$B$47:$S$65,3,FALSE),IF('App4 - Life Risk Calculator'!$C$5="Pancreas",VLOOKUP('App4 - Life Risk Calculator'!C49,'App3 - Inci Mort Data'!$B$7:$S$25,9,FALSE),IF('App4 - Life Risk Calculator'!$C$5="Ovary",VLOOKUP('App4 - Life Risk Calculator'!C49,'App3 - Inci Mort Data'!$B$27:$S$45,9,FALSE),IF('App4 - Life Risk Calculator'!$C$5="Kidney",VLOOKUP('App4 - Life Risk Calculator'!C49,'App3 - Inci Mort Data'!$B$47:$S$65,9,FALSE),IF('App4 - Life Risk Calculator'!$C$5="CLL",VLOOKUP('App4 - Life Risk Calculator'!C49,'App3 - Inci Mort Data'!$B$7:$S$25,15,FALSE),IF('App4 - Life Risk Calculator'!$C$5="Lung",VLOOKUP('App4 - Life Risk Calculator'!C49,'App3 - Inci Mort Data'!$B$27:$S$45,15,FALSE),IF('App4 - Life Risk Calculator'!$C$5="Testis",VLOOKUP('App4 - Life Risk Calculator'!C49,'App3 - Inci Mort Data'!$B$47:$S$65,15,FALSE),"N/A")))))))))</f>
        <v>0.7</v>
      </c>
      <c r="G49" s="207">
        <f>IF($C$5="Breast",VLOOKUP(C49,'App3 - Inci Mort Data'!$B$7:$S$25,4,FALSE),IF('App4 - Life Risk Calculator'!$C$5="Prostate",VLOOKUP('App4 - Life Risk Calculator'!C49,'App3 - Inci Mort Data'!$B$27:$S$45,4,FALSE),IF('App4 - Life Risk Calculator'!$C$5="Colorectal",VLOOKUP('App4 - Life Risk Calculator'!C49,'App3 - Inci Mort Data'!$B$47:$S$65,4,FALSE),IF('App4 - Life Risk Calculator'!$C$5="Pancreas",VLOOKUP('App4 - Life Risk Calculator'!C49,'App3 - Inci Mort Data'!$B$7:$S$25,10,FALSE),IF('App4 - Life Risk Calculator'!$C$5="Ovary",VLOOKUP('App4 - Life Risk Calculator'!C49,'App3 - Inci Mort Data'!$B$27:$S$45,10,FALSE),IF('App4 - Life Risk Calculator'!$C$5="Kidney",VLOOKUP('App4 - Life Risk Calculator'!C49,'App3 - Inci Mort Data'!$B$47:$S$65,10,FALSE),IF('App4 - Life Risk Calculator'!$C$5="CLL",VLOOKUP('App4 - Life Risk Calculator'!C49,'App3 - Inci Mort Data'!$B$7:$S$25,16,FALSE),IF('App4 - Life Risk Calculator'!$C$5="Lung",VLOOKUP('App4 - Life Risk Calculator'!C49,'App3 - Inci Mort Data'!$B$27:$S$45,16,FALSE),IF('App4 - Life Risk Calculator'!$C$5="Testis",VLOOKUP('App4 - Life Risk Calculator'!C49,'App3 - Inci Mort Data'!$B$47:$S$65,16,FALSE),"N/A")))))))))</f>
        <v>0</v>
      </c>
      <c r="H49" s="206">
        <f>IF($C$5="Breast",VLOOKUP(C49,'App3 - Inci Mort Data'!$B$7:$S$25,5,FALSE),IF('App4 - Life Risk Calculator'!$C$5="Prostate",VLOOKUP('App4 - Life Risk Calculator'!C49,'App3 - Inci Mort Data'!$B$27:$S$45,5,FALSE),IF('App4 - Life Risk Calculator'!$C$5="Colorectal",VLOOKUP('App4 - Life Risk Calculator'!C49,'App3 - Inci Mort Data'!$B$47:$S$65,5,FALSE),IF('App4 - Life Risk Calculator'!$C$5="Pancreas",VLOOKUP('App4 - Life Risk Calculator'!C49,'App3 - Inci Mort Data'!$B$7:$S$25,11,FALSE),IF('App4 - Life Risk Calculator'!$C$5="Ovary",VLOOKUP('App4 - Life Risk Calculator'!C49,'App3 - Inci Mort Data'!$B$27:$S$45,11,FALSE),IF('App4 - Life Risk Calculator'!$C$5="Kidney",VLOOKUP('App4 - Life Risk Calculator'!C49,'App3 - Inci Mort Data'!$B$47:$S$65,11,FALSE),IF('App4 - Life Risk Calculator'!$C$5="CLL",VLOOKUP('App4 - Life Risk Calculator'!C49,'App3 - Inci Mort Data'!$B$7:$S$25,17,FALSE),IF('App4 - Life Risk Calculator'!$C$5="Lung",VLOOKUP('App4 - Life Risk Calculator'!C49,'App3 - Inci Mort Data'!$B$27:$S$45,17,FALSE),IF('App4 - Life Risk Calculator'!$C$5="Testis",VLOOKUP('App4 - Life Risk Calculator'!C49,'App3 - Inci Mort Data'!$B$47:$S$65,17,FALSE),"N/A")))))))))</f>
        <v>2.1</v>
      </c>
      <c r="I49" s="209">
        <f>IF($C$5="Breast",VLOOKUP(C49,'App3 - Inci Mort Data'!$B$7:$S$25,6,FALSE),IF('App4 - Life Risk Calculator'!$C$5="Prostate",VLOOKUP('App4 - Life Risk Calculator'!C49,'App3 - Inci Mort Data'!$B$27:$S$45,6,FALSE),IF('App4 - Life Risk Calculator'!$C$5="Colorectal",VLOOKUP('App4 - Life Risk Calculator'!C49,'App3 - Inci Mort Data'!$B$47:$S$65,6,FALSE),IF('App4 - Life Risk Calculator'!$C$5="Pancreas",VLOOKUP('App4 - Life Risk Calculator'!C49,'App3 - Inci Mort Data'!$B$7:$S$25,12,FALSE),IF('App4 - Life Risk Calculator'!$C$5="Ovary",VLOOKUP('App4 - Life Risk Calculator'!C49,'App3 - Inci Mort Data'!$B$27:$S$45,12,FALSE),IF('App4 - Life Risk Calculator'!$C$5="Kidney",VLOOKUP('App4 - Life Risk Calculator'!C49,'App3 - Inci Mort Data'!$B$47:$S$65,12,FALSE),IF('App4 - Life Risk Calculator'!$C$5="CLL",VLOOKUP('App4 - Life Risk Calculator'!C49,'App3 - Inci Mort Data'!$B$7:$S$25,18,FALSE),IF('App4 - Life Risk Calculator'!$C$5="Lung",VLOOKUP('App4 - Life Risk Calculator'!C49,'App3 - Inci Mort Data'!$B$27:$S$45,18,FALSE),IF('App4 - Life Risk Calculator'!$C$5="Testis",VLOOKUP('App4 - Life Risk Calculator'!C49,'App3 - Inci Mort Data'!$B$47:$S$65,18,FALSE),"N/A")))))))))</f>
        <v>0</v>
      </c>
      <c r="J49" s="184"/>
      <c r="K49" s="184"/>
      <c r="L49" s="184"/>
      <c r="M49" s="184"/>
      <c r="N49" s="184"/>
      <c r="O49" s="184"/>
      <c r="P49" s="184"/>
      <c r="Q49" s="184"/>
      <c r="R49" s="184"/>
      <c r="S49" s="184"/>
      <c r="T49" s="184"/>
      <c r="U49" s="185"/>
      <c r="V49" s="185"/>
      <c r="W49" s="185"/>
      <c r="X49" s="185"/>
      <c r="Y49" s="185"/>
    </row>
    <row r="50" spans="1:25" ht="17" thickBot="1" x14ac:dyDescent="0.25">
      <c r="A50" s="184"/>
      <c r="B50" s="184"/>
      <c r="C50" s="184"/>
      <c r="D50" s="184"/>
      <c r="E50" s="184"/>
      <c r="F50" s="184"/>
      <c r="G50" s="184"/>
      <c r="H50" s="184"/>
      <c r="I50" s="184"/>
      <c r="J50" s="184"/>
      <c r="K50" s="184"/>
      <c r="L50" s="184"/>
      <c r="M50" s="184"/>
      <c r="N50" s="184"/>
      <c r="O50" s="184"/>
      <c r="P50" s="184"/>
      <c r="Q50" s="184"/>
      <c r="R50" s="184"/>
      <c r="S50" s="184"/>
      <c r="T50" s="184"/>
      <c r="U50" s="185"/>
      <c r="V50" s="185"/>
      <c r="W50" s="185"/>
      <c r="X50" s="185"/>
      <c r="Y50" s="185"/>
    </row>
    <row r="51" spans="1:25" ht="17" thickBot="1" x14ac:dyDescent="0.25">
      <c r="A51" s="184"/>
      <c r="B51" s="210" t="s">
        <v>91</v>
      </c>
      <c r="C51" s="184"/>
      <c r="D51" s="184"/>
      <c r="E51" s="184"/>
      <c r="F51" s="184"/>
      <c r="G51" s="184"/>
      <c r="H51" s="184"/>
      <c r="I51" s="184"/>
      <c r="J51" s="184"/>
      <c r="K51" s="184"/>
      <c r="L51" s="184"/>
      <c r="M51" s="184"/>
      <c r="N51" s="184"/>
      <c r="O51" s="184"/>
      <c r="P51" s="184"/>
      <c r="Q51" s="184"/>
      <c r="R51" s="184"/>
      <c r="S51" s="184"/>
      <c r="T51" s="184"/>
      <c r="U51" s="185"/>
      <c r="V51" s="185"/>
      <c r="W51" s="185"/>
      <c r="X51" s="185"/>
      <c r="Y51" s="185"/>
    </row>
    <row r="52" spans="1:25" ht="17" thickBot="1" x14ac:dyDescent="0.25">
      <c r="A52" s="184"/>
      <c r="B52" s="184"/>
      <c r="C52" s="184"/>
      <c r="D52" s="184"/>
      <c r="E52" s="184"/>
      <c r="F52" s="184"/>
      <c r="G52" s="184"/>
      <c r="H52" s="184"/>
      <c r="I52" s="184"/>
      <c r="J52" s="184"/>
      <c r="K52" s="184"/>
      <c r="L52" s="184"/>
      <c r="M52" s="184"/>
      <c r="N52" s="184"/>
      <c r="O52" s="184"/>
      <c r="P52" s="184"/>
      <c r="Q52" s="184"/>
      <c r="R52" s="184"/>
      <c r="S52" s="184"/>
      <c r="T52" s="184"/>
      <c r="U52" s="185"/>
      <c r="V52" s="185"/>
      <c r="W52" s="185"/>
      <c r="X52" s="185"/>
      <c r="Y52" s="185"/>
    </row>
    <row r="53" spans="1:25" ht="21" customHeight="1" x14ac:dyDescent="0.2">
      <c r="A53" s="184"/>
      <c r="B53" s="1509" t="s">
        <v>92</v>
      </c>
      <c r="C53" s="1507" t="s">
        <v>93</v>
      </c>
      <c r="D53" s="1507" t="s">
        <v>94</v>
      </c>
      <c r="E53" s="211" t="str">
        <f>C5</f>
        <v>Testis</v>
      </c>
      <c r="F53" s="211" t="str">
        <f>C5</f>
        <v>Testis</v>
      </c>
      <c r="G53" s="1505"/>
      <c r="H53" s="1507" t="s">
        <v>95</v>
      </c>
      <c r="I53" s="1507" t="s">
        <v>96</v>
      </c>
      <c r="J53" s="189"/>
      <c r="K53" s="1507" t="s">
        <v>97</v>
      </c>
      <c r="L53" s="1507" t="s">
        <v>98</v>
      </c>
      <c r="M53" s="1507" t="s">
        <v>99</v>
      </c>
      <c r="N53" s="1505"/>
      <c r="O53" s="1513" t="s">
        <v>100</v>
      </c>
      <c r="P53" s="211" t="str">
        <f>C5</f>
        <v>Testis</v>
      </c>
      <c r="Q53" s="1507" t="s">
        <v>101</v>
      </c>
      <c r="R53" s="1507" t="s">
        <v>102</v>
      </c>
      <c r="S53" s="1511" t="s">
        <v>103</v>
      </c>
      <c r="T53" s="184"/>
      <c r="U53" s="185"/>
      <c r="V53" s="185"/>
      <c r="W53" s="185"/>
      <c r="X53" s="185"/>
      <c r="Y53" s="185"/>
    </row>
    <row r="54" spans="1:25" ht="55" customHeight="1" thickBot="1" x14ac:dyDescent="0.25">
      <c r="A54" s="184"/>
      <c r="B54" s="1510"/>
      <c r="C54" s="1508"/>
      <c r="D54" s="1508"/>
      <c r="E54" s="213" t="s">
        <v>104</v>
      </c>
      <c r="F54" s="213" t="s">
        <v>105</v>
      </c>
      <c r="G54" s="1506"/>
      <c r="H54" s="1508"/>
      <c r="I54" s="1508"/>
      <c r="J54" s="213"/>
      <c r="K54" s="1508"/>
      <c r="L54" s="1508"/>
      <c r="M54" s="1508"/>
      <c r="N54" s="1506"/>
      <c r="O54" s="1514"/>
      <c r="P54" s="214" t="s">
        <v>106</v>
      </c>
      <c r="Q54" s="1508"/>
      <c r="R54" s="1508"/>
      <c r="S54" s="1512"/>
      <c r="T54" s="114"/>
      <c r="U54" s="114"/>
      <c r="V54" s="114"/>
      <c r="W54" s="114"/>
      <c r="X54" s="185"/>
      <c r="Y54" s="185"/>
    </row>
    <row r="55" spans="1:25" ht="17" thickTop="1" x14ac:dyDescent="0.2">
      <c r="A55" s="184"/>
      <c r="B55" s="159" t="s">
        <v>72</v>
      </c>
      <c r="C55" s="160">
        <v>0</v>
      </c>
      <c r="D55" s="161">
        <f t="shared" ref="D55:D73" si="0">D31</f>
        <v>94</v>
      </c>
      <c r="E55" s="162">
        <f t="shared" ref="E55:E73" si="1">F31</f>
        <v>0</v>
      </c>
      <c r="F55" s="162">
        <f t="shared" ref="F55:F73" si="2">H31</f>
        <v>0.4</v>
      </c>
      <c r="G55" s="119"/>
      <c r="H55" s="152">
        <f t="shared" ref="H55:H73" si="3">$D$26</f>
        <v>0.5</v>
      </c>
      <c r="I55" s="163">
        <f t="shared" ref="I55:I73" si="4">$C$26</f>
        <v>19.708971526014594</v>
      </c>
      <c r="J55" s="164"/>
      <c r="K55" s="165">
        <f>F55/((1-H55)+(I55*H55))</f>
        <v>3.8630600220539234E-2</v>
      </c>
      <c r="L55" s="165">
        <f t="shared" ref="L55:L73" si="5">K55*I55</f>
        <v>0.76136939977946083</v>
      </c>
      <c r="M55" s="165">
        <f t="shared" ref="M55:M73" si="6">IF(F55&gt;0, E55*L55/F55, 0)</f>
        <v>0</v>
      </c>
      <c r="N55" s="165"/>
      <c r="O55" s="117">
        <v>2.5</v>
      </c>
      <c r="P55" s="118">
        <f t="shared" ref="P55:P73" si="7">1-EXP(-1*(D55-M55+L55)/100000*5)</f>
        <v>4.7268615303113215E-3</v>
      </c>
      <c r="Q55" s="118">
        <v>1</v>
      </c>
      <c r="R55" s="145">
        <f t="shared" ref="R55:R73" si="8">L55*Q55/100000*5</f>
        <v>3.8068469988973042E-5</v>
      </c>
      <c r="S55" s="146">
        <f>0.5*R55</f>
        <v>1.9034234994486521E-5</v>
      </c>
      <c r="T55" s="119"/>
      <c r="U55" s="119"/>
      <c r="V55" s="120"/>
      <c r="W55" s="120"/>
      <c r="X55" s="185"/>
      <c r="Y55" s="185"/>
    </row>
    <row r="56" spans="1:25" x14ac:dyDescent="0.2">
      <c r="A56" s="184"/>
      <c r="B56" s="166" t="s">
        <v>73</v>
      </c>
      <c r="C56" s="167" t="s">
        <v>107</v>
      </c>
      <c r="D56" s="161">
        <f t="shared" si="0"/>
        <v>10</v>
      </c>
      <c r="E56" s="162">
        <f t="shared" si="1"/>
        <v>0</v>
      </c>
      <c r="F56" s="162">
        <f t="shared" si="2"/>
        <v>0.1</v>
      </c>
      <c r="G56" s="119"/>
      <c r="H56" s="152">
        <f t="shared" si="3"/>
        <v>0.5</v>
      </c>
      <c r="I56" s="163">
        <f t="shared" si="4"/>
        <v>19.708971526014594</v>
      </c>
      <c r="J56" s="164"/>
      <c r="K56" s="165">
        <f t="shared" ref="K56:K73" si="9">F56/((1-H56)+(I56*H56))</f>
        <v>9.6576500551348084E-3</v>
      </c>
      <c r="L56" s="165">
        <f t="shared" si="5"/>
        <v>0.19034234994486521</v>
      </c>
      <c r="M56" s="165">
        <f t="shared" si="6"/>
        <v>0</v>
      </c>
      <c r="N56" s="165"/>
      <c r="O56" s="117">
        <f>5+O55</f>
        <v>7.5</v>
      </c>
      <c r="P56" s="118">
        <f t="shared" si="7"/>
        <v>5.0938733569372285E-4</v>
      </c>
      <c r="Q56" s="118">
        <f>Q55*(1-P55)</f>
        <v>0.99527313846968868</v>
      </c>
      <c r="R56" s="145">
        <f t="shared" si="8"/>
        <v>9.472131400666088E-6</v>
      </c>
      <c r="S56" s="146">
        <f>0.5*R56+0.5*R55+S55</f>
        <v>4.2804535689306084E-5</v>
      </c>
      <c r="T56" s="119"/>
      <c r="U56" s="119"/>
      <c r="V56" s="120"/>
      <c r="W56" s="120"/>
      <c r="X56" s="185"/>
      <c r="Y56" s="185"/>
    </row>
    <row r="57" spans="1:25" x14ac:dyDescent="0.2">
      <c r="A57" s="184"/>
      <c r="B57" s="166" t="s">
        <v>74</v>
      </c>
      <c r="C57" s="167" t="s">
        <v>108</v>
      </c>
      <c r="D57" s="161">
        <f t="shared" si="0"/>
        <v>10</v>
      </c>
      <c r="E57" s="162">
        <f t="shared" si="1"/>
        <v>0</v>
      </c>
      <c r="F57" s="162">
        <f t="shared" si="2"/>
        <v>0.3</v>
      </c>
      <c r="G57" s="119"/>
      <c r="H57" s="152">
        <f t="shared" si="3"/>
        <v>0.5</v>
      </c>
      <c r="I57" s="163">
        <f t="shared" si="4"/>
        <v>19.708971526014594</v>
      </c>
      <c r="J57" s="164"/>
      <c r="K57" s="165">
        <f t="shared" si="9"/>
        <v>2.897295016540442E-2</v>
      </c>
      <c r="L57" s="165">
        <f t="shared" si="5"/>
        <v>0.57102704983459551</v>
      </c>
      <c r="M57" s="165">
        <f t="shared" si="6"/>
        <v>0</v>
      </c>
      <c r="N57" s="165"/>
      <c r="O57" s="117">
        <f t="shared" ref="O57:O73" si="10">5+O56</f>
        <v>12.5</v>
      </c>
      <c r="P57" s="118">
        <f t="shared" si="7"/>
        <v>5.2841169383233133E-4</v>
      </c>
      <c r="Q57" s="118">
        <f t="shared" ref="Q57:Q73" si="11">Q56*(1-P56)</f>
        <v>0.99476615893739606</v>
      </c>
      <c r="R57" s="145">
        <f t="shared" si="8"/>
        <v>2.8401919250665681E-5</v>
      </c>
      <c r="S57" s="146">
        <f>0.5*R57+0.5*R56+S56</f>
        <v>6.1741561014971977E-5</v>
      </c>
      <c r="T57" s="119"/>
      <c r="U57" s="119"/>
      <c r="V57" s="120"/>
      <c r="W57" s="120"/>
      <c r="X57" s="185"/>
      <c r="Y57" s="185"/>
    </row>
    <row r="58" spans="1:25" x14ac:dyDescent="0.2">
      <c r="A58" s="184"/>
      <c r="B58" s="159" t="s">
        <v>75</v>
      </c>
      <c r="C58" s="160">
        <v>15</v>
      </c>
      <c r="D58" s="161">
        <f t="shared" si="0"/>
        <v>30</v>
      </c>
      <c r="E58" s="162">
        <f t="shared" si="1"/>
        <v>0</v>
      </c>
      <c r="F58" s="162">
        <f t="shared" si="2"/>
        <v>2.6</v>
      </c>
      <c r="G58" s="119"/>
      <c r="H58" s="152">
        <f t="shared" si="3"/>
        <v>0.5</v>
      </c>
      <c r="I58" s="163">
        <f t="shared" si="4"/>
        <v>19.708971526014594</v>
      </c>
      <c r="J58" s="164"/>
      <c r="K58" s="165">
        <f t="shared" si="9"/>
        <v>0.251098901433505</v>
      </c>
      <c r="L58" s="165">
        <f t="shared" si="5"/>
        <v>4.9489010985664947</v>
      </c>
      <c r="M58" s="165">
        <f t="shared" si="6"/>
        <v>0</v>
      </c>
      <c r="N58" s="165"/>
      <c r="O58" s="117">
        <f t="shared" si="10"/>
        <v>17.5</v>
      </c>
      <c r="P58" s="118">
        <f t="shared" si="7"/>
        <v>1.745919161752596E-3</v>
      </c>
      <c r="Q58" s="118">
        <f t="shared" si="11"/>
        <v>0.99424051286638482</v>
      </c>
      <c r="R58" s="145">
        <f t="shared" si="8"/>
        <v>2.4601989831818838E-4</v>
      </c>
      <c r="S58" s="146">
        <f t="shared" ref="S58:S72" si="12">0.5*R58+0.5*R57+S57</f>
        <v>1.98952469799399E-4</v>
      </c>
      <c r="T58" s="119"/>
      <c r="U58" s="119"/>
      <c r="V58" s="120"/>
      <c r="W58" s="120"/>
      <c r="X58" s="185"/>
      <c r="Y58" s="185"/>
    </row>
    <row r="59" spans="1:25" x14ac:dyDescent="0.2">
      <c r="A59" s="184"/>
      <c r="B59" s="159" t="s">
        <v>76</v>
      </c>
      <c r="C59" s="160">
        <v>20</v>
      </c>
      <c r="D59" s="161">
        <f t="shared" si="0"/>
        <v>50</v>
      </c>
      <c r="E59" s="162">
        <f t="shared" si="1"/>
        <v>0.1</v>
      </c>
      <c r="F59" s="162">
        <f t="shared" si="2"/>
        <v>9.3000000000000007</v>
      </c>
      <c r="G59" s="119"/>
      <c r="H59" s="152">
        <f t="shared" si="3"/>
        <v>0.5</v>
      </c>
      <c r="I59" s="163">
        <f t="shared" si="4"/>
        <v>19.708971526014594</v>
      </c>
      <c r="J59" s="164"/>
      <c r="K59" s="165">
        <f t="shared" si="9"/>
        <v>0.8981614551275372</v>
      </c>
      <c r="L59" s="165">
        <f t="shared" si="5"/>
        <v>17.701838544872466</v>
      </c>
      <c r="M59" s="165">
        <f t="shared" si="6"/>
        <v>0.19034234994486521</v>
      </c>
      <c r="N59" s="165"/>
      <c r="O59" s="117">
        <f t="shared" si="10"/>
        <v>22.5</v>
      </c>
      <c r="P59" s="118">
        <f t="shared" si="7"/>
        <v>3.3698839621929544E-3</v>
      </c>
      <c r="Q59" s="118">
        <f t="shared" si="11"/>
        <v>0.99250464930358062</v>
      </c>
      <c r="R59" s="145">
        <f t="shared" si="8"/>
        <v>8.7845785285036262E-4</v>
      </c>
      <c r="S59" s="146">
        <f t="shared" si="12"/>
        <v>7.611913453836745E-4</v>
      </c>
      <c r="T59" s="119"/>
      <c r="U59" s="119"/>
      <c r="V59" s="120"/>
      <c r="W59" s="120"/>
      <c r="X59" s="185"/>
      <c r="Y59" s="185"/>
    </row>
    <row r="60" spans="1:25" x14ac:dyDescent="0.2">
      <c r="A60" s="184"/>
      <c r="B60" s="159" t="s">
        <v>77</v>
      </c>
      <c r="C60" s="160">
        <v>25</v>
      </c>
      <c r="D60" s="161">
        <f t="shared" si="0"/>
        <v>60</v>
      </c>
      <c r="E60" s="162">
        <f t="shared" si="1"/>
        <v>0.2</v>
      </c>
      <c r="F60" s="162">
        <f t="shared" si="2"/>
        <v>15.5</v>
      </c>
      <c r="G60" s="119"/>
      <c r="H60" s="152">
        <f t="shared" si="3"/>
        <v>0.5</v>
      </c>
      <c r="I60" s="163">
        <f t="shared" si="4"/>
        <v>19.708971526014594</v>
      </c>
      <c r="J60" s="164"/>
      <c r="K60" s="165">
        <f t="shared" si="9"/>
        <v>1.4969357585458951</v>
      </c>
      <c r="L60" s="165">
        <f t="shared" si="5"/>
        <v>29.503064241454105</v>
      </c>
      <c r="M60" s="165">
        <f t="shared" si="6"/>
        <v>0.38068469988973042</v>
      </c>
      <c r="N60" s="165"/>
      <c r="O60" s="117">
        <f t="shared" si="10"/>
        <v>27.5</v>
      </c>
      <c r="P60" s="118">
        <f>1-EXP(-1*(D60-M60+L60)/100000*5)</f>
        <v>4.4462052100178173E-3</v>
      </c>
      <c r="Q60" s="118">
        <f t="shared" si="11"/>
        <v>0.98916002380349055</v>
      </c>
      <c r="R60" s="145">
        <f t="shared" si="8"/>
        <v>1.4591625863676328E-3</v>
      </c>
      <c r="S60" s="146">
        <f t="shared" si="12"/>
        <v>1.9300015649926722E-3</v>
      </c>
      <c r="T60" s="119"/>
      <c r="U60" s="119"/>
      <c r="V60" s="120"/>
      <c r="W60" s="120"/>
      <c r="X60" s="185"/>
      <c r="Y60" s="185"/>
    </row>
    <row r="61" spans="1:25" x14ac:dyDescent="0.2">
      <c r="A61" s="184"/>
      <c r="B61" s="159" t="s">
        <v>78</v>
      </c>
      <c r="C61" s="160">
        <v>30</v>
      </c>
      <c r="D61" s="161">
        <f t="shared" si="0"/>
        <v>80</v>
      </c>
      <c r="E61" s="162">
        <f t="shared" si="1"/>
        <v>0.4</v>
      </c>
      <c r="F61" s="162">
        <f t="shared" si="2"/>
        <v>20.399999999999999</v>
      </c>
      <c r="G61" s="119"/>
      <c r="H61" s="152">
        <f t="shared" si="3"/>
        <v>0.5</v>
      </c>
      <c r="I61" s="163">
        <f t="shared" si="4"/>
        <v>19.708971526014594</v>
      </c>
      <c r="J61" s="164"/>
      <c r="K61" s="165">
        <f t="shared" si="9"/>
        <v>1.9701606112475005</v>
      </c>
      <c r="L61" s="165">
        <f t="shared" si="5"/>
        <v>38.829839388752497</v>
      </c>
      <c r="M61" s="165">
        <f t="shared" si="6"/>
        <v>0.76136939977946083</v>
      </c>
      <c r="N61" s="165"/>
      <c r="O61" s="117">
        <f t="shared" si="10"/>
        <v>32.5</v>
      </c>
      <c r="P61" s="118">
        <f>1-EXP(-1*(D61-M61+L61)/100000*5)</f>
        <v>5.886032533849006E-3</v>
      </c>
      <c r="Q61" s="118">
        <f t="shared" si="11"/>
        <v>0.98476201535211416</v>
      </c>
      <c r="R61" s="145">
        <f>L61*Q61/100000*5</f>
        <v>1.9119075446133408E-3</v>
      </c>
      <c r="S61" s="146">
        <f t="shared" si="12"/>
        <v>3.6155366304831591E-3</v>
      </c>
      <c r="T61" s="119"/>
      <c r="U61" s="119"/>
      <c r="V61" s="120"/>
      <c r="W61" s="120"/>
      <c r="X61" s="185"/>
      <c r="Y61" s="185"/>
    </row>
    <row r="62" spans="1:25" x14ac:dyDescent="0.2">
      <c r="A62" s="184"/>
      <c r="B62" s="159" t="s">
        <v>79</v>
      </c>
      <c r="C62" s="160">
        <v>35</v>
      </c>
      <c r="D62" s="161">
        <f t="shared" si="0"/>
        <v>120</v>
      </c>
      <c r="E62" s="162">
        <f t="shared" si="1"/>
        <v>0.2</v>
      </c>
      <c r="F62" s="162">
        <f t="shared" si="2"/>
        <v>18.8</v>
      </c>
      <c r="G62" s="119"/>
      <c r="H62" s="152">
        <f t="shared" si="3"/>
        <v>0.5</v>
      </c>
      <c r="I62" s="163">
        <f t="shared" si="4"/>
        <v>19.708971526014594</v>
      </c>
      <c r="J62" s="164"/>
      <c r="K62" s="165">
        <f t="shared" si="9"/>
        <v>1.8156382103653439</v>
      </c>
      <c r="L62" s="165">
        <f t="shared" si="5"/>
        <v>35.784361789634659</v>
      </c>
      <c r="M62" s="165">
        <f t="shared" si="6"/>
        <v>0.38068469988973042</v>
      </c>
      <c r="N62" s="165"/>
      <c r="O62" s="117">
        <f t="shared" si="10"/>
        <v>37.5</v>
      </c>
      <c r="P62" s="118">
        <f t="shared" si="7"/>
        <v>7.7400740127275824E-3</v>
      </c>
      <c r="Q62" s="118">
        <f t="shared" si="11"/>
        <v>0.97896567409165292</v>
      </c>
      <c r="R62" s="145">
        <f t="shared" si="8"/>
        <v>1.7515830930664642E-3</v>
      </c>
      <c r="S62" s="146">
        <f t="shared" si="12"/>
        <v>5.4472819493230611E-3</v>
      </c>
      <c r="T62" s="119"/>
      <c r="U62" s="119"/>
      <c r="V62" s="120"/>
      <c r="W62" s="120"/>
      <c r="X62" s="185"/>
      <c r="Y62" s="185"/>
    </row>
    <row r="63" spans="1:25" x14ac:dyDescent="0.2">
      <c r="A63" s="184"/>
      <c r="B63" s="159" t="s">
        <v>80</v>
      </c>
      <c r="C63" s="160">
        <v>40</v>
      </c>
      <c r="D63" s="161">
        <f t="shared" si="0"/>
        <v>180</v>
      </c>
      <c r="E63" s="162">
        <f t="shared" si="1"/>
        <v>0.2</v>
      </c>
      <c r="F63" s="162">
        <f t="shared" si="2"/>
        <v>12.3</v>
      </c>
      <c r="G63" s="119"/>
      <c r="H63" s="152">
        <f t="shared" si="3"/>
        <v>0.5</v>
      </c>
      <c r="I63" s="163">
        <f t="shared" si="4"/>
        <v>19.708971526014594</v>
      </c>
      <c r="J63" s="164"/>
      <c r="K63" s="165">
        <f t="shared" si="9"/>
        <v>1.1878909567815814</v>
      </c>
      <c r="L63" s="165">
        <f t="shared" si="5"/>
        <v>23.412109043218422</v>
      </c>
      <c r="M63" s="165">
        <f t="shared" si="6"/>
        <v>0.38068469988973042</v>
      </c>
      <c r="N63" s="165"/>
      <c r="O63" s="117">
        <f t="shared" si="10"/>
        <v>42.5</v>
      </c>
      <c r="P63" s="118">
        <f t="shared" si="7"/>
        <v>1.0100217937143108E-2</v>
      </c>
      <c r="Q63" s="118">
        <f t="shared" si="11"/>
        <v>0.97138840731826381</v>
      </c>
      <c r="R63" s="145">
        <f t="shared" si="8"/>
        <v>1.1371125657726733E-3</v>
      </c>
      <c r="S63" s="146">
        <f t="shared" si="12"/>
        <v>6.8916297787426301E-3</v>
      </c>
      <c r="T63" s="119"/>
      <c r="U63" s="119"/>
      <c r="V63" s="120"/>
      <c r="W63" s="120"/>
      <c r="X63" s="185"/>
      <c r="Y63" s="185"/>
    </row>
    <row r="64" spans="1:25" x14ac:dyDescent="0.2">
      <c r="A64" s="184"/>
      <c r="B64" s="159" t="s">
        <v>81</v>
      </c>
      <c r="C64" s="160">
        <v>45</v>
      </c>
      <c r="D64" s="161">
        <f t="shared" si="0"/>
        <v>270</v>
      </c>
      <c r="E64" s="162">
        <f t="shared" si="1"/>
        <v>0.3</v>
      </c>
      <c r="F64" s="162">
        <f t="shared" si="2"/>
        <v>9.4</v>
      </c>
      <c r="G64" s="119"/>
      <c r="H64" s="152">
        <f t="shared" si="3"/>
        <v>0.5</v>
      </c>
      <c r="I64" s="163">
        <f t="shared" si="4"/>
        <v>19.708971526014594</v>
      </c>
      <c r="J64" s="164"/>
      <c r="K64" s="165">
        <f t="shared" si="9"/>
        <v>0.90781910518267195</v>
      </c>
      <c r="L64" s="165">
        <f t="shared" si="5"/>
        <v>17.892180894817329</v>
      </c>
      <c r="M64" s="165">
        <f t="shared" si="6"/>
        <v>0.57102704983459551</v>
      </c>
      <c r="N64" s="165"/>
      <c r="O64" s="117">
        <f t="shared" si="10"/>
        <v>47.5</v>
      </c>
      <c r="P64" s="118">
        <f t="shared" si="7"/>
        <v>1.4263358268919557E-2</v>
      </c>
      <c r="Q64" s="118">
        <f t="shared" si="11"/>
        <v>0.96157717270273502</v>
      </c>
      <c r="R64" s="145">
        <f t="shared" si="8"/>
        <v>8.6023563591621681E-4</v>
      </c>
      <c r="S64" s="146">
        <f t="shared" si="12"/>
        <v>7.8903038795870746E-3</v>
      </c>
      <c r="T64" s="119"/>
      <c r="U64" s="119"/>
      <c r="V64" s="120"/>
      <c r="W64" s="120"/>
      <c r="X64" s="185"/>
      <c r="Y64" s="185"/>
    </row>
    <row r="65" spans="1:25" x14ac:dyDescent="0.2">
      <c r="A65" s="184"/>
      <c r="B65" s="159" t="s">
        <v>82</v>
      </c>
      <c r="C65" s="160">
        <v>50</v>
      </c>
      <c r="D65" s="161">
        <f t="shared" si="0"/>
        <v>390</v>
      </c>
      <c r="E65" s="162">
        <f t="shared" si="1"/>
        <v>0.4</v>
      </c>
      <c r="F65" s="162">
        <f t="shared" si="2"/>
        <v>7</v>
      </c>
      <c r="G65" s="119"/>
      <c r="H65" s="152">
        <f t="shared" si="3"/>
        <v>0.5</v>
      </c>
      <c r="I65" s="163">
        <f t="shared" si="4"/>
        <v>19.708971526014594</v>
      </c>
      <c r="J65" s="164"/>
      <c r="K65" s="165">
        <f t="shared" si="9"/>
        <v>0.67603550385943656</v>
      </c>
      <c r="L65" s="165">
        <f t="shared" si="5"/>
        <v>13.323964496140563</v>
      </c>
      <c r="M65" s="165">
        <f t="shared" si="6"/>
        <v>0.76136939977946072</v>
      </c>
      <c r="N65" s="165"/>
      <c r="O65" s="117">
        <f t="shared" si="10"/>
        <v>52.5</v>
      </c>
      <c r="P65" s="118">
        <f t="shared" si="7"/>
        <v>1.9926911263196567E-2</v>
      </c>
      <c r="Q65" s="118">
        <f t="shared" si="11"/>
        <v>0.94786185298526116</v>
      </c>
      <c r="R65" s="145">
        <f t="shared" si="8"/>
        <v>6.3146388382108128E-4</v>
      </c>
      <c r="S65" s="146">
        <f t="shared" si="12"/>
        <v>8.6361536394557233E-3</v>
      </c>
      <c r="T65" s="119"/>
      <c r="U65" s="119"/>
      <c r="V65" s="120"/>
      <c r="W65" s="120"/>
      <c r="X65" s="185"/>
      <c r="Y65" s="185"/>
    </row>
    <row r="66" spans="1:25" x14ac:dyDescent="0.2">
      <c r="A66" s="184"/>
      <c r="B66" s="159" t="s">
        <v>83</v>
      </c>
      <c r="C66" s="160">
        <v>55</v>
      </c>
      <c r="D66" s="161">
        <f t="shared" si="0"/>
        <v>580</v>
      </c>
      <c r="E66" s="162">
        <f t="shared" si="1"/>
        <v>0.1</v>
      </c>
      <c r="F66" s="162">
        <f t="shared" si="2"/>
        <v>5.2</v>
      </c>
      <c r="G66" s="119"/>
      <c r="H66" s="152">
        <f t="shared" si="3"/>
        <v>0.5</v>
      </c>
      <c r="I66" s="163">
        <f t="shared" si="4"/>
        <v>19.708971526014594</v>
      </c>
      <c r="J66" s="164"/>
      <c r="K66" s="165">
        <f t="shared" si="9"/>
        <v>0.50219780286700999</v>
      </c>
      <c r="L66" s="165">
        <f t="shared" si="5"/>
        <v>9.8978021971329895</v>
      </c>
      <c r="M66" s="165">
        <f t="shared" si="6"/>
        <v>0.19034234994486518</v>
      </c>
      <c r="N66" s="165"/>
      <c r="O66" s="117">
        <f t="shared" si="10"/>
        <v>57.5</v>
      </c>
      <c r="P66" s="118">
        <f t="shared" si="7"/>
        <v>2.9054920441574428E-2</v>
      </c>
      <c r="Q66" s="118">
        <f t="shared" si="11"/>
        <v>0.92897389395105479</v>
      </c>
      <c r="R66" s="145">
        <f t="shared" si="8"/>
        <v>4.5973999243139696E-4</v>
      </c>
      <c r="S66" s="146">
        <f t="shared" si="12"/>
        <v>9.1817555775819629E-3</v>
      </c>
      <c r="T66" s="119"/>
      <c r="U66" s="119"/>
      <c r="V66" s="120"/>
      <c r="W66" s="120"/>
      <c r="X66" s="185"/>
      <c r="Y66" s="185"/>
    </row>
    <row r="67" spans="1:25" x14ac:dyDescent="0.2">
      <c r="A67" s="184"/>
      <c r="B67" s="159" t="s">
        <v>84</v>
      </c>
      <c r="C67" s="160">
        <v>60</v>
      </c>
      <c r="D67" s="161">
        <f t="shared" si="0"/>
        <v>910</v>
      </c>
      <c r="E67" s="162">
        <f t="shared" si="1"/>
        <v>0.2</v>
      </c>
      <c r="F67" s="162">
        <f t="shared" si="2"/>
        <v>3</v>
      </c>
      <c r="G67" s="119"/>
      <c r="H67" s="152">
        <f t="shared" si="3"/>
        <v>0.5</v>
      </c>
      <c r="I67" s="163">
        <f t="shared" si="4"/>
        <v>19.708971526014594</v>
      </c>
      <c r="J67" s="164"/>
      <c r="K67" s="165">
        <f t="shared" si="9"/>
        <v>0.28972950165404421</v>
      </c>
      <c r="L67" s="165">
        <f t="shared" si="5"/>
        <v>5.7102704983459551</v>
      </c>
      <c r="M67" s="165">
        <f t="shared" si="6"/>
        <v>0.38068469988973036</v>
      </c>
      <c r="N67" s="165"/>
      <c r="O67" s="117">
        <f t="shared" si="10"/>
        <v>62.5</v>
      </c>
      <c r="P67" s="118">
        <f t="shared" si="7"/>
        <v>4.4734989689957039E-2</v>
      </c>
      <c r="Q67" s="118">
        <f t="shared" si="11"/>
        <v>0.90198263137000734</v>
      </c>
      <c r="R67" s="145">
        <f t="shared" si="8"/>
        <v>2.5752824049663035E-4</v>
      </c>
      <c r="S67" s="146">
        <f t="shared" si="12"/>
        <v>9.5403896940459768E-3</v>
      </c>
      <c r="T67" s="119"/>
      <c r="U67" s="119"/>
      <c r="V67" s="120"/>
      <c r="W67" s="120"/>
      <c r="X67" s="185"/>
      <c r="Y67" s="185"/>
    </row>
    <row r="68" spans="1:25" x14ac:dyDescent="0.2">
      <c r="A68" s="184"/>
      <c r="B68" s="159" t="s">
        <v>85</v>
      </c>
      <c r="C68" s="160">
        <v>65</v>
      </c>
      <c r="D68" s="161">
        <f t="shared" si="0"/>
        <v>1460</v>
      </c>
      <c r="E68" s="162">
        <f t="shared" si="1"/>
        <v>0.2</v>
      </c>
      <c r="F68" s="162">
        <f t="shared" si="2"/>
        <v>2.4</v>
      </c>
      <c r="G68" s="119"/>
      <c r="H68" s="152">
        <f t="shared" si="3"/>
        <v>0.5</v>
      </c>
      <c r="I68" s="163">
        <f t="shared" si="4"/>
        <v>19.708971526014594</v>
      </c>
      <c r="J68" s="164"/>
      <c r="K68" s="165">
        <f t="shared" si="9"/>
        <v>0.23178360132323536</v>
      </c>
      <c r="L68" s="165">
        <f t="shared" si="5"/>
        <v>4.5682163986767641</v>
      </c>
      <c r="M68" s="165">
        <f t="shared" si="6"/>
        <v>0.38068469988973036</v>
      </c>
      <c r="N68" s="165"/>
      <c r="O68" s="117">
        <f t="shared" si="10"/>
        <v>67.5</v>
      </c>
      <c r="P68" s="118">
        <f t="shared" si="7"/>
        <v>7.0593786246598622E-2</v>
      </c>
      <c r="Q68" s="118">
        <f t="shared" si="11"/>
        <v>0.86163244765514979</v>
      </c>
      <c r="R68" s="145">
        <f t="shared" si="8"/>
        <v>1.9680617385051271E-4</v>
      </c>
      <c r="S68" s="146">
        <f t="shared" si="12"/>
        <v>9.7675569012195488E-3</v>
      </c>
      <c r="T68" s="119"/>
      <c r="U68" s="119"/>
      <c r="V68" s="120"/>
      <c r="W68" s="120"/>
      <c r="X68" s="185"/>
      <c r="Y68" s="185"/>
    </row>
    <row r="69" spans="1:25" x14ac:dyDescent="0.2">
      <c r="A69" s="184"/>
      <c r="B69" s="159" t="s">
        <v>86</v>
      </c>
      <c r="C69" s="160">
        <v>70</v>
      </c>
      <c r="D69" s="161">
        <f t="shared" si="0"/>
        <v>2250</v>
      </c>
      <c r="E69" s="162">
        <f t="shared" si="1"/>
        <v>0.2</v>
      </c>
      <c r="F69" s="162">
        <f t="shared" si="2"/>
        <v>2.4</v>
      </c>
      <c r="G69" s="119"/>
      <c r="H69" s="152">
        <f t="shared" si="3"/>
        <v>0.5</v>
      </c>
      <c r="I69" s="163">
        <f t="shared" si="4"/>
        <v>19.708971526014594</v>
      </c>
      <c r="J69" s="164"/>
      <c r="K69" s="165">
        <f t="shared" si="9"/>
        <v>0.23178360132323536</v>
      </c>
      <c r="L69" s="165">
        <f t="shared" si="5"/>
        <v>4.5682163986767641</v>
      </c>
      <c r="M69" s="165">
        <f t="shared" si="6"/>
        <v>0.38068469988973036</v>
      </c>
      <c r="N69" s="165"/>
      <c r="O69" s="117">
        <f t="shared" si="10"/>
        <v>72.5</v>
      </c>
      <c r="P69" s="118">
        <f t="shared" si="7"/>
        <v>0.10658973166669183</v>
      </c>
      <c r="Q69" s="118">
        <f t="shared" si="11"/>
        <v>0.80080655082224861</v>
      </c>
      <c r="R69" s="145">
        <f t="shared" si="8"/>
        <v>1.8291288088169867E-4</v>
      </c>
      <c r="S69" s="146">
        <f t="shared" si="12"/>
        <v>9.957416428585655E-3</v>
      </c>
      <c r="T69" s="119"/>
      <c r="U69" s="119"/>
      <c r="V69" s="120"/>
      <c r="W69" s="120"/>
      <c r="X69" s="185"/>
      <c r="Y69" s="185"/>
    </row>
    <row r="70" spans="1:25" ht="17" thickBot="1" x14ac:dyDescent="0.25">
      <c r="A70" s="184"/>
      <c r="B70" s="168" t="s">
        <v>87</v>
      </c>
      <c r="C70" s="169">
        <v>75</v>
      </c>
      <c r="D70" s="170">
        <f t="shared" si="0"/>
        <v>3920.0000000000005</v>
      </c>
      <c r="E70" s="171">
        <f t="shared" si="1"/>
        <v>0.2</v>
      </c>
      <c r="F70" s="171">
        <f t="shared" si="2"/>
        <v>1.4</v>
      </c>
      <c r="G70" s="124"/>
      <c r="H70" s="153">
        <f t="shared" si="3"/>
        <v>0.5</v>
      </c>
      <c r="I70" s="172">
        <f t="shared" si="4"/>
        <v>19.708971526014594</v>
      </c>
      <c r="J70" s="173"/>
      <c r="K70" s="127">
        <f t="shared" si="9"/>
        <v>0.1352071007718873</v>
      </c>
      <c r="L70" s="127">
        <f t="shared" si="5"/>
        <v>2.6647928992281127</v>
      </c>
      <c r="M70" s="127">
        <f t="shared" si="6"/>
        <v>0.38068469988973042</v>
      </c>
      <c r="N70" s="127"/>
      <c r="O70" s="121">
        <f t="shared" si="10"/>
        <v>77.5</v>
      </c>
      <c r="P70" s="122">
        <f t="shared" si="7"/>
        <v>0.1780816382055751</v>
      </c>
      <c r="Q70" s="122">
        <f t="shared" si="11"/>
        <v>0.71544879545317608</v>
      </c>
      <c r="R70" s="123">
        <f t="shared" si="8"/>
        <v>9.5326143494246503E-5</v>
      </c>
      <c r="S70" s="147">
        <f t="shared" si="12"/>
        <v>1.0096535940773628E-2</v>
      </c>
      <c r="T70" s="124"/>
      <c r="U70" s="119"/>
      <c r="V70" s="120"/>
      <c r="W70" s="120"/>
      <c r="X70" s="185"/>
      <c r="Y70" s="185"/>
    </row>
    <row r="71" spans="1:25" x14ac:dyDescent="0.2">
      <c r="A71" s="184"/>
      <c r="B71" s="159" t="s">
        <v>88</v>
      </c>
      <c r="C71" s="160">
        <v>80</v>
      </c>
      <c r="D71" s="161">
        <f t="shared" si="0"/>
        <v>6820</v>
      </c>
      <c r="E71" s="162">
        <f t="shared" si="1"/>
        <v>0.3</v>
      </c>
      <c r="F71" s="162">
        <f t="shared" si="2"/>
        <v>1.1000000000000001</v>
      </c>
      <c r="G71" s="119"/>
      <c r="H71" s="152">
        <f t="shared" si="3"/>
        <v>0.5</v>
      </c>
      <c r="I71" s="163">
        <f t="shared" si="4"/>
        <v>19.708971526014594</v>
      </c>
      <c r="J71" s="164"/>
      <c r="K71" s="165">
        <f t="shared" si="9"/>
        <v>0.10623415060648289</v>
      </c>
      <c r="L71" s="165">
        <f t="shared" si="5"/>
        <v>2.0937658493935172</v>
      </c>
      <c r="M71" s="165">
        <f t="shared" si="6"/>
        <v>0.57102704983459551</v>
      </c>
      <c r="N71" s="165"/>
      <c r="O71" s="117">
        <f>5+O70</f>
        <v>82.5</v>
      </c>
      <c r="P71" s="118">
        <f t="shared" si="7"/>
        <v>0.28899522758211227</v>
      </c>
      <c r="Q71" s="118">
        <f>Q70*(1-P70)</f>
        <v>0.58804050190666912</v>
      </c>
      <c r="R71" s="145">
        <f t="shared" si="8"/>
        <v>6.156095604762037E-5</v>
      </c>
      <c r="S71" s="146">
        <f t="shared" si="12"/>
        <v>1.017497949054456E-2</v>
      </c>
      <c r="T71" s="119"/>
      <c r="U71" s="119"/>
      <c r="V71" s="128"/>
      <c r="W71" s="129" t="s">
        <v>109</v>
      </c>
      <c r="X71" s="130">
        <f>SUM(R55:R73)</f>
        <v>1.0286274053415246E-2</v>
      </c>
      <c r="Y71" s="185"/>
    </row>
    <row r="72" spans="1:25" ht="17" thickBot="1" x14ac:dyDescent="0.25">
      <c r="A72" s="184"/>
      <c r="B72" s="159" t="s">
        <v>89</v>
      </c>
      <c r="C72" s="160">
        <v>85</v>
      </c>
      <c r="D72" s="161">
        <f t="shared" si="0"/>
        <v>12510</v>
      </c>
      <c r="E72" s="162">
        <f t="shared" si="1"/>
        <v>0.3</v>
      </c>
      <c r="F72" s="162">
        <f t="shared" si="2"/>
        <v>0.9</v>
      </c>
      <c r="G72" s="119"/>
      <c r="H72" s="152">
        <f t="shared" si="3"/>
        <v>0.5</v>
      </c>
      <c r="I72" s="163">
        <f t="shared" si="4"/>
        <v>19.708971526014594</v>
      </c>
      <c r="J72" s="164"/>
      <c r="K72" s="165">
        <f t="shared" si="9"/>
        <v>8.6918850496213271E-2</v>
      </c>
      <c r="L72" s="165">
        <f t="shared" si="5"/>
        <v>1.7130811495037868</v>
      </c>
      <c r="M72" s="165">
        <f t="shared" si="6"/>
        <v>0.57102704983459562</v>
      </c>
      <c r="N72" s="165"/>
      <c r="O72" s="117">
        <f t="shared" si="10"/>
        <v>87.5</v>
      </c>
      <c r="P72" s="118">
        <f t="shared" si="7"/>
        <v>0.46503668402334886</v>
      </c>
      <c r="Q72" s="118">
        <f t="shared" si="11"/>
        <v>0.41809960323065176</v>
      </c>
      <c r="R72" s="145">
        <f t="shared" si="8"/>
        <v>3.5811927445472105E-5</v>
      </c>
      <c r="S72" s="146">
        <f t="shared" si="12"/>
        <v>1.0223665932291107E-2</v>
      </c>
      <c r="T72" s="119"/>
      <c r="U72" s="119"/>
      <c r="V72" s="131"/>
      <c r="W72" s="132" t="s">
        <v>110</v>
      </c>
      <c r="X72" s="133">
        <f>SUM(R55:R70)</f>
        <v>1.014419901252075E-2</v>
      </c>
      <c r="Y72" s="185"/>
    </row>
    <row r="73" spans="1:25" ht="17" thickBot="1" x14ac:dyDescent="0.25">
      <c r="A73" s="184"/>
      <c r="B73" s="174" t="s">
        <v>90</v>
      </c>
      <c r="C73" s="175">
        <v>90</v>
      </c>
      <c r="D73" s="176">
        <f t="shared" si="0"/>
        <v>23510</v>
      </c>
      <c r="E73" s="177">
        <f t="shared" si="1"/>
        <v>0.7</v>
      </c>
      <c r="F73" s="177">
        <f t="shared" si="2"/>
        <v>2.1</v>
      </c>
      <c r="G73" s="178"/>
      <c r="H73" s="154">
        <f t="shared" si="3"/>
        <v>0.5</v>
      </c>
      <c r="I73" s="179">
        <f t="shared" si="4"/>
        <v>19.708971526014594</v>
      </c>
      <c r="J73" s="180"/>
      <c r="K73" s="181">
        <f t="shared" si="9"/>
        <v>0.20281065115783098</v>
      </c>
      <c r="L73" s="181">
        <f t="shared" si="5"/>
        <v>3.9971893488421695</v>
      </c>
      <c r="M73" s="181">
        <f t="shared" si="6"/>
        <v>1.3323964496140563</v>
      </c>
      <c r="N73" s="181"/>
      <c r="O73" s="148">
        <f t="shared" si="10"/>
        <v>92.5</v>
      </c>
      <c r="P73" s="149">
        <f t="shared" si="7"/>
        <v>0.69137651482906315</v>
      </c>
      <c r="Q73" s="149">
        <f t="shared" si="11"/>
        <v>0.22366795015279164</v>
      </c>
      <c r="R73" s="150">
        <f t="shared" si="8"/>
        <v>4.4702157401405E-5</v>
      </c>
      <c r="S73" s="151">
        <f>0.5*R73+0.5*R72+S72</f>
        <v>1.0263922974714545E-2</v>
      </c>
      <c r="T73" s="119"/>
      <c r="U73" s="119"/>
      <c r="V73" s="120"/>
      <c r="W73" s="120"/>
      <c r="X73" s="185"/>
      <c r="Y73" s="185"/>
    </row>
    <row r="74" spans="1:25" ht="17" thickBot="1" x14ac:dyDescent="0.25">
      <c r="A74" s="184"/>
      <c r="B74" s="119"/>
      <c r="C74" s="119"/>
      <c r="D74" s="119"/>
      <c r="E74" s="119"/>
      <c r="F74" s="119"/>
      <c r="G74" s="119"/>
      <c r="H74" s="125"/>
      <c r="I74" s="160"/>
      <c r="J74" s="119"/>
      <c r="K74" s="119"/>
      <c r="L74" s="119"/>
      <c r="M74" s="119"/>
      <c r="N74" s="119"/>
      <c r="O74" s="119"/>
      <c r="P74" s="119"/>
      <c r="Q74" s="119"/>
      <c r="R74" s="119"/>
      <c r="S74" s="119"/>
      <c r="T74" s="119"/>
      <c r="U74" s="119"/>
      <c r="V74" s="126"/>
      <c r="W74" s="119"/>
      <c r="X74" s="185"/>
      <c r="Y74" s="185"/>
    </row>
    <row r="75" spans="1:25" ht="17" thickBot="1" x14ac:dyDescent="0.25">
      <c r="A75" s="184"/>
      <c r="B75" s="182" t="s">
        <v>111</v>
      </c>
      <c r="C75" s="119"/>
      <c r="D75" s="119"/>
      <c r="E75" s="119"/>
      <c r="F75" s="119"/>
      <c r="G75" s="119"/>
      <c r="H75" s="160"/>
      <c r="I75" s="160"/>
      <c r="J75" s="119"/>
      <c r="K75" s="119"/>
      <c r="L75" s="119"/>
      <c r="M75" s="119"/>
      <c r="N75" s="119"/>
      <c r="O75" s="119"/>
      <c r="P75" s="119"/>
      <c r="Q75" s="119"/>
      <c r="R75" s="119"/>
      <c r="S75" s="119"/>
      <c r="T75" s="119"/>
      <c r="U75" s="119"/>
      <c r="V75" s="119"/>
      <c r="W75" s="119"/>
      <c r="X75" s="185"/>
      <c r="Y75" s="185"/>
    </row>
    <row r="76" spans="1:25" ht="17" thickBot="1" x14ac:dyDescent="0.25">
      <c r="A76" s="184"/>
      <c r="B76" s="183"/>
      <c r="C76" s="119"/>
      <c r="D76" s="119"/>
      <c r="E76" s="119"/>
      <c r="F76" s="119"/>
      <c r="G76" s="119"/>
      <c r="H76" s="160"/>
      <c r="I76" s="160"/>
      <c r="J76" s="119"/>
      <c r="K76" s="119"/>
      <c r="L76" s="119"/>
      <c r="M76" s="119"/>
      <c r="N76" s="119"/>
      <c r="O76" s="119"/>
      <c r="P76" s="119"/>
      <c r="Q76" s="119"/>
      <c r="R76" s="119"/>
      <c r="S76" s="119"/>
      <c r="T76" s="119"/>
      <c r="U76" s="119"/>
      <c r="V76" s="119"/>
      <c r="W76" s="119"/>
      <c r="X76" s="185"/>
      <c r="Y76" s="185"/>
    </row>
    <row r="77" spans="1:25" x14ac:dyDescent="0.2">
      <c r="A77" s="184"/>
      <c r="B77" s="1509" t="s">
        <v>92</v>
      </c>
      <c r="C77" s="1507" t="s">
        <v>93</v>
      </c>
      <c r="D77" s="1507" t="s">
        <v>94</v>
      </c>
      <c r="E77" s="212" t="str">
        <f>C5</f>
        <v>Testis</v>
      </c>
      <c r="F77" s="212" t="str">
        <f>C5</f>
        <v>Testis</v>
      </c>
      <c r="G77" s="1505"/>
      <c r="H77" s="1507" t="s">
        <v>95</v>
      </c>
      <c r="I77" s="1507" t="s">
        <v>96</v>
      </c>
      <c r="J77" s="1505"/>
      <c r="K77" s="1507" t="s">
        <v>97</v>
      </c>
      <c r="L77" s="1507" t="s">
        <v>98</v>
      </c>
      <c r="M77" s="1507" t="s">
        <v>99</v>
      </c>
      <c r="N77" s="1505"/>
      <c r="O77" s="1507" t="s">
        <v>100</v>
      </c>
      <c r="P77" s="212" t="str">
        <f>C5</f>
        <v>Testis</v>
      </c>
      <c r="Q77" s="1507" t="s">
        <v>101</v>
      </c>
      <c r="R77" s="1507" t="s">
        <v>102</v>
      </c>
      <c r="S77" s="1511" t="s">
        <v>103</v>
      </c>
      <c r="T77" s="184"/>
      <c r="U77" s="185"/>
      <c r="V77" s="185"/>
      <c r="W77" s="185"/>
      <c r="X77" s="185"/>
      <c r="Y77" s="185"/>
    </row>
    <row r="78" spans="1:25" ht="58" customHeight="1" thickBot="1" x14ac:dyDescent="0.25">
      <c r="A78" s="184"/>
      <c r="B78" s="1510"/>
      <c r="C78" s="1508"/>
      <c r="D78" s="1508"/>
      <c r="E78" s="213" t="s">
        <v>112</v>
      </c>
      <c r="F78" s="213" t="s">
        <v>113</v>
      </c>
      <c r="G78" s="1506"/>
      <c r="H78" s="1508"/>
      <c r="I78" s="1508"/>
      <c r="J78" s="1506"/>
      <c r="K78" s="1508"/>
      <c r="L78" s="1508"/>
      <c r="M78" s="1508"/>
      <c r="N78" s="1506"/>
      <c r="O78" s="1508"/>
      <c r="P78" s="213" t="s">
        <v>106</v>
      </c>
      <c r="Q78" s="1508"/>
      <c r="R78" s="1508"/>
      <c r="S78" s="1512"/>
      <c r="T78" s="114"/>
      <c r="U78" s="114"/>
      <c r="V78" s="114"/>
      <c r="W78" s="114"/>
      <c r="X78" s="185"/>
      <c r="Y78" s="185"/>
    </row>
    <row r="79" spans="1:25" ht="17" thickTop="1" x14ac:dyDescent="0.2">
      <c r="A79" s="184"/>
      <c r="B79" s="159" t="s">
        <v>72</v>
      </c>
      <c r="C79" s="160">
        <v>0</v>
      </c>
      <c r="D79" s="161">
        <f t="shared" ref="D79:D97" si="13">E31</f>
        <v>78</v>
      </c>
      <c r="E79" s="162">
        <f t="shared" ref="E79:E97" si="14">G31</f>
        <v>0</v>
      </c>
      <c r="F79" s="162">
        <f t="shared" ref="F79:F97" si="15">I31</f>
        <v>0</v>
      </c>
      <c r="G79" s="119"/>
      <c r="H79" s="152">
        <f t="shared" ref="H79:H97" si="16">$D$26</f>
        <v>0.5</v>
      </c>
      <c r="I79" s="163">
        <f t="shared" ref="I79:I97" si="17">$C$26</f>
        <v>19.708971526014594</v>
      </c>
      <c r="J79" s="164"/>
      <c r="K79" s="165">
        <f t="shared" ref="K79:K97" si="18">F79/((1-H79)+(I79*H79))</f>
        <v>0</v>
      </c>
      <c r="L79" s="165">
        <f t="shared" ref="L79:L97" si="19">K79*I79</f>
        <v>0</v>
      </c>
      <c r="M79" s="165">
        <f t="shared" ref="M79:M97" si="20">IF(F79&gt;0, E79*L79/F79, 0)</f>
        <v>0</v>
      </c>
      <c r="N79" s="165"/>
      <c r="O79" s="117">
        <v>2.5</v>
      </c>
      <c r="P79" s="118">
        <f t="shared" ref="P79:P83" si="21">1-EXP(-1*(D79-M79+L79)/100000*5)</f>
        <v>3.8924048768681496E-3</v>
      </c>
      <c r="Q79" s="118">
        <v>1</v>
      </c>
      <c r="R79" s="145">
        <f t="shared" ref="R79:R84" si="22">L79*Q79/100000*5</f>
        <v>0</v>
      </c>
      <c r="S79" s="146">
        <f>0.5*R79</f>
        <v>0</v>
      </c>
      <c r="T79" s="119"/>
      <c r="U79" s="119"/>
      <c r="V79" s="120"/>
      <c r="W79" s="120"/>
      <c r="X79" s="185"/>
      <c r="Y79" s="185"/>
    </row>
    <row r="80" spans="1:25" x14ac:dyDescent="0.2">
      <c r="A80" s="184"/>
      <c r="B80" s="166" t="s">
        <v>73</v>
      </c>
      <c r="C80" s="167" t="s">
        <v>107</v>
      </c>
      <c r="D80" s="161">
        <f t="shared" si="13"/>
        <v>10</v>
      </c>
      <c r="E80" s="162">
        <f t="shared" si="14"/>
        <v>0</v>
      </c>
      <c r="F80" s="162">
        <f t="shared" si="15"/>
        <v>0</v>
      </c>
      <c r="G80" s="119"/>
      <c r="H80" s="152">
        <f t="shared" si="16"/>
        <v>0.5</v>
      </c>
      <c r="I80" s="163">
        <f t="shared" si="17"/>
        <v>19.708971526014594</v>
      </c>
      <c r="J80" s="164"/>
      <c r="K80" s="165">
        <f t="shared" si="18"/>
        <v>0</v>
      </c>
      <c r="L80" s="165">
        <f t="shared" si="19"/>
        <v>0</v>
      </c>
      <c r="M80" s="165">
        <f t="shared" si="20"/>
        <v>0</v>
      </c>
      <c r="N80" s="165"/>
      <c r="O80" s="117">
        <f>5+O79</f>
        <v>7.5</v>
      </c>
      <c r="P80" s="118">
        <f t="shared" si="21"/>
        <v>4.99875020830709E-4</v>
      </c>
      <c r="Q80" s="118">
        <f>Q79*(1-P79)</f>
        <v>0.99610759512313185</v>
      </c>
      <c r="R80" s="145">
        <f t="shared" si="22"/>
        <v>0</v>
      </c>
      <c r="S80" s="146">
        <f>0.5*R80+0.5*R79+S79</f>
        <v>0</v>
      </c>
      <c r="T80" s="119"/>
      <c r="U80" s="119"/>
      <c r="V80" s="120"/>
      <c r="W80" s="120"/>
      <c r="X80" s="185"/>
      <c r="Y80" s="185"/>
    </row>
    <row r="81" spans="1:25" x14ac:dyDescent="0.2">
      <c r="A81" s="184"/>
      <c r="B81" s="166" t="s">
        <v>74</v>
      </c>
      <c r="C81" s="167" t="s">
        <v>108</v>
      </c>
      <c r="D81" s="161">
        <f t="shared" si="13"/>
        <v>10</v>
      </c>
      <c r="E81" s="162">
        <f t="shared" si="14"/>
        <v>0</v>
      </c>
      <c r="F81" s="162">
        <f t="shared" si="15"/>
        <v>0</v>
      </c>
      <c r="G81" s="119"/>
      <c r="H81" s="152">
        <f t="shared" si="16"/>
        <v>0.5</v>
      </c>
      <c r="I81" s="163">
        <f t="shared" si="17"/>
        <v>19.708971526014594</v>
      </c>
      <c r="J81" s="164"/>
      <c r="K81" s="165">
        <f t="shared" si="18"/>
        <v>0</v>
      </c>
      <c r="L81" s="165">
        <f t="shared" si="19"/>
        <v>0</v>
      </c>
      <c r="M81" s="165">
        <f t="shared" si="20"/>
        <v>0</v>
      </c>
      <c r="N81" s="165"/>
      <c r="O81" s="117">
        <f t="shared" ref="O81:O97" si="23">5+O80</f>
        <v>12.5</v>
      </c>
      <c r="P81" s="118">
        <f t="shared" si="21"/>
        <v>4.99875020830709E-4</v>
      </c>
      <c r="Q81" s="118">
        <f t="shared" ref="Q81:Q94" si="24">Q80*(1-P80)</f>
        <v>0.99560966581827004</v>
      </c>
      <c r="R81" s="145">
        <f t="shared" si="22"/>
        <v>0</v>
      </c>
      <c r="S81" s="146">
        <f>0.5*R81+0.5*R80+S80</f>
        <v>0</v>
      </c>
      <c r="T81" s="119"/>
      <c r="U81" s="119"/>
      <c r="V81" s="120"/>
      <c r="W81" s="120"/>
      <c r="X81" s="185"/>
      <c r="Y81" s="185"/>
    </row>
    <row r="82" spans="1:25" x14ac:dyDescent="0.2">
      <c r="A82" s="184"/>
      <c r="B82" s="159" t="s">
        <v>75</v>
      </c>
      <c r="C82" s="160">
        <v>15</v>
      </c>
      <c r="D82" s="161">
        <f t="shared" si="13"/>
        <v>20</v>
      </c>
      <c r="E82" s="162">
        <f t="shared" si="14"/>
        <v>0</v>
      </c>
      <c r="F82" s="162">
        <f t="shared" si="15"/>
        <v>0</v>
      </c>
      <c r="G82" s="119"/>
      <c r="H82" s="152">
        <f t="shared" si="16"/>
        <v>0.5</v>
      </c>
      <c r="I82" s="163">
        <f t="shared" si="17"/>
        <v>19.708971526014594</v>
      </c>
      <c r="J82" s="164"/>
      <c r="K82" s="165">
        <f t="shared" si="18"/>
        <v>0</v>
      </c>
      <c r="L82" s="165">
        <f t="shared" si="19"/>
        <v>0</v>
      </c>
      <c r="M82" s="165">
        <f t="shared" si="20"/>
        <v>0</v>
      </c>
      <c r="N82" s="165"/>
      <c r="O82" s="117">
        <f t="shared" si="23"/>
        <v>17.5</v>
      </c>
      <c r="P82" s="118">
        <f t="shared" si="21"/>
        <v>9.9950016662497809E-4</v>
      </c>
      <c r="Q82" s="118">
        <f t="shared" si="24"/>
        <v>0.9951119854158299</v>
      </c>
      <c r="R82" s="145">
        <f t="shared" si="22"/>
        <v>0</v>
      </c>
      <c r="S82" s="146">
        <f t="shared" ref="S82:S96" si="25">0.5*R82+0.5*R81+S81</f>
        <v>0</v>
      </c>
      <c r="T82" s="119"/>
      <c r="U82" s="119"/>
      <c r="V82" s="120"/>
      <c r="W82" s="120"/>
      <c r="X82" s="185"/>
      <c r="Y82" s="185"/>
    </row>
    <row r="83" spans="1:25" x14ac:dyDescent="0.2">
      <c r="A83" s="184"/>
      <c r="B83" s="159" t="s">
        <v>76</v>
      </c>
      <c r="C83" s="160">
        <v>20</v>
      </c>
      <c r="D83" s="161">
        <f t="shared" si="13"/>
        <v>20</v>
      </c>
      <c r="E83" s="162">
        <f t="shared" si="14"/>
        <v>0</v>
      </c>
      <c r="F83" s="162">
        <f t="shared" si="15"/>
        <v>0</v>
      </c>
      <c r="G83" s="119"/>
      <c r="H83" s="152">
        <f t="shared" si="16"/>
        <v>0.5</v>
      </c>
      <c r="I83" s="163">
        <f t="shared" si="17"/>
        <v>19.708971526014594</v>
      </c>
      <c r="J83" s="164"/>
      <c r="K83" s="165">
        <f t="shared" si="18"/>
        <v>0</v>
      </c>
      <c r="L83" s="165">
        <f t="shared" si="19"/>
        <v>0</v>
      </c>
      <c r="M83" s="165">
        <f t="shared" si="20"/>
        <v>0</v>
      </c>
      <c r="N83" s="165"/>
      <c r="O83" s="117">
        <f t="shared" si="23"/>
        <v>22.5</v>
      </c>
      <c r="P83" s="118">
        <f t="shared" si="21"/>
        <v>9.9950016662497809E-4</v>
      </c>
      <c r="Q83" s="118">
        <f t="shared" si="24"/>
        <v>0.99411737082059626</v>
      </c>
      <c r="R83" s="145">
        <f t="shared" si="22"/>
        <v>0</v>
      </c>
      <c r="S83" s="146">
        <f t="shared" si="25"/>
        <v>0</v>
      </c>
      <c r="T83" s="119"/>
      <c r="U83" s="119"/>
      <c r="V83" s="120"/>
      <c r="W83" s="120"/>
      <c r="X83" s="185"/>
      <c r="Y83" s="185"/>
    </row>
    <row r="84" spans="1:25" x14ac:dyDescent="0.2">
      <c r="A84" s="184"/>
      <c r="B84" s="159" t="s">
        <v>77</v>
      </c>
      <c r="C84" s="160">
        <v>25</v>
      </c>
      <c r="D84" s="161">
        <f t="shared" si="13"/>
        <v>30</v>
      </c>
      <c r="E84" s="162">
        <f t="shared" si="14"/>
        <v>0</v>
      </c>
      <c r="F84" s="162">
        <f t="shared" si="15"/>
        <v>0</v>
      </c>
      <c r="G84" s="119"/>
      <c r="H84" s="152">
        <f t="shared" si="16"/>
        <v>0.5</v>
      </c>
      <c r="I84" s="163">
        <f t="shared" si="17"/>
        <v>19.708971526014594</v>
      </c>
      <c r="J84" s="164"/>
      <c r="K84" s="165">
        <f t="shared" si="18"/>
        <v>0</v>
      </c>
      <c r="L84" s="165">
        <f t="shared" si="19"/>
        <v>0</v>
      </c>
      <c r="M84" s="165">
        <f t="shared" si="20"/>
        <v>0</v>
      </c>
      <c r="N84" s="165"/>
      <c r="O84" s="117">
        <f t="shared" si="23"/>
        <v>27.5</v>
      </c>
      <c r="P84" s="118">
        <f>1-EXP(-1*(D84-M84+L84)/100000*5)</f>
        <v>1.4988755622891148E-3</v>
      </c>
      <c r="Q84" s="118">
        <f t="shared" si="24"/>
        <v>0.9931237503428163</v>
      </c>
      <c r="R84" s="145">
        <f t="shared" si="22"/>
        <v>0</v>
      </c>
      <c r="S84" s="146">
        <f t="shared" si="25"/>
        <v>0</v>
      </c>
      <c r="T84" s="119"/>
      <c r="U84" s="119"/>
      <c r="V84" s="120"/>
      <c r="W84" s="120"/>
      <c r="X84" s="185"/>
      <c r="Y84" s="185"/>
    </row>
    <row r="85" spans="1:25" x14ac:dyDescent="0.2">
      <c r="A85" s="184"/>
      <c r="B85" s="159" t="s">
        <v>78</v>
      </c>
      <c r="C85" s="160">
        <v>30</v>
      </c>
      <c r="D85" s="161">
        <f t="shared" si="13"/>
        <v>40</v>
      </c>
      <c r="E85" s="162">
        <f t="shared" si="14"/>
        <v>0</v>
      </c>
      <c r="F85" s="162">
        <f t="shared" si="15"/>
        <v>0</v>
      </c>
      <c r="G85" s="119"/>
      <c r="H85" s="152">
        <f t="shared" si="16"/>
        <v>0.5</v>
      </c>
      <c r="I85" s="163">
        <f t="shared" si="17"/>
        <v>19.708971526014594</v>
      </c>
      <c r="J85" s="164"/>
      <c r="K85" s="165">
        <f t="shared" si="18"/>
        <v>0</v>
      </c>
      <c r="L85" s="165">
        <f t="shared" si="19"/>
        <v>0</v>
      </c>
      <c r="M85" s="165">
        <f t="shared" si="20"/>
        <v>0</v>
      </c>
      <c r="N85" s="165"/>
      <c r="O85" s="117">
        <f t="shared" si="23"/>
        <v>32.5</v>
      </c>
      <c r="P85" s="118">
        <f>1-EXP(-1*(D85-M85+L85)/100000*5)</f>
        <v>1.998001332666921E-3</v>
      </c>
      <c r="Q85" s="118">
        <f t="shared" si="24"/>
        <v>0.99163518142309859</v>
      </c>
      <c r="R85" s="145">
        <f>L85*Q85/100000*5</f>
        <v>0</v>
      </c>
      <c r="S85" s="146">
        <f t="shared" si="25"/>
        <v>0</v>
      </c>
      <c r="T85" s="119"/>
      <c r="U85" s="119"/>
      <c r="V85" s="120"/>
      <c r="W85" s="120"/>
      <c r="X85" s="185"/>
      <c r="Y85" s="185"/>
    </row>
    <row r="86" spans="1:25" x14ac:dyDescent="0.2">
      <c r="A86" s="184"/>
      <c r="B86" s="159" t="s">
        <v>79</v>
      </c>
      <c r="C86" s="160">
        <v>35</v>
      </c>
      <c r="D86" s="161">
        <f t="shared" si="13"/>
        <v>70</v>
      </c>
      <c r="E86" s="162">
        <f t="shared" si="14"/>
        <v>0</v>
      </c>
      <c r="F86" s="162">
        <f t="shared" si="15"/>
        <v>0</v>
      </c>
      <c r="G86" s="119"/>
      <c r="H86" s="152">
        <f t="shared" si="16"/>
        <v>0.5</v>
      </c>
      <c r="I86" s="163">
        <f t="shared" si="17"/>
        <v>19.708971526014594</v>
      </c>
      <c r="J86" s="164"/>
      <c r="K86" s="165">
        <f t="shared" si="18"/>
        <v>0</v>
      </c>
      <c r="L86" s="165">
        <f t="shared" si="19"/>
        <v>0</v>
      </c>
      <c r="M86" s="165">
        <f t="shared" si="20"/>
        <v>0</v>
      </c>
      <c r="N86" s="165"/>
      <c r="O86" s="117">
        <f t="shared" si="23"/>
        <v>37.5</v>
      </c>
      <c r="P86" s="118">
        <f t="shared" ref="P86:P97" si="26">1-EXP(-1*(D86-M86+L86)/100000*5)</f>
        <v>3.4938821395851249E-3</v>
      </c>
      <c r="Q86" s="118">
        <f t="shared" si="24"/>
        <v>0.98965389300909579</v>
      </c>
      <c r="R86" s="145">
        <f t="shared" ref="R86:R97" si="27">L86*Q86/100000*5</f>
        <v>0</v>
      </c>
      <c r="S86" s="146">
        <f t="shared" si="25"/>
        <v>0</v>
      </c>
      <c r="T86" s="119"/>
      <c r="U86" s="119"/>
      <c r="V86" s="120"/>
      <c r="W86" s="120"/>
      <c r="X86" s="185"/>
      <c r="Y86" s="185"/>
    </row>
    <row r="87" spans="1:25" x14ac:dyDescent="0.2">
      <c r="A87" s="184"/>
      <c r="B87" s="159" t="s">
        <v>80</v>
      </c>
      <c r="C87" s="160">
        <v>40</v>
      </c>
      <c r="D87" s="161">
        <f t="shared" si="13"/>
        <v>100</v>
      </c>
      <c r="E87" s="162">
        <f t="shared" si="14"/>
        <v>0</v>
      </c>
      <c r="F87" s="162">
        <f t="shared" si="15"/>
        <v>0</v>
      </c>
      <c r="G87" s="119"/>
      <c r="H87" s="152">
        <f t="shared" si="16"/>
        <v>0.5</v>
      </c>
      <c r="I87" s="163">
        <f t="shared" si="17"/>
        <v>19.708971526014594</v>
      </c>
      <c r="J87" s="164"/>
      <c r="K87" s="165">
        <f t="shared" si="18"/>
        <v>0</v>
      </c>
      <c r="L87" s="165">
        <f t="shared" si="19"/>
        <v>0</v>
      </c>
      <c r="M87" s="165">
        <f t="shared" si="20"/>
        <v>0</v>
      </c>
      <c r="N87" s="165"/>
      <c r="O87" s="117">
        <f t="shared" si="23"/>
        <v>42.5</v>
      </c>
      <c r="P87" s="118">
        <f t="shared" si="26"/>
        <v>4.9875208073176802E-3</v>
      </c>
      <c r="Q87" s="118">
        <f t="shared" si="24"/>
        <v>0.98619615894794044</v>
      </c>
      <c r="R87" s="145">
        <f t="shared" si="27"/>
        <v>0</v>
      </c>
      <c r="S87" s="146">
        <f t="shared" si="25"/>
        <v>0</v>
      </c>
      <c r="T87" s="119"/>
      <c r="U87" s="119"/>
      <c r="V87" s="120"/>
      <c r="W87" s="120"/>
      <c r="X87" s="185"/>
      <c r="Y87" s="185"/>
    </row>
    <row r="88" spans="1:25" x14ac:dyDescent="0.2">
      <c r="A88" s="184"/>
      <c r="B88" s="159" t="s">
        <v>81</v>
      </c>
      <c r="C88" s="160">
        <v>45</v>
      </c>
      <c r="D88" s="161">
        <f t="shared" si="13"/>
        <v>170</v>
      </c>
      <c r="E88" s="162">
        <f t="shared" si="14"/>
        <v>0</v>
      </c>
      <c r="F88" s="162">
        <f t="shared" si="15"/>
        <v>0</v>
      </c>
      <c r="G88" s="119"/>
      <c r="H88" s="152">
        <f t="shared" si="16"/>
        <v>0.5</v>
      </c>
      <c r="I88" s="163">
        <f t="shared" si="17"/>
        <v>19.708971526014594</v>
      </c>
      <c r="J88" s="164"/>
      <c r="K88" s="165">
        <f t="shared" si="18"/>
        <v>0</v>
      </c>
      <c r="L88" s="165">
        <f t="shared" si="19"/>
        <v>0</v>
      </c>
      <c r="M88" s="165">
        <f t="shared" si="20"/>
        <v>0</v>
      </c>
      <c r="N88" s="165"/>
      <c r="O88" s="117">
        <f t="shared" si="23"/>
        <v>47.5</v>
      </c>
      <c r="P88" s="118">
        <f t="shared" si="26"/>
        <v>8.463977137033285E-3</v>
      </c>
      <c r="Q88" s="118">
        <f t="shared" si="24"/>
        <v>0.98127748508509083</v>
      </c>
      <c r="R88" s="145">
        <f t="shared" si="27"/>
        <v>0</v>
      </c>
      <c r="S88" s="146">
        <f t="shared" si="25"/>
        <v>0</v>
      </c>
      <c r="T88" s="119"/>
      <c r="U88" s="119"/>
      <c r="V88" s="120"/>
      <c r="W88" s="120"/>
      <c r="X88" s="185"/>
      <c r="Y88" s="185"/>
    </row>
    <row r="89" spans="1:25" x14ac:dyDescent="0.2">
      <c r="A89" s="184"/>
      <c r="B89" s="159" t="s">
        <v>82</v>
      </c>
      <c r="C89" s="160">
        <v>50</v>
      </c>
      <c r="D89" s="161">
        <f t="shared" si="13"/>
        <v>240</v>
      </c>
      <c r="E89" s="162">
        <f t="shared" si="14"/>
        <v>0</v>
      </c>
      <c r="F89" s="162">
        <f t="shared" si="15"/>
        <v>0</v>
      </c>
      <c r="G89" s="119"/>
      <c r="H89" s="152">
        <f t="shared" si="16"/>
        <v>0.5</v>
      </c>
      <c r="I89" s="163">
        <f t="shared" si="17"/>
        <v>19.708971526014594</v>
      </c>
      <c r="J89" s="164"/>
      <c r="K89" s="165">
        <f t="shared" si="18"/>
        <v>0</v>
      </c>
      <c r="L89" s="165">
        <f t="shared" si="19"/>
        <v>0</v>
      </c>
      <c r="M89" s="165">
        <f t="shared" si="20"/>
        <v>0</v>
      </c>
      <c r="N89" s="165"/>
      <c r="O89" s="117">
        <f t="shared" si="23"/>
        <v>52.5</v>
      </c>
      <c r="P89" s="118">
        <f t="shared" si="26"/>
        <v>1.1928287138069482E-2</v>
      </c>
      <c r="Q89" s="118">
        <f t="shared" si="24"/>
        <v>0.97297197488624509</v>
      </c>
      <c r="R89" s="145">
        <f t="shared" si="27"/>
        <v>0</v>
      </c>
      <c r="S89" s="146">
        <f t="shared" si="25"/>
        <v>0</v>
      </c>
      <c r="T89" s="119"/>
      <c r="U89" s="119"/>
      <c r="V89" s="120"/>
      <c r="W89" s="120"/>
      <c r="X89" s="185"/>
      <c r="Y89" s="185"/>
    </row>
    <row r="90" spans="1:25" x14ac:dyDescent="0.2">
      <c r="A90" s="184"/>
      <c r="B90" s="159" t="s">
        <v>83</v>
      </c>
      <c r="C90" s="160">
        <v>55</v>
      </c>
      <c r="D90" s="161">
        <f t="shared" si="13"/>
        <v>390</v>
      </c>
      <c r="E90" s="162">
        <f t="shared" si="14"/>
        <v>0</v>
      </c>
      <c r="F90" s="162">
        <f t="shared" si="15"/>
        <v>0</v>
      </c>
      <c r="G90" s="119"/>
      <c r="H90" s="152">
        <f t="shared" si="16"/>
        <v>0.5</v>
      </c>
      <c r="I90" s="163">
        <f t="shared" si="17"/>
        <v>19.708971526014594</v>
      </c>
      <c r="J90" s="164"/>
      <c r="K90" s="165">
        <f t="shared" si="18"/>
        <v>0</v>
      </c>
      <c r="L90" s="165">
        <f t="shared" si="19"/>
        <v>0</v>
      </c>
      <c r="M90" s="165">
        <f t="shared" si="20"/>
        <v>0</v>
      </c>
      <c r="N90" s="165"/>
      <c r="O90" s="117">
        <f t="shared" si="23"/>
        <v>57.5</v>
      </c>
      <c r="P90" s="118">
        <f t="shared" si="26"/>
        <v>1.9311104811333801E-2</v>
      </c>
      <c r="Q90" s="118">
        <f t="shared" si="24"/>
        <v>0.96136608579250749</v>
      </c>
      <c r="R90" s="145">
        <f t="shared" si="27"/>
        <v>0</v>
      </c>
      <c r="S90" s="146">
        <f t="shared" si="25"/>
        <v>0</v>
      </c>
      <c r="T90" s="119"/>
      <c r="U90" s="119"/>
      <c r="V90" s="120"/>
      <c r="W90" s="120"/>
      <c r="X90" s="185"/>
      <c r="Y90" s="185"/>
    </row>
    <row r="91" spans="1:25" x14ac:dyDescent="0.2">
      <c r="A91" s="184"/>
      <c r="B91" s="159" t="s">
        <v>84</v>
      </c>
      <c r="C91" s="160">
        <v>60</v>
      </c>
      <c r="D91" s="161">
        <f t="shared" si="13"/>
        <v>600</v>
      </c>
      <c r="E91" s="162">
        <f t="shared" si="14"/>
        <v>0</v>
      </c>
      <c r="F91" s="162">
        <f t="shared" si="15"/>
        <v>0</v>
      </c>
      <c r="G91" s="119"/>
      <c r="H91" s="152">
        <f t="shared" si="16"/>
        <v>0.5</v>
      </c>
      <c r="I91" s="163">
        <f t="shared" si="17"/>
        <v>19.708971526014594</v>
      </c>
      <c r="J91" s="164"/>
      <c r="K91" s="165">
        <f t="shared" si="18"/>
        <v>0</v>
      </c>
      <c r="L91" s="165">
        <f t="shared" si="19"/>
        <v>0</v>
      </c>
      <c r="M91" s="165">
        <f t="shared" si="20"/>
        <v>0</v>
      </c>
      <c r="N91" s="165"/>
      <c r="O91" s="117">
        <f t="shared" si="23"/>
        <v>62.5</v>
      </c>
      <c r="P91" s="118">
        <f t="shared" si="26"/>
        <v>2.9554466451491845E-2</v>
      </c>
      <c r="Q91" s="118">
        <f t="shared" si="24"/>
        <v>0.94280104454770663</v>
      </c>
      <c r="R91" s="145">
        <f t="shared" si="27"/>
        <v>0</v>
      </c>
      <c r="S91" s="146">
        <f t="shared" si="25"/>
        <v>0</v>
      </c>
      <c r="T91" s="119"/>
      <c r="U91" s="119"/>
      <c r="V91" s="120"/>
      <c r="W91" s="120"/>
      <c r="X91" s="185"/>
      <c r="Y91" s="185"/>
    </row>
    <row r="92" spans="1:25" x14ac:dyDescent="0.2">
      <c r="A92" s="184"/>
      <c r="B92" s="159" t="s">
        <v>85</v>
      </c>
      <c r="C92" s="160">
        <v>65</v>
      </c>
      <c r="D92" s="161">
        <f t="shared" si="13"/>
        <v>940</v>
      </c>
      <c r="E92" s="162">
        <f t="shared" si="14"/>
        <v>0</v>
      </c>
      <c r="F92" s="162">
        <f t="shared" si="15"/>
        <v>0</v>
      </c>
      <c r="G92" s="119"/>
      <c r="H92" s="152">
        <f t="shared" si="16"/>
        <v>0.5</v>
      </c>
      <c r="I92" s="163">
        <f t="shared" si="17"/>
        <v>19.708971526014594</v>
      </c>
      <c r="J92" s="164"/>
      <c r="K92" s="165">
        <f t="shared" si="18"/>
        <v>0</v>
      </c>
      <c r="L92" s="165">
        <f t="shared" si="19"/>
        <v>0</v>
      </c>
      <c r="M92" s="165">
        <f t="shared" si="20"/>
        <v>0</v>
      </c>
      <c r="N92" s="165"/>
      <c r="O92" s="117">
        <f t="shared" si="23"/>
        <v>67.5</v>
      </c>
      <c r="P92" s="118">
        <f t="shared" si="26"/>
        <v>4.5912602409628911E-2</v>
      </c>
      <c r="Q92" s="118">
        <f t="shared" si="24"/>
        <v>0.91493706270619002</v>
      </c>
      <c r="R92" s="145">
        <f t="shared" si="27"/>
        <v>0</v>
      </c>
      <c r="S92" s="146">
        <f t="shared" si="25"/>
        <v>0</v>
      </c>
      <c r="T92" s="119"/>
      <c r="U92" s="119"/>
      <c r="V92" s="120"/>
      <c r="W92" s="120"/>
      <c r="X92" s="185"/>
      <c r="Y92" s="185"/>
    </row>
    <row r="93" spans="1:25" x14ac:dyDescent="0.2">
      <c r="A93" s="184"/>
      <c r="B93" s="159" t="s">
        <v>86</v>
      </c>
      <c r="C93" s="160">
        <v>70</v>
      </c>
      <c r="D93" s="161">
        <f t="shared" si="13"/>
        <v>1510</v>
      </c>
      <c r="E93" s="162">
        <f t="shared" si="14"/>
        <v>0</v>
      </c>
      <c r="F93" s="162">
        <f t="shared" si="15"/>
        <v>0</v>
      </c>
      <c r="G93" s="119"/>
      <c r="H93" s="152">
        <f t="shared" si="16"/>
        <v>0.5</v>
      </c>
      <c r="I93" s="163">
        <f t="shared" si="17"/>
        <v>19.708971526014594</v>
      </c>
      <c r="J93" s="164"/>
      <c r="K93" s="165">
        <f t="shared" si="18"/>
        <v>0</v>
      </c>
      <c r="L93" s="165">
        <f t="shared" si="19"/>
        <v>0</v>
      </c>
      <c r="M93" s="165">
        <f t="shared" si="20"/>
        <v>0</v>
      </c>
      <c r="N93" s="165"/>
      <c r="O93" s="117">
        <f t="shared" si="23"/>
        <v>72.5</v>
      </c>
      <c r="P93" s="118">
        <f t="shared" si="26"/>
        <v>7.2720269466001186E-2</v>
      </c>
      <c r="Q93" s="118">
        <f t="shared" si="24"/>
        <v>0.87292992111632695</v>
      </c>
      <c r="R93" s="145">
        <f t="shared" si="27"/>
        <v>0</v>
      </c>
      <c r="S93" s="146">
        <f t="shared" si="25"/>
        <v>0</v>
      </c>
      <c r="T93" s="119"/>
      <c r="U93" s="119"/>
      <c r="V93" s="120"/>
      <c r="W93" s="120"/>
      <c r="X93" s="185"/>
      <c r="Y93" s="185"/>
    </row>
    <row r="94" spans="1:25" ht="17" thickBot="1" x14ac:dyDescent="0.25">
      <c r="A94" s="184"/>
      <c r="B94" s="168" t="s">
        <v>87</v>
      </c>
      <c r="C94" s="169">
        <v>75</v>
      </c>
      <c r="D94" s="170">
        <f t="shared" si="13"/>
        <v>2740</v>
      </c>
      <c r="E94" s="171">
        <f t="shared" si="14"/>
        <v>0</v>
      </c>
      <c r="F94" s="171">
        <f t="shared" si="15"/>
        <v>0</v>
      </c>
      <c r="G94" s="124"/>
      <c r="H94" s="153">
        <f t="shared" si="16"/>
        <v>0.5</v>
      </c>
      <c r="I94" s="172">
        <f t="shared" si="17"/>
        <v>19.708971526014594</v>
      </c>
      <c r="J94" s="173"/>
      <c r="K94" s="127">
        <f t="shared" si="18"/>
        <v>0</v>
      </c>
      <c r="L94" s="127">
        <f t="shared" si="19"/>
        <v>0</v>
      </c>
      <c r="M94" s="127">
        <f t="shared" si="20"/>
        <v>0</v>
      </c>
      <c r="N94" s="127"/>
      <c r="O94" s="121">
        <f t="shared" si="23"/>
        <v>77.5</v>
      </c>
      <c r="P94" s="122">
        <f t="shared" si="26"/>
        <v>0.12802977386789061</v>
      </c>
      <c r="Q94" s="122">
        <f t="shared" si="24"/>
        <v>0.80945022202781247</v>
      </c>
      <c r="R94" s="123">
        <f t="shared" si="27"/>
        <v>0</v>
      </c>
      <c r="S94" s="147">
        <f t="shared" si="25"/>
        <v>0</v>
      </c>
      <c r="T94" s="124"/>
      <c r="U94" s="119"/>
      <c r="V94" s="120"/>
      <c r="W94" s="120"/>
      <c r="X94" s="185"/>
      <c r="Y94" s="185"/>
    </row>
    <row r="95" spans="1:25" x14ac:dyDescent="0.2">
      <c r="A95" s="184"/>
      <c r="B95" s="159" t="s">
        <v>88</v>
      </c>
      <c r="C95" s="160">
        <v>80</v>
      </c>
      <c r="D95" s="161">
        <f t="shared" si="13"/>
        <v>5020</v>
      </c>
      <c r="E95" s="162">
        <f t="shared" si="14"/>
        <v>0</v>
      </c>
      <c r="F95" s="162">
        <f t="shared" si="15"/>
        <v>0</v>
      </c>
      <c r="G95" s="119"/>
      <c r="H95" s="152">
        <f t="shared" si="16"/>
        <v>0.5</v>
      </c>
      <c r="I95" s="163">
        <f t="shared" si="17"/>
        <v>19.708971526014594</v>
      </c>
      <c r="J95" s="164"/>
      <c r="K95" s="165">
        <f t="shared" si="18"/>
        <v>0</v>
      </c>
      <c r="L95" s="165">
        <f t="shared" si="19"/>
        <v>0</v>
      </c>
      <c r="M95" s="165">
        <f t="shared" si="20"/>
        <v>0</v>
      </c>
      <c r="N95" s="165"/>
      <c r="O95" s="117">
        <f>5+O94</f>
        <v>82.5</v>
      </c>
      <c r="P95" s="118">
        <f t="shared" si="26"/>
        <v>0.22197762844104274</v>
      </c>
      <c r="Q95" s="118">
        <f>Q94*(1-P94)</f>
        <v>0.70581649314427775</v>
      </c>
      <c r="R95" s="145">
        <f t="shared" si="27"/>
        <v>0</v>
      </c>
      <c r="S95" s="146">
        <f t="shared" si="25"/>
        <v>0</v>
      </c>
      <c r="T95" s="119"/>
      <c r="U95" s="119"/>
      <c r="V95" s="134"/>
      <c r="W95" s="135" t="s">
        <v>109</v>
      </c>
      <c r="X95" s="136">
        <f>SUM(R79:R97)</f>
        <v>0</v>
      </c>
      <c r="Y95" s="185"/>
    </row>
    <row r="96" spans="1:25" ht="17" thickBot="1" x14ac:dyDescent="0.25">
      <c r="A96" s="184"/>
      <c r="B96" s="159" t="s">
        <v>89</v>
      </c>
      <c r="C96" s="160">
        <v>85</v>
      </c>
      <c r="D96" s="161">
        <f t="shared" si="13"/>
        <v>9770</v>
      </c>
      <c r="E96" s="162">
        <f t="shared" si="14"/>
        <v>0</v>
      </c>
      <c r="F96" s="162">
        <f t="shared" si="15"/>
        <v>0</v>
      </c>
      <c r="G96" s="119"/>
      <c r="H96" s="152">
        <f t="shared" si="16"/>
        <v>0.5</v>
      </c>
      <c r="I96" s="163">
        <f t="shared" si="17"/>
        <v>19.708971526014594</v>
      </c>
      <c r="J96" s="164"/>
      <c r="K96" s="165">
        <f t="shared" si="18"/>
        <v>0</v>
      </c>
      <c r="L96" s="165">
        <f t="shared" si="19"/>
        <v>0</v>
      </c>
      <c r="M96" s="165">
        <f t="shared" si="20"/>
        <v>0</v>
      </c>
      <c r="N96" s="165"/>
      <c r="O96" s="117">
        <f t="shared" si="23"/>
        <v>87.5</v>
      </c>
      <c r="P96" s="118">
        <f t="shared" si="26"/>
        <v>0.38645397667488224</v>
      </c>
      <c r="Q96" s="118">
        <f t="shared" ref="Q96:Q97" si="28">Q95*(1-P95)</f>
        <v>0.54914102188153746</v>
      </c>
      <c r="R96" s="145">
        <f t="shared" si="27"/>
        <v>0</v>
      </c>
      <c r="S96" s="146">
        <f t="shared" si="25"/>
        <v>0</v>
      </c>
      <c r="T96" s="119"/>
      <c r="U96" s="119"/>
      <c r="V96" s="137"/>
      <c r="W96" s="138" t="s">
        <v>110</v>
      </c>
      <c r="X96" s="139">
        <f>SUM(R79:R94)</f>
        <v>0</v>
      </c>
      <c r="Y96" s="185"/>
    </row>
    <row r="97" spans="1:25" ht="17" thickBot="1" x14ac:dyDescent="0.25">
      <c r="A97" s="184"/>
      <c r="B97" s="174" t="s">
        <v>90</v>
      </c>
      <c r="C97" s="175">
        <v>90</v>
      </c>
      <c r="D97" s="176">
        <f t="shared" si="13"/>
        <v>21520</v>
      </c>
      <c r="E97" s="177">
        <f t="shared" si="14"/>
        <v>0</v>
      </c>
      <c r="F97" s="177">
        <f t="shared" si="15"/>
        <v>0</v>
      </c>
      <c r="G97" s="178"/>
      <c r="H97" s="154">
        <f t="shared" si="16"/>
        <v>0.5</v>
      </c>
      <c r="I97" s="179">
        <f t="shared" si="17"/>
        <v>19.708971526014594</v>
      </c>
      <c r="J97" s="180"/>
      <c r="K97" s="181">
        <f t="shared" si="18"/>
        <v>0</v>
      </c>
      <c r="L97" s="181">
        <f t="shared" si="19"/>
        <v>0</v>
      </c>
      <c r="M97" s="181">
        <f t="shared" si="20"/>
        <v>0</v>
      </c>
      <c r="N97" s="181"/>
      <c r="O97" s="148">
        <f t="shared" si="23"/>
        <v>92.5</v>
      </c>
      <c r="P97" s="149">
        <f t="shared" si="26"/>
        <v>0.65904337186229844</v>
      </c>
      <c r="Q97" s="149">
        <f t="shared" si="28"/>
        <v>0.33692329022010881</v>
      </c>
      <c r="R97" s="150">
        <f t="shared" si="27"/>
        <v>0</v>
      </c>
      <c r="S97" s="151">
        <f>0.5*R97+0.5*R96+S96</f>
        <v>0</v>
      </c>
      <c r="T97" s="119"/>
      <c r="U97" s="119"/>
      <c r="V97" s="120"/>
      <c r="W97" s="120"/>
      <c r="X97" s="185"/>
      <c r="Y97" s="185"/>
    </row>
    <row r="98" spans="1:25" x14ac:dyDescent="0.2">
      <c r="A98" s="184"/>
      <c r="B98" s="119"/>
      <c r="C98" s="119"/>
      <c r="D98" s="119"/>
      <c r="E98" s="119"/>
      <c r="F98" s="119"/>
      <c r="G98" s="119"/>
      <c r="H98" s="125"/>
      <c r="I98" s="160"/>
      <c r="J98" s="119"/>
      <c r="K98" s="119"/>
      <c r="L98" s="119"/>
      <c r="M98" s="119"/>
      <c r="N98" s="119"/>
      <c r="O98" s="119"/>
      <c r="P98" s="119"/>
      <c r="Q98" s="119"/>
      <c r="R98" s="119"/>
      <c r="S98" s="119"/>
      <c r="T98" s="119"/>
      <c r="U98" s="119"/>
      <c r="V98" s="126"/>
      <c r="W98" s="119"/>
      <c r="X98" s="185"/>
      <c r="Y98" s="185"/>
    </row>
    <row r="99" spans="1:25" x14ac:dyDescent="0.2">
      <c r="B99" s="264" t="s">
        <v>114</v>
      </c>
      <c r="C99" s="116"/>
      <c r="D99" s="116"/>
      <c r="E99" s="116"/>
      <c r="F99" s="116"/>
      <c r="G99" s="116"/>
      <c r="H99" s="115"/>
      <c r="I99" s="115"/>
      <c r="J99" s="116"/>
      <c r="K99" s="116"/>
      <c r="L99" s="116"/>
      <c r="M99" s="116"/>
      <c r="N99" s="116"/>
      <c r="O99" s="119"/>
      <c r="S99" s="119"/>
      <c r="T99" s="119"/>
      <c r="U99" s="119"/>
      <c r="V99" s="119"/>
      <c r="W99" s="119"/>
    </row>
    <row r="100" spans="1:25" x14ac:dyDescent="0.2">
      <c r="B100" s="116" t="s">
        <v>115</v>
      </c>
      <c r="C100" s="116"/>
      <c r="D100" s="116"/>
      <c r="E100" s="116"/>
      <c r="F100" s="116"/>
      <c r="G100" s="116"/>
      <c r="H100" s="115"/>
      <c r="I100" s="115"/>
      <c r="J100" s="116"/>
      <c r="K100" s="116"/>
      <c r="L100" s="116"/>
      <c r="M100" s="116"/>
      <c r="N100" s="116"/>
      <c r="O100" s="119"/>
      <c r="S100" s="119"/>
      <c r="T100" s="119"/>
      <c r="U100" s="119"/>
      <c r="V100" s="119"/>
      <c r="W100" s="119"/>
    </row>
  </sheetData>
  <mergeCells count="37">
    <mergeCell ref="J77:J78"/>
    <mergeCell ref="M77:M78"/>
    <mergeCell ref="O77:O78"/>
    <mergeCell ref="Q77:Q78"/>
    <mergeCell ref="R77:R78"/>
    <mergeCell ref="S77:S78"/>
    <mergeCell ref="N77:N78"/>
    <mergeCell ref="R53:R54"/>
    <mergeCell ref="S53:S54"/>
    <mergeCell ref="B77:B78"/>
    <mergeCell ref="C77:C78"/>
    <mergeCell ref="D77:D78"/>
    <mergeCell ref="G77:G78"/>
    <mergeCell ref="H77:H78"/>
    <mergeCell ref="I77:I78"/>
    <mergeCell ref="K77:K78"/>
    <mergeCell ref="L77:L78"/>
    <mergeCell ref="K53:K54"/>
    <mergeCell ref="L53:L54"/>
    <mergeCell ref="M53:M54"/>
    <mergeCell ref="O53:O54"/>
    <mergeCell ref="N53:N54"/>
    <mergeCell ref="Q53:Q54"/>
    <mergeCell ref="B53:B54"/>
    <mergeCell ref="C53:C54"/>
    <mergeCell ref="D53:D54"/>
    <mergeCell ref="G53:G54"/>
    <mergeCell ref="H53:H54"/>
    <mergeCell ref="I53:I54"/>
    <mergeCell ref="B28:B49"/>
    <mergeCell ref="H28:I28"/>
    <mergeCell ref="F28:G28"/>
    <mergeCell ref="C28:C30"/>
    <mergeCell ref="D28:E28"/>
    <mergeCell ref="F29:G29"/>
    <mergeCell ref="H29:I29"/>
    <mergeCell ref="D29:E29"/>
  </mergeCells>
  <dataValidations count="1">
    <dataValidation type="list" allowBlank="1" showInputMessage="1" showErrorMessage="1" sqref="B26" xr:uid="{C73D12F9-F512-1043-99BD-13787B667808}">
      <formula1>$B$8:$B$23</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E778B4B-9B98-AF46-A03C-6BF68C70205F}">
          <x14:formula1>
            <xm:f>'App3 - Inci Mort Data'!$B$71:$B$79</xm:f>
          </x14:formula1>
          <xm:sqref>C5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376-C998-4A15-91B3-46C5009381EB}">
  <sheetPr>
    <tabColor theme="2"/>
  </sheetPr>
  <dimension ref="A1:M288"/>
  <sheetViews>
    <sheetView zoomScale="80" zoomScaleNormal="80" workbookViewId="0">
      <pane ySplit="1" topLeftCell="A218" activePane="bottomLeft" state="frozen"/>
      <selection pane="bottomLeft" activeCell="G249" sqref="A1:K288"/>
    </sheetView>
  </sheetViews>
  <sheetFormatPr baseColWidth="10" defaultColWidth="8.83203125" defaultRowHeight="16" x14ac:dyDescent="0.2"/>
  <cols>
    <col min="1" max="1" width="12.6640625" customWidth="1"/>
    <col min="2" max="2" width="14.1640625" customWidth="1"/>
    <col min="3" max="3" width="23.33203125" customWidth="1"/>
    <col min="4" max="8" width="12.6640625" customWidth="1"/>
    <col min="9" max="9" width="16.5" customWidth="1"/>
    <col min="10" max="10" width="14.83203125" style="14" customWidth="1"/>
  </cols>
  <sheetData>
    <row r="1" spans="1:11" x14ac:dyDescent="0.2">
      <c r="A1" s="1008" t="s">
        <v>181</v>
      </c>
      <c r="B1" s="1008" t="s">
        <v>242</v>
      </c>
      <c r="C1" s="1008" t="s">
        <v>243</v>
      </c>
      <c r="D1" s="1009" t="s">
        <v>244</v>
      </c>
      <c r="E1" s="1008" t="s">
        <v>245</v>
      </c>
      <c r="F1" s="1008" t="s">
        <v>246</v>
      </c>
      <c r="G1" s="1008" t="s">
        <v>247</v>
      </c>
      <c r="H1" s="1008" t="s">
        <v>248</v>
      </c>
      <c r="I1" s="1008" t="s">
        <v>249</v>
      </c>
      <c r="J1" s="1010" t="s">
        <v>250</v>
      </c>
      <c r="K1" s="1008" t="s">
        <v>317</v>
      </c>
    </row>
    <row r="2" spans="1:11" x14ac:dyDescent="0.2">
      <c r="A2" s="1008" t="s">
        <v>179</v>
      </c>
      <c r="B2" s="1009" t="s">
        <v>251</v>
      </c>
      <c r="C2" s="1009" t="str">
        <f t="shared" ref="C2:C74" si="0">A2&amp;"_"&amp;B2</f>
        <v>Bladder_0 to 04</v>
      </c>
      <c r="D2" s="1011">
        <v>1</v>
      </c>
      <c r="E2" s="1012">
        <v>0</v>
      </c>
      <c r="F2" s="1011">
        <f>VLOOKUP(B2,'App7 - PopSize_Calcs'!$M$3:$P$40,3,FALSE)</f>
        <v>1930786.3333333333</v>
      </c>
      <c r="G2" s="1011">
        <v>1</v>
      </c>
      <c r="H2" s="1012">
        <v>0.1</v>
      </c>
      <c r="I2" s="1011">
        <f>VLOOKUP(B2,'App7 - PopSize_Calcs'!$M$3:$P$40,2,FALSE)</f>
        <v>2032241.3333333333</v>
      </c>
      <c r="J2" s="1010">
        <f t="shared" ref="J2:J75" si="1">SUM(F2,I2)</f>
        <v>3963027.6666666665</v>
      </c>
      <c r="K2" s="1010">
        <f>SUM(D2,G2)</f>
        <v>2</v>
      </c>
    </row>
    <row r="3" spans="1:11" x14ac:dyDescent="0.2">
      <c r="A3" s="1008" t="s">
        <v>179</v>
      </c>
      <c r="B3" s="1009" t="s">
        <v>252</v>
      </c>
      <c r="C3" s="1009" t="str">
        <f t="shared" si="0"/>
        <v>Bladder_05 to 09</v>
      </c>
      <c r="D3" s="1011">
        <v>0</v>
      </c>
      <c r="E3" s="1012">
        <v>0</v>
      </c>
      <c r="F3" s="1011">
        <f>VLOOKUP(B3,'App7 - PopSize_Calcs'!$M$3:$P$40,3,FALSE)</f>
        <v>1999676.3333333333</v>
      </c>
      <c r="G3" s="1011">
        <v>0</v>
      </c>
      <c r="H3" s="1012">
        <v>0</v>
      </c>
      <c r="I3" s="1011">
        <f>VLOOKUP(B3,'App7 - PopSize_Calcs'!$M$3:$P$40,2,FALSE)</f>
        <v>2096799</v>
      </c>
      <c r="J3" s="1010">
        <f t="shared" si="1"/>
        <v>4096475.333333333</v>
      </c>
      <c r="K3" s="1010">
        <f t="shared" ref="K3:K66" si="2">SUM(D3,G3)</f>
        <v>0</v>
      </c>
    </row>
    <row r="4" spans="1:11" x14ac:dyDescent="0.2">
      <c r="A4" s="1008" t="s">
        <v>179</v>
      </c>
      <c r="B4" s="1009" t="s">
        <v>253</v>
      </c>
      <c r="C4" s="1009" t="str">
        <f t="shared" si="0"/>
        <v>Bladder_10 to 14</v>
      </c>
      <c r="D4" s="1011">
        <v>0</v>
      </c>
      <c r="E4" s="1012">
        <v>0</v>
      </c>
      <c r="F4" s="1011">
        <f>VLOOKUP(B4,'App7 - PopSize_Calcs'!$M$3:$P$40,3,FALSE)</f>
        <v>1823411.3333333333</v>
      </c>
      <c r="G4" s="1011">
        <v>0</v>
      </c>
      <c r="H4" s="1012">
        <v>0</v>
      </c>
      <c r="I4" s="1011">
        <f>VLOOKUP(B4,'App7 - PopSize_Calcs'!$M$3:$P$40,2,FALSE)</f>
        <v>1915702.6666666667</v>
      </c>
      <c r="J4" s="1010">
        <f t="shared" si="1"/>
        <v>3739114</v>
      </c>
      <c r="K4" s="1010">
        <f t="shared" si="2"/>
        <v>0</v>
      </c>
    </row>
    <row r="5" spans="1:11" x14ac:dyDescent="0.2">
      <c r="A5" s="1008" t="s">
        <v>179</v>
      </c>
      <c r="B5" s="1009" t="s">
        <v>254</v>
      </c>
      <c r="C5" s="1009" t="str">
        <f t="shared" si="0"/>
        <v>Bladder_15 to 19</v>
      </c>
      <c r="D5" s="1011">
        <v>0</v>
      </c>
      <c r="E5" s="1012">
        <v>0</v>
      </c>
      <c r="F5" s="1011">
        <f>VLOOKUP(B5,'App7 - PopSize_Calcs'!$M$3:$P$40,3,FALSE)</f>
        <v>1808992</v>
      </c>
      <c r="G5" s="1011">
        <v>0</v>
      </c>
      <c r="H5" s="1012">
        <v>0</v>
      </c>
      <c r="I5" s="1011">
        <f>VLOOKUP(B5,'App7 - PopSize_Calcs'!$M$3:$P$40,2,FALSE)</f>
        <v>1908478.6666666667</v>
      </c>
      <c r="J5" s="1010">
        <f t="shared" si="1"/>
        <v>3717470.666666667</v>
      </c>
      <c r="K5" s="1010">
        <f t="shared" si="2"/>
        <v>0</v>
      </c>
    </row>
    <row r="6" spans="1:11" x14ac:dyDescent="0.2">
      <c r="A6" s="1008" t="s">
        <v>179</v>
      </c>
      <c r="B6" s="1009" t="s">
        <v>255</v>
      </c>
      <c r="C6" s="1009" t="str">
        <f t="shared" si="0"/>
        <v>Bladder_20 to 24</v>
      </c>
      <c r="D6" s="1011">
        <v>0</v>
      </c>
      <c r="E6" s="1012">
        <v>0</v>
      </c>
      <c r="F6" s="1011">
        <f>VLOOKUP(B6,'App7 - PopSize_Calcs'!$M$3:$P$40,3,FALSE)</f>
        <v>2053200.6666666667</v>
      </c>
      <c r="G6" s="1011">
        <v>1</v>
      </c>
      <c r="H6" s="1012">
        <v>0</v>
      </c>
      <c r="I6" s="1011">
        <f>VLOOKUP(B6,'App7 - PopSize_Calcs'!$M$3:$P$40,2,FALSE)</f>
        <v>2161986</v>
      </c>
      <c r="J6" s="1010">
        <f t="shared" si="1"/>
        <v>4215186.666666667</v>
      </c>
      <c r="K6" s="1010">
        <f t="shared" si="2"/>
        <v>1</v>
      </c>
    </row>
    <row r="7" spans="1:11" x14ac:dyDescent="0.2">
      <c r="A7" s="1008" t="s">
        <v>179</v>
      </c>
      <c r="B7" s="1009" t="s">
        <v>256</v>
      </c>
      <c r="C7" s="1009" t="str">
        <f t="shared" si="0"/>
        <v>Bladder_25 to 29</v>
      </c>
      <c r="D7" s="1011">
        <v>1</v>
      </c>
      <c r="E7" s="1012">
        <v>0.1</v>
      </c>
      <c r="F7" s="1011">
        <f>VLOOKUP(B7,'App7 - PopSize_Calcs'!$M$3:$P$40,3,FALSE)</f>
        <v>2239266</v>
      </c>
      <c r="G7" s="1011">
        <v>2</v>
      </c>
      <c r="H7" s="1012">
        <v>0.1</v>
      </c>
      <c r="I7" s="1011">
        <f>VLOOKUP(B7,'App7 - PopSize_Calcs'!$M$3:$P$40,2,FALSE)</f>
        <v>2287337.6666666665</v>
      </c>
      <c r="J7" s="1010">
        <f t="shared" si="1"/>
        <v>4526603.666666666</v>
      </c>
      <c r="K7" s="1010">
        <f t="shared" si="2"/>
        <v>3</v>
      </c>
    </row>
    <row r="8" spans="1:11" x14ac:dyDescent="0.2">
      <c r="A8" s="1008" t="s">
        <v>179</v>
      </c>
      <c r="B8" s="1009" t="s">
        <v>257</v>
      </c>
      <c r="C8" s="1009" t="str">
        <f t="shared" si="0"/>
        <v>Bladder_30 to 34</v>
      </c>
      <c r="D8" s="1011">
        <v>5</v>
      </c>
      <c r="E8" s="1012">
        <v>0.2</v>
      </c>
      <c r="F8" s="1011">
        <f>VLOOKUP(B8,'App7 - PopSize_Calcs'!$M$3:$P$40,3,FALSE)</f>
        <v>2222400.3333333335</v>
      </c>
      <c r="G8" s="1011">
        <v>6</v>
      </c>
      <c r="H8" s="1012">
        <v>0.3</v>
      </c>
      <c r="I8" s="1011">
        <f>VLOOKUP(B8,'App7 - PopSize_Calcs'!$M$3:$P$40,2,FALSE)</f>
        <v>2208867.6666666665</v>
      </c>
      <c r="J8" s="1010">
        <f t="shared" si="1"/>
        <v>4431268</v>
      </c>
      <c r="K8" s="1010">
        <f t="shared" si="2"/>
        <v>11</v>
      </c>
    </row>
    <row r="9" spans="1:11" x14ac:dyDescent="0.2">
      <c r="A9" s="1008" t="s">
        <v>179</v>
      </c>
      <c r="B9" s="1009" t="s">
        <v>258</v>
      </c>
      <c r="C9" s="1009" t="str">
        <f t="shared" si="0"/>
        <v>Bladder_35 to 39</v>
      </c>
      <c r="D9" s="1011">
        <v>8</v>
      </c>
      <c r="E9" s="1012">
        <v>0.4</v>
      </c>
      <c r="F9" s="1011">
        <f>VLOOKUP(B9,'App7 - PopSize_Calcs'!$M$3:$P$40,3,FALSE)</f>
        <v>2153444.6666666665</v>
      </c>
      <c r="G9" s="1011">
        <v>14</v>
      </c>
      <c r="H9" s="1012">
        <v>0.6</v>
      </c>
      <c r="I9" s="1011">
        <f>VLOOKUP(B9,'App7 - PopSize_Calcs'!$M$3:$P$40,2,FALSE)</f>
        <v>2124546.3333333335</v>
      </c>
      <c r="J9" s="1010">
        <f t="shared" si="1"/>
        <v>4277991</v>
      </c>
      <c r="K9" s="1010">
        <f t="shared" si="2"/>
        <v>22</v>
      </c>
    </row>
    <row r="10" spans="1:11" x14ac:dyDescent="0.2">
      <c r="A10" s="1008" t="s">
        <v>179</v>
      </c>
      <c r="B10" s="1009" t="s">
        <v>192</v>
      </c>
      <c r="C10" s="1009" t="str">
        <f t="shared" si="0"/>
        <v>Bladder_40 to 44</v>
      </c>
      <c r="D10" s="1011">
        <v>21</v>
      </c>
      <c r="E10" s="1012">
        <v>1</v>
      </c>
      <c r="F10" s="1011">
        <f>VLOOKUP(B10,'App7 - PopSize_Calcs'!$M$3:$P$40,3,FALSE)</f>
        <v>2054223.3333333333</v>
      </c>
      <c r="G10" s="1011">
        <v>35</v>
      </c>
      <c r="H10" s="1012">
        <v>1.7</v>
      </c>
      <c r="I10" s="1011">
        <f>VLOOKUP(B10,'App7 - PopSize_Calcs'!$M$3:$P$40,2,FALSE)</f>
        <v>2021384.6666666667</v>
      </c>
      <c r="J10" s="1010">
        <f t="shared" si="1"/>
        <v>4075608</v>
      </c>
      <c r="K10" s="1010">
        <f t="shared" si="2"/>
        <v>56</v>
      </c>
    </row>
    <row r="11" spans="1:11" x14ac:dyDescent="0.2">
      <c r="A11" s="1008" t="s">
        <v>179</v>
      </c>
      <c r="B11" s="1009" t="s">
        <v>193</v>
      </c>
      <c r="C11" s="1009" t="str">
        <f t="shared" si="0"/>
        <v>Bladder_45 to 49</v>
      </c>
      <c r="D11" s="1011">
        <v>41</v>
      </c>
      <c r="E11" s="1012">
        <v>1.8</v>
      </c>
      <c r="F11" s="1011">
        <f>VLOOKUP(B11,'App7 - PopSize_Calcs'!$M$3:$P$40,3,FALSE)</f>
        <v>2315479.3333333335</v>
      </c>
      <c r="G11" s="1011">
        <v>83</v>
      </c>
      <c r="H11" s="1012">
        <v>3.7</v>
      </c>
      <c r="I11" s="1011">
        <f>VLOOKUP(B11,'App7 - PopSize_Calcs'!$M$3:$P$40,2,FALSE)</f>
        <v>2251680</v>
      </c>
      <c r="J11" s="1010">
        <f t="shared" si="1"/>
        <v>4567159.333333334</v>
      </c>
      <c r="K11" s="1010">
        <f t="shared" si="2"/>
        <v>124</v>
      </c>
    </row>
    <row r="12" spans="1:11" x14ac:dyDescent="0.2">
      <c r="A12" s="1008" t="s">
        <v>179</v>
      </c>
      <c r="B12" s="1009" t="s">
        <v>194</v>
      </c>
      <c r="C12" s="1009" t="str">
        <f t="shared" si="0"/>
        <v>Bladder_50 to 54</v>
      </c>
      <c r="D12" s="1011">
        <v>72</v>
      </c>
      <c r="E12" s="1012">
        <v>3</v>
      </c>
      <c r="F12" s="1011">
        <f>VLOOKUP(B12,'App7 - PopSize_Calcs'!$M$3:$P$40,3,FALSE)</f>
        <v>2364638</v>
      </c>
      <c r="G12" s="1011">
        <v>186</v>
      </c>
      <c r="H12" s="1012">
        <v>8.1</v>
      </c>
      <c r="I12" s="1011">
        <f>VLOOKUP(B12,'App7 - PopSize_Calcs'!$M$3:$P$40,2,FALSE)</f>
        <v>2293472.6666666665</v>
      </c>
      <c r="J12" s="1010">
        <f t="shared" si="1"/>
        <v>4658110.666666666</v>
      </c>
      <c r="K12" s="1010">
        <f t="shared" si="2"/>
        <v>258</v>
      </c>
    </row>
    <row r="13" spans="1:11" x14ac:dyDescent="0.2">
      <c r="A13" s="1008" t="s">
        <v>179</v>
      </c>
      <c r="B13" s="1009" t="s">
        <v>195</v>
      </c>
      <c r="C13" s="1009" t="str">
        <f t="shared" si="0"/>
        <v>Bladder_55 to 59</v>
      </c>
      <c r="D13" s="1011">
        <v>124</v>
      </c>
      <c r="E13" s="1012">
        <v>5.8</v>
      </c>
      <c r="F13" s="1011">
        <f>VLOOKUP(B13,'App7 - PopSize_Calcs'!$M$3:$P$40,3,FALSE)</f>
        <v>2119687.3333333335</v>
      </c>
      <c r="G13" s="1011">
        <v>310</v>
      </c>
      <c r="H13" s="1012">
        <v>15.1</v>
      </c>
      <c r="I13" s="1011">
        <f>VLOOKUP(B13,'App7 - PopSize_Calcs'!$M$3:$P$40,2,FALSE)</f>
        <v>2061918.6666666667</v>
      </c>
      <c r="J13" s="1010">
        <f t="shared" si="1"/>
        <v>4181606</v>
      </c>
      <c r="K13" s="1010">
        <f t="shared" si="2"/>
        <v>434</v>
      </c>
    </row>
    <row r="14" spans="1:11" x14ac:dyDescent="0.2">
      <c r="A14" s="1008" t="s">
        <v>179</v>
      </c>
      <c r="B14" s="1009" t="s">
        <v>196</v>
      </c>
      <c r="C14" s="1009" t="str">
        <f t="shared" si="0"/>
        <v>Bladder_60 to 64</v>
      </c>
      <c r="D14" s="1011">
        <v>174</v>
      </c>
      <c r="E14" s="1012">
        <v>9.5</v>
      </c>
      <c r="F14" s="1011">
        <f>VLOOKUP(B14,'App7 - PopSize_Calcs'!$M$3:$P$40,3,FALSE)</f>
        <v>1837174</v>
      </c>
      <c r="G14" s="1011">
        <v>529</v>
      </c>
      <c r="H14" s="1012">
        <v>30</v>
      </c>
      <c r="I14" s="1011">
        <f>VLOOKUP(B14,'App7 - PopSize_Calcs'!$M$3:$P$40,2,FALSE)</f>
        <v>1764828</v>
      </c>
      <c r="J14" s="1010">
        <f t="shared" si="1"/>
        <v>3602002</v>
      </c>
      <c r="K14" s="1010">
        <f t="shared" si="2"/>
        <v>703</v>
      </c>
    </row>
    <row r="15" spans="1:11" x14ac:dyDescent="0.2">
      <c r="A15" s="1008" t="s">
        <v>179</v>
      </c>
      <c r="B15" s="1009" t="s">
        <v>197</v>
      </c>
      <c r="C15" s="1009" t="str">
        <f t="shared" si="0"/>
        <v>Bladder_65 to 69</v>
      </c>
      <c r="D15" s="1011">
        <v>281</v>
      </c>
      <c r="E15" s="1012">
        <v>15.6</v>
      </c>
      <c r="F15" s="1011">
        <f>VLOOKUP(B15,'App7 - PopSize_Calcs'!$M$3:$P$40,3,FALSE)</f>
        <v>1805190</v>
      </c>
      <c r="G15" s="1011">
        <v>907</v>
      </c>
      <c r="H15" s="1012">
        <v>53.5</v>
      </c>
      <c r="I15" s="1011">
        <f>VLOOKUP(B15,'App7 - PopSize_Calcs'!$M$3:$P$40,2,FALSE)</f>
        <v>1696993.3333333333</v>
      </c>
      <c r="J15" s="1010">
        <f t="shared" si="1"/>
        <v>3502183.333333333</v>
      </c>
      <c r="K15" s="1010">
        <f t="shared" si="2"/>
        <v>1188</v>
      </c>
    </row>
    <row r="16" spans="1:11" x14ac:dyDescent="0.2">
      <c r="A16" s="1008" t="s">
        <v>179</v>
      </c>
      <c r="B16" s="1009" t="s">
        <v>198</v>
      </c>
      <c r="C16" s="1009" t="str">
        <f t="shared" si="0"/>
        <v>Bladder_70 to 74</v>
      </c>
      <c r="D16" s="1011">
        <v>406</v>
      </c>
      <c r="E16" s="1012">
        <v>25.3</v>
      </c>
      <c r="F16" s="1011">
        <f>VLOOKUP(B16,'App7 - PopSize_Calcs'!$M$3:$P$40,3,FALSE)</f>
        <v>1603609.6666666667</v>
      </c>
      <c r="G16" s="1011">
        <v>1324</v>
      </c>
      <c r="H16" s="1012">
        <v>90.2</v>
      </c>
      <c r="I16" s="1011">
        <f>VLOOKUP(B16,'App7 - PopSize_Calcs'!$M$3:$P$40,2,FALSE)</f>
        <v>1467965</v>
      </c>
      <c r="J16" s="1010">
        <f t="shared" si="1"/>
        <v>3071574.666666667</v>
      </c>
      <c r="K16" s="1010">
        <f t="shared" si="2"/>
        <v>1730</v>
      </c>
    </row>
    <row r="17" spans="1:11" x14ac:dyDescent="0.2">
      <c r="A17" s="1008" t="s">
        <v>179</v>
      </c>
      <c r="B17" s="1009" t="s">
        <v>199</v>
      </c>
      <c r="C17" s="1009" t="str">
        <f t="shared" si="0"/>
        <v>Bladder_75 to 79</v>
      </c>
      <c r="D17" s="1011">
        <v>463</v>
      </c>
      <c r="E17" s="1012">
        <v>39.200000000000003</v>
      </c>
      <c r="F17" s="1011">
        <f>VLOOKUP(B17,'App7 - PopSize_Calcs'!$M$3:$P$40,3,FALSE)</f>
        <v>1181645.3333333333</v>
      </c>
      <c r="G17" s="1011">
        <v>1389</v>
      </c>
      <c r="H17" s="1012">
        <v>137.9</v>
      </c>
      <c r="I17" s="1011">
        <f>VLOOKUP(B17,'App7 - PopSize_Calcs'!$M$3:$P$40,2,FALSE)</f>
        <v>1007365.3333333334</v>
      </c>
      <c r="J17" s="1010">
        <f t="shared" si="1"/>
        <v>2189010.6666666665</v>
      </c>
      <c r="K17" s="1010">
        <f t="shared" si="2"/>
        <v>1852</v>
      </c>
    </row>
    <row r="18" spans="1:11" x14ac:dyDescent="0.2">
      <c r="A18" s="1008" t="s">
        <v>179</v>
      </c>
      <c r="B18" s="1009" t="s">
        <v>259</v>
      </c>
      <c r="C18" s="1009" t="str">
        <f t="shared" si="0"/>
        <v>Bladder_80 to 84</v>
      </c>
      <c r="D18" s="1011">
        <v>514</v>
      </c>
      <c r="E18" s="1012">
        <v>55.5</v>
      </c>
      <c r="F18" s="1011">
        <f>VLOOKUP(B18,'App7 - PopSize_Calcs'!$M$3:$P$40,3,FALSE)</f>
        <v>926371.33333333337</v>
      </c>
      <c r="G18" s="1011">
        <v>1343</v>
      </c>
      <c r="H18" s="1012">
        <v>188.7</v>
      </c>
      <c r="I18" s="1011">
        <f>VLOOKUP(B18,'App7 - PopSize_Calcs'!$M$3:$P$40,2,FALSE)</f>
        <v>712072</v>
      </c>
      <c r="J18" s="1010">
        <f t="shared" si="1"/>
        <v>1638443.3333333335</v>
      </c>
      <c r="K18" s="1010">
        <f t="shared" si="2"/>
        <v>1857</v>
      </c>
    </row>
    <row r="19" spans="1:11" x14ac:dyDescent="0.2">
      <c r="A19" s="1008" t="s">
        <v>179</v>
      </c>
      <c r="B19" s="1009" t="s">
        <v>260</v>
      </c>
      <c r="C19" s="1009" t="str">
        <f t="shared" si="0"/>
        <v>Bladder_85 to 89</v>
      </c>
      <c r="D19" s="1011">
        <v>434</v>
      </c>
      <c r="E19" s="1012">
        <v>70.099999999999994</v>
      </c>
      <c r="F19" s="1011">
        <f>VLOOKUP(B19,'App7 - PopSize_Calcs'!$M$3:$P$40,3,FALSE)</f>
        <v>618392.33333333337</v>
      </c>
      <c r="G19" s="1011">
        <v>908</v>
      </c>
      <c r="H19" s="1012">
        <v>231.7</v>
      </c>
      <c r="I19" s="1011">
        <f>VLOOKUP(B19,'App7 - PopSize_Calcs'!$M$3:$P$40,2,FALSE)</f>
        <v>391702</v>
      </c>
      <c r="J19" s="1010">
        <f t="shared" si="1"/>
        <v>1010094.3333333334</v>
      </c>
      <c r="K19" s="1010">
        <f t="shared" si="2"/>
        <v>1342</v>
      </c>
    </row>
    <row r="20" spans="1:11" x14ac:dyDescent="0.2">
      <c r="A20" s="1008" t="s">
        <v>179</v>
      </c>
      <c r="B20" s="1009">
        <v>90</v>
      </c>
      <c r="C20" s="1009" t="str">
        <f t="shared" si="0"/>
        <v>Bladder_90</v>
      </c>
      <c r="D20" s="1011">
        <v>275</v>
      </c>
      <c r="E20" s="1012">
        <v>68.599999999999994</v>
      </c>
      <c r="F20" s="1011">
        <f>VLOOKUP(B20,'App7 - PopSize_Calcs'!$M$3:$P$40,3,FALSE)</f>
        <v>400463.66666666669</v>
      </c>
      <c r="G20" s="1011">
        <v>433</v>
      </c>
      <c r="H20" s="1012">
        <v>243.2</v>
      </c>
      <c r="I20" s="1011">
        <f>VLOOKUP(B20,'App7 - PopSize_Calcs'!$M$3:$P$40,2,FALSE)</f>
        <v>177884.66666666666</v>
      </c>
      <c r="J20" s="1010">
        <f t="shared" si="1"/>
        <v>578348.33333333337</v>
      </c>
      <c r="K20" s="1010">
        <f t="shared" si="2"/>
        <v>708</v>
      </c>
    </row>
    <row r="21" spans="1:11" x14ac:dyDescent="0.2">
      <c r="A21" s="1008" t="s">
        <v>179</v>
      </c>
      <c r="B21" s="1009" t="s">
        <v>204</v>
      </c>
      <c r="C21" s="1009" t="str">
        <f t="shared" si="0"/>
        <v>Bladder_Total 40-79</v>
      </c>
      <c r="D21" s="1011">
        <f>VLOOKUP("bladder_40 to 44",C:H,2,FALSE)+VLOOKUP("bladder_45 to 49",C:H,2,FALSE)+VLOOKUP("bladder_50 to 54",C:H,2,FALSE)+VLOOKUP("bladder_55 to 59",C:H,2,FALSE)+VLOOKUP("bladder_60 to 64",C:H,2,FALSE)+VLOOKUP("bladder_65 to 69",C:H,2,FALSE)+VLOOKUP("bladder_70 to 74",C:H,2,FALSE)+VLOOKUP("bladder_75 to 79",C:H,2,FALSE)</f>
        <v>1582</v>
      </c>
      <c r="E21" s="1012">
        <f t="shared" ref="E21:E26" si="3">(D21/F21)*100000</f>
        <v>10.352287289452505</v>
      </c>
      <c r="F21" s="1011">
        <f>VLOOKUP(B21,'App7 - PopSize_Calcs'!$M$3:$P$40,3,FALSE)</f>
        <v>15281647</v>
      </c>
      <c r="G21" s="1012">
        <f>VLOOKUP("bladder_40 to 44",C:H,5,FALSE)+VLOOKUP("bladder_45 to 49",C:H,5,FALSE)+VLOOKUP("bladder_50 to 54",C:H,5,FALSE)+VLOOKUP("bladder_55 to 59",C:H,5,FALSE)+VLOOKUP("bladder_60 to 64",C:H,5,FALSE)+VLOOKUP("bladder_65 to 69",C:H,5,FALSE)+VLOOKUP("bladder_70 to 74",C:H,5,FALSE)+VLOOKUP("bladder_75 to 79",C:H,5,FALSE)</f>
        <v>4763</v>
      </c>
      <c r="H21" s="1012">
        <f t="shared" ref="H21:H26" si="4">(G21/I21)*100000</f>
        <v>32.700317824021205</v>
      </c>
      <c r="I21" s="1011">
        <f>VLOOKUP(B21,'App7 - PopSize_Calcs'!$M$3:$P$40,2,FALSE)</f>
        <v>14565607.666666668</v>
      </c>
      <c r="J21" s="1010">
        <f t="shared" si="1"/>
        <v>29847254.666666668</v>
      </c>
      <c r="K21" s="1010">
        <f t="shared" si="2"/>
        <v>6345</v>
      </c>
    </row>
    <row r="22" spans="1:11" x14ac:dyDescent="0.2">
      <c r="A22" s="1008" t="s">
        <v>179</v>
      </c>
      <c r="B22" s="1008" t="s">
        <v>200</v>
      </c>
      <c r="C22" s="1009" t="str">
        <f t="shared" si="0"/>
        <v>Bladder_Total 40-69</v>
      </c>
      <c r="D22" s="1011">
        <f>VLOOKUP("bladder_40 to 44",C:H,2,FALSE)+VLOOKUP("bladder_45 to 49",C:H,2,FALSE)+VLOOKUP("bladder_50 to 54",C:H,2,FALSE)+VLOOKUP("bladder_55 to 59",C:H,2,FALSE)+VLOOKUP("bladder_60 to 64",C:H,2,FALSE)+VLOOKUP("bladder_65 to 69",C:H,2,FALSE)</f>
        <v>713</v>
      </c>
      <c r="E22" s="1012">
        <f t="shared" si="3"/>
        <v>5.705646877914841</v>
      </c>
      <c r="F22" s="1011">
        <f>VLOOKUP(B22,'App7 - PopSize_Calcs'!$M$3:$P$40,3,FALSE)</f>
        <v>12496392</v>
      </c>
      <c r="G22" s="1012">
        <f>VLOOKUP("bladder_40 to 44",C:H,5,FALSE)+VLOOKUP("bladder_45 to 49",C:H,5,FALSE)+VLOOKUP("bladder_50 to 54",C:H,5,FALSE)+VLOOKUP("bladder_55 to 59",C:H,5,FALSE)+VLOOKUP("bladder_60 to 64",C:H,5,FALSE)+VLOOKUP("bladder_65 to 69",C:H,5,FALSE)</f>
        <v>2050</v>
      </c>
      <c r="H22" s="1012">
        <f t="shared" si="4"/>
        <v>16.955773167817046</v>
      </c>
      <c r="I22" s="1011">
        <f>VLOOKUP(B22,'App7 - PopSize_Calcs'!$M$3:$P$40,2,FALSE)</f>
        <v>12090277.333333334</v>
      </c>
      <c r="J22" s="1010">
        <f t="shared" si="1"/>
        <v>24586669.333333336</v>
      </c>
      <c r="K22" s="1010">
        <f t="shared" si="2"/>
        <v>2763</v>
      </c>
    </row>
    <row r="23" spans="1:11" x14ac:dyDescent="0.2">
      <c r="A23" s="1008" t="s">
        <v>179</v>
      </c>
      <c r="B23" s="1008" t="s">
        <v>201</v>
      </c>
      <c r="C23" s="1009" t="str">
        <f t="shared" si="0"/>
        <v>Bladder_Total 40-49</v>
      </c>
      <c r="D23" s="1011">
        <f>VLOOKUP("bladder_40 to 44",C:H,2,FALSE)+VLOOKUP("bladder_45 to 49",C:H,2,FALSE)</f>
        <v>62</v>
      </c>
      <c r="E23" s="1012">
        <f t="shared" si="3"/>
        <v>1.418860840874909</v>
      </c>
      <c r="F23" s="1011">
        <f>VLOOKUP(B23,'App7 - PopSize_Calcs'!$M$3:$P$40,3,FALSE)</f>
        <v>4369702.666666667</v>
      </c>
      <c r="G23" s="1012">
        <f>VLOOKUP("bladder_40 to 44",C:H,5,FALSE)+VLOOKUP("bladder_45 to 49",C:H,5,FALSE)</f>
        <v>118</v>
      </c>
      <c r="H23" s="1012">
        <f t="shared" si="4"/>
        <v>2.7614840683431421</v>
      </c>
      <c r="I23" s="1011">
        <f>VLOOKUP(B23,'App7 - PopSize_Calcs'!$M$3:$P$40,2,FALSE)</f>
        <v>4273064.666666667</v>
      </c>
      <c r="J23" s="1010">
        <f t="shared" si="1"/>
        <v>8642767.333333334</v>
      </c>
      <c r="K23" s="1010">
        <f t="shared" si="2"/>
        <v>180</v>
      </c>
    </row>
    <row r="24" spans="1:11" x14ac:dyDescent="0.2">
      <c r="A24" s="1008" t="s">
        <v>179</v>
      </c>
      <c r="B24" s="1008" t="s">
        <v>202</v>
      </c>
      <c r="C24" s="1009" t="str">
        <f t="shared" si="0"/>
        <v>Bladder_Total 50-59</v>
      </c>
      <c r="D24" s="1011">
        <f>VLOOKUP("bladder_50 to 54",C:H,2,FALSE)+VLOOKUP("bladder_55 to 59",C:H,2,FALSE)</f>
        <v>196</v>
      </c>
      <c r="E24" s="1012">
        <f t="shared" si="3"/>
        <v>4.370780115864326</v>
      </c>
      <c r="F24" s="1011">
        <f>VLOOKUP(B24,'App7 - PopSize_Calcs'!$M$3:$P$40,3,FALSE)</f>
        <v>4484325.333333334</v>
      </c>
      <c r="G24" s="1012">
        <f>VLOOKUP("bladder_50 to 54",C:H,5,FALSE)+VLOOKUP("bladder_55 to 59",C:H,5,FALSE)</f>
        <v>496</v>
      </c>
      <c r="H24" s="1012">
        <f t="shared" si="4"/>
        <v>11.388184483078215</v>
      </c>
      <c r="I24" s="1011">
        <f>VLOOKUP(B24,'App7 - PopSize_Calcs'!$M$3:$P$40,2,FALSE)</f>
        <v>4355391.333333333</v>
      </c>
      <c r="J24" s="1010">
        <f t="shared" si="1"/>
        <v>8839716.6666666679</v>
      </c>
      <c r="K24" s="1010">
        <f t="shared" si="2"/>
        <v>692</v>
      </c>
    </row>
    <row r="25" spans="1:11" x14ac:dyDescent="0.2">
      <c r="A25" s="1008" t="s">
        <v>179</v>
      </c>
      <c r="B25" s="1008" t="s">
        <v>203</v>
      </c>
      <c r="C25" s="1009" t="str">
        <f t="shared" si="0"/>
        <v>Bladder_Total 50-69</v>
      </c>
      <c r="D25" s="1011">
        <f>VLOOKUP("bladder_50 to 54",C:H,2,FALSE)+VLOOKUP("bladder_55 to 59",C:H,2,FALSE)+VLOOKUP("bladder_60 to 64",C:H,2,FALSE)+VLOOKUP("bladder_65 to 69",C:H,2,FALSE)</f>
        <v>651</v>
      </c>
      <c r="E25" s="1012">
        <f t="shared" si="3"/>
        <v>8.0106421360268563</v>
      </c>
      <c r="F25" s="1011">
        <f>VLOOKUP(B25,'App7 - PopSize_Calcs'!$M$3:$P$40,3,FALSE)</f>
        <v>8126689.333333334</v>
      </c>
      <c r="G25" s="1012">
        <f>VLOOKUP("bladder_50 to 54",C:H,5,FALSE)+VLOOKUP("bladder_55 to 59",C:H,5,FALSE)+VLOOKUP("bladder_60 to 64",C:H,5,FALSE)+VLOOKUP("bladder_65 to 69",C:H,5,FALSE)</f>
        <v>1932</v>
      </c>
      <c r="H25" s="1012">
        <f t="shared" si="4"/>
        <v>24.714691570797743</v>
      </c>
      <c r="I25" s="1011">
        <f>VLOOKUP(B25,'App7 - PopSize_Calcs'!$M$3:$P$40,2,FALSE)</f>
        <v>7817212.666666666</v>
      </c>
      <c r="J25" s="1010">
        <f t="shared" si="1"/>
        <v>15943902</v>
      </c>
      <c r="K25" s="1010">
        <f t="shared" si="2"/>
        <v>2583</v>
      </c>
    </row>
    <row r="26" spans="1:11" x14ac:dyDescent="0.2">
      <c r="A26" s="1008" t="s">
        <v>179</v>
      </c>
      <c r="B26" s="1008" t="s">
        <v>292</v>
      </c>
      <c r="C26" s="1009" t="str">
        <f t="shared" si="0"/>
        <v>Bladder_Total 60-74</v>
      </c>
      <c r="D26" s="1011">
        <f>VLOOKUP("kidney_60 to 64",C:H,2,FALSE)+VLOOKUP("kidney_65 to 69",C:H,2,FALSE)+VLOOKUP("kidney_70 to 74",C:H,2,FALSE)</f>
        <v>1861</v>
      </c>
      <c r="E26" s="1012">
        <f t="shared" si="3"/>
        <v>35.474825423256348</v>
      </c>
      <c r="F26" s="1011">
        <f>VLOOKUP(B26,'App7 - PopSize_Calcs'!$M$3:$P$40,3,FALSE)</f>
        <v>5245973.666666667</v>
      </c>
      <c r="G26" s="1011">
        <f>VLOOKUP("kidney_60 to 64",C:K,5,FALSE)+VLOOKUP("kidney_65 to 69",C:K,5,FALSE)+VLOOKUP("kidney_70 to 74",C:K,5,FALSE)</f>
        <v>3542</v>
      </c>
      <c r="H26" s="1012">
        <f t="shared" si="4"/>
        <v>71.848955725532122</v>
      </c>
      <c r="I26" s="1011">
        <f>VLOOKUP(B26,'App7 - PopSize_Calcs'!$M$3:$P$40,2,FALSE)</f>
        <v>4929786.333333333</v>
      </c>
      <c r="J26" s="1010">
        <v>8881256.9603638444</v>
      </c>
      <c r="K26" s="1010">
        <f t="shared" si="2"/>
        <v>5403</v>
      </c>
    </row>
    <row r="27" spans="1:11" x14ac:dyDescent="0.2">
      <c r="A27" s="1008" t="s">
        <v>179</v>
      </c>
      <c r="B27" s="1008" t="s">
        <v>261</v>
      </c>
      <c r="C27" s="1009" t="str">
        <f t="shared" si="0"/>
        <v>Bladder_Total (All ages)</v>
      </c>
      <c r="D27" s="1013">
        <v>2821</v>
      </c>
      <c r="E27" s="1014">
        <v>8.1999999999999993</v>
      </c>
      <c r="F27" s="1011">
        <f>VLOOKUP(B27,'App7 - PopSize_Calcs'!$M$3:$P$40,3,FALSE)</f>
        <v>33458051.999999996</v>
      </c>
      <c r="G27" s="1013">
        <v>7471</v>
      </c>
      <c r="H27" s="1014">
        <v>27.4</v>
      </c>
      <c r="I27" s="1011">
        <f>VLOOKUP(B27,'App7 - PopSize_Calcs'!$M$3:$P$40,2,FALSE)</f>
        <v>32583225.666666668</v>
      </c>
      <c r="J27" s="1010">
        <f t="shared" si="1"/>
        <v>66041277.666666664</v>
      </c>
      <c r="K27" s="1010">
        <f t="shared" si="2"/>
        <v>10292</v>
      </c>
    </row>
    <row r="28" spans="1:11" x14ac:dyDescent="0.2">
      <c r="A28" s="1008" t="s">
        <v>8</v>
      </c>
      <c r="B28" s="1009" t="s">
        <v>251</v>
      </c>
      <c r="C28" s="1009" t="str">
        <f t="shared" si="0"/>
        <v>Breast_0 to 04</v>
      </c>
      <c r="D28" s="1011">
        <v>0</v>
      </c>
      <c r="E28" s="1012">
        <v>0</v>
      </c>
      <c r="F28" s="1011">
        <f>VLOOKUP(B28,'App7 - PopSize_Calcs'!$M$3:$P$40,3,FALSE)</f>
        <v>1930786.3333333333</v>
      </c>
      <c r="G28" s="1012">
        <v>0</v>
      </c>
      <c r="H28" s="1009">
        <v>0</v>
      </c>
      <c r="I28" s="1009">
        <v>0</v>
      </c>
      <c r="J28" s="1010">
        <f t="shared" si="1"/>
        <v>1930786.3333333333</v>
      </c>
      <c r="K28" s="1010">
        <f t="shared" si="2"/>
        <v>0</v>
      </c>
    </row>
    <row r="29" spans="1:11" x14ac:dyDescent="0.2">
      <c r="A29" s="1008" t="s">
        <v>8</v>
      </c>
      <c r="B29" s="1009" t="s">
        <v>252</v>
      </c>
      <c r="C29" s="1009" t="str">
        <f t="shared" si="0"/>
        <v>Breast_05 to 09</v>
      </c>
      <c r="D29" s="1011">
        <v>0</v>
      </c>
      <c r="E29" s="1012">
        <v>0</v>
      </c>
      <c r="F29" s="1011">
        <f>VLOOKUP(B29,'App7 - PopSize_Calcs'!$M$3:$P$40,3,FALSE)</f>
        <v>1999676.3333333333</v>
      </c>
      <c r="G29" s="1012">
        <v>0</v>
      </c>
      <c r="H29" s="1009">
        <v>0</v>
      </c>
      <c r="I29" s="1009">
        <v>0</v>
      </c>
      <c r="J29" s="1010">
        <f t="shared" si="1"/>
        <v>1999676.3333333333</v>
      </c>
      <c r="K29" s="1010">
        <f t="shared" si="2"/>
        <v>0</v>
      </c>
    </row>
    <row r="30" spans="1:11" x14ac:dyDescent="0.2">
      <c r="A30" s="1008" t="s">
        <v>8</v>
      </c>
      <c r="B30" s="1009" t="s">
        <v>253</v>
      </c>
      <c r="C30" s="1009" t="str">
        <f t="shared" si="0"/>
        <v>Breast_10 to 14</v>
      </c>
      <c r="D30" s="1011">
        <v>0</v>
      </c>
      <c r="E30" s="1012">
        <v>0</v>
      </c>
      <c r="F30" s="1011">
        <f>VLOOKUP(B30,'App7 - PopSize_Calcs'!$M$3:$P$40,3,FALSE)</f>
        <v>1823411.3333333333</v>
      </c>
      <c r="G30" s="1012">
        <v>0</v>
      </c>
      <c r="H30" s="1009">
        <v>0</v>
      </c>
      <c r="I30" s="1009">
        <v>0</v>
      </c>
      <c r="J30" s="1010">
        <f t="shared" si="1"/>
        <v>1823411.3333333333</v>
      </c>
      <c r="K30" s="1010">
        <f t="shared" si="2"/>
        <v>0</v>
      </c>
    </row>
    <row r="31" spans="1:11" x14ac:dyDescent="0.2">
      <c r="A31" s="1008" t="s">
        <v>8</v>
      </c>
      <c r="B31" s="1009" t="s">
        <v>254</v>
      </c>
      <c r="C31" s="1009" t="str">
        <f t="shared" si="0"/>
        <v>Breast_15 to 19</v>
      </c>
      <c r="D31" s="1011">
        <v>2</v>
      </c>
      <c r="E31" s="1012">
        <v>0.1</v>
      </c>
      <c r="F31" s="1011">
        <f>VLOOKUP(B31,'App7 - PopSize_Calcs'!$M$3:$P$40,3,FALSE)</f>
        <v>1808992</v>
      </c>
      <c r="G31" s="1012">
        <v>0</v>
      </c>
      <c r="H31" s="1009">
        <v>0</v>
      </c>
      <c r="I31" s="1009">
        <v>0</v>
      </c>
      <c r="J31" s="1010">
        <f t="shared" si="1"/>
        <v>1808992</v>
      </c>
      <c r="K31" s="1010">
        <f t="shared" si="2"/>
        <v>2</v>
      </c>
    </row>
    <row r="32" spans="1:11" x14ac:dyDescent="0.2">
      <c r="A32" s="1008" t="s">
        <v>8</v>
      </c>
      <c r="B32" s="1009" t="s">
        <v>255</v>
      </c>
      <c r="C32" s="1009" t="str">
        <f t="shared" si="0"/>
        <v>Breast_20 to 24</v>
      </c>
      <c r="D32" s="1011">
        <v>33</v>
      </c>
      <c r="E32" s="1012">
        <v>1.6</v>
      </c>
      <c r="F32" s="1011">
        <f>VLOOKUP(B32,'App7 - PopSize_Calcs'!$M$3:$P$40,3,FALSE)</f>
        <v>2053200.6666666667</v>
      </c>
      <c r="G32" s="1012">
        <v>0</v>
      </c>
      <c r="H32" s="1009">
        <v>0</v>
      </c>
      <c r="I32" s="1009">
        <v>0</v>
      </c>
      <c r="J32" s="1010">
        <f t="shared" si="1"/>
        <v>2053200.6666666667</v>
      </c>
      <c r="K32" s="1010">
        <f t="shared" si="2"/>
        <v>33</v>
      </c>
    </row>
    <row r="33" spans="1:11" x14ac:dyDescent="0.2">
      <c r="A33" s="1008" t="s">
        <v>8</v>
      </c>
      <c r="B33" s="1009" t="s">
        <v>256</v>
      </c>
      <c r="C33" s="1009" t="str">
        <f t="shared" si="0"/>
        <v>Breast_25 to 29</v>
      </c>
      <c r="D33" s="1011">
        <v>257</v>
      </c>
      <c r="E33" s="1012">
        <v>11.5</v>
      </c>
      <c r="F33" s="1011">
        <f>VLOOKUP(B33,'App7 - PopSize_Calcs'!$M$3:$P$40,3,FALSE)</f>
        <v>2239266</v>
      </c>
      <c r="G33" s="1012">
        <v>0</v>
      </c>
      <c r="H33" s="1009">
        <v>0</v>
      </c>
      <c r="I33" s="1009">
        <v>0</v>
      </c>
      <c r="J33" s="1010">
        <f t="shared" si="1"/>
        <v>2239266</v>
      </c>
      <c r="K33" s="1010">
        <f t="shared" si="2"/>
        <v>257</v>
      </c>
    </row>
    <row r="34" spans="1:11" x14ac:dyDescent="0.2">
      <c r="A34" s="1008" t="s">
        <v>8</v>
      </c>
      <c r="B34" s="1009" t="s">
        <v>257</v>
      </c>
      <c r="C34" s="1009" t="str">
        <f t="shared" si="0"/>
        <v>Breast_30 to 34</v>
      </c>
      <c r="D34" s="1011">
        <v>693</v>
      </c>
      <c r="E34" s="1012">
        <v>31.2</v>
      </c>
      <c r="F34" s="1011">
        <f>VLOOKUP(B34,'App7 - PopSize_Calcs'!$M$3:$P$40,3,FALSE)</f>
        <v>2222400.3333333335</v>
      </c>
      <c r="G34" s="1012">
        <v>0</v>
      </c>
      <c r="H34" s="1009">
        <v>0</v>
      </c>
      <c r="I34" s="1009">
        <v>0</v>
      </c>
      <c r="J34" s="1010">
        <f t="shared" si="1"/>
        <v>2222400.3333333335</v>
      </c>
      <c r="K34" s="1010">
        <f t="shared" si="2"/>
        <v>693</v>
      </c>
    </row>
    <row r="35" spans="1:11" x14ac:dyDescent="0.2">
      <c r="A35" s="1008" t="s">
        <v>8</v>
      </c>
      <c r="B35" s="1009" t="s">
        <v>258</v>
      </c>
      <c r="C35" s="1009" t="str">
        <f t="shared" si="0"/>
        <v>Breast_35 to 39</v>
      </c>
      <c r="D35" s="1011">
        <v>1418</v>
      </c>
      <c r="E35" s="1012">
        <v>65.8</v>
      </c>
      <c r="F35" s="1011">
        <f>VLOOKUP(B35,'App7 - PopSize_Calcs'!$M$3:$P$40,3,FALSE)</f>
        <v>2153444.6666666665</v>
      </c>
      <c r="G35" s="1012">
        <v>0</v>
      </c>
      <c r="H35" s="1009">
        <v>0</v>
      </c>
      <c r="I35" s="1009">
        <v>0</v>
      </c>
      <c r="J35" s="1010">
        <f t="shared" si="1"/>
        <v>2153444.6666666665</v>
      </c>
      <c r="K35" s="1010">
        <f t="shared" si="2"/>
        <v>1418</v>
      </c>
    </row>
    <row r="36" spans="1:11" x14ac:dyDescent="0.2">
      <c r="A36" s="1008" t="s">
        <v>8</v>
      </c>
      <c r="B36" s="1009" t="s">
        <v>192</v>
      </c>
      <c r="C36" s="1009" t="str">
        <f t="shared" si="0"/>
        <v>Breast_40 to 44</v>
      </c>
      <c r="D36" s="1011">
        <v>2559</v>
      </c>
      <c r="E36" s="1012">
        <v>124.6</v>
      </c>
      <c r="F36" s="1011">
        <f>VLOOKUP(B36,'App7 - PopSize_Calcs'!$M$3:$P$40,3,FALSE)</f>
        <v>2054223.3333333333</v>
      </c>
      <c r="G36" s="1012">
        <v>0</v>
      </c>
      <c r="H36" s="1009">
        <v>0</v>
      </c>
      <c r="I36" s="1009">
        <v>0</v>
      </c>
      <c r="J36" s="1010">
        <f t="shared" si="1"/>
        <v>2054223.3333333333</v>
      </c>
      <c r="K36" s="1010">
        <f t="shared" si="2"/>
        <v>2559</v>
      </c>
    </row>
    <row r="37" spans="1:11" x14ac:dyDescent="0.2">
      <c r="A37" s="1008" t="s">
        <v>8</v>
      </c>
      <c r="B37" s="1009" t="s">
        <v>193</v>
      </c>
      <c r="C37" s="1009" t="str">
        <f t="shared" si="0"/>
        <v>Breast_45 to 49</v>
      </c>
      <c r="D37" s="1011">
        <v>4974</v>
      </c>
      <c r="E37" s="1012">
        <v>214.8</v>
      </c>
      <c r="F37" s="1011">
        <f>VLOOKUP(B37,'App7 - PopSize_Calcs'!$M$3:$P$40,3,FALSE)</f>
        <v>2315479.3333333335</v>
      </c>
      <c r="G37" s="1012">
        <v>0</v>
      </c>
      <c r="H37" s="1009">
        <v>0</v>
      </c>
      <c r="I37" s="1009">
        <v>0</v>
      </c>
      <c r="J37" s="1010">
        <f t="shared" si="1"/>
        <v>2315479.3333333335</v>
      </c>
      <c r="K37" s="1010">
        <f t="shared" si="2"/>
        <v>4974</v>
      </c>
    </row>
    <row r="38" spans="1:11" x14ac:dyDescent="0.2">
      <c r="A38" s="1008" t="s">
        <v>8</v>
      </c>
      <c r="B38" s="1009" t="s">
        <v>229</v>
      </c>
      <c r="C38" s="1009" t="str">
        <f t="shared" si="0"/>
        <v>Breast_40 to 49</v>
      </c>
      <c r="D38" s="1011">
        <f>SUM(D36:D37)</f>
        <v>7533</v>
      </c>
      <c r="E38" s="1012">
        <v>172.40296040749985</v>
      </c>
      <c r="F38" s="1011">
        <f>SUM(F36:F37)</f>
        <v>4369702.666666667</v>
      </c>
      <c r="G38" s="1012">
        <v>0</v>
      </c>
      <c r="H38" s="1009">
        <v>0</v>
      </c>
      <c r="I38" s="1009">
        <v>0</v>
      </c>
      <c r="J38" s="1010">
        <f t="shared" si="1"/>
        <v>4369702.666666667</v>
      </c>
      <c r="K38" s="1010">
        <f t="shared" si="2"/>
        <v>7533</v>
      </c>
    </row>
    <row r="39" spans="1:11" x14ac:dyDescent="0.2">
      <c r="A39" s="1008" t="s">
        <v>8</v>
      </c>
      <c r="B39" s="1009">
        <v>48</v>
      </c>
      <c r="C39" s="1009" t="str">
        <f t="shared" si="0"/>
        <v>Breast_48</v>
      </c>
      <c r="D39" s="1011">
        <f>E39*F39/100000</f>
        <v>1062.0339733333333</v>
      </c>
      <c r="E39" s="1012">
        <f>'App8a - 2YR_Breast_48_49'!$D$14</f>
        <v>227.8</v>
      </c>
      <c r="F39" s="1011">
        <f>VLOOKUP(B39,'App7 - PopSize_Calcs'!$M$3:$P$40,3,FALSE)</f>
        <v>466213.33333333331</v>
      </c>
      <c r="G39" s="1012">
        <v>0</v>
      </c>
      <c r="H39" s="1009">
        <v>0</v>
      </c>
      <c r="I39" s="1009">
        <v>0</v>
      </c>
      <c r="J39" s="1010">
        <f t="shared" si="1"/>
        <v>466213.33333333331</v>
      </c>
      <c r="K39" s="1010">
        <f t="shared" si="2"/>
        <v>1062.0339733333333</v>
      </c>
    </row>
    <row r="40" spans="1:11" x14ac:dyDescent="0.2">
      <c r="A40" s="1008" t="s">
        <v>8</v>
      </c>
      <c r="B40" s="1009">
        <v>49</v>
      </c>
      <c r="C40" s="1009" t="str">
        <f t="shared" si="0"/>
        <v>Breast_49</v>
      </c>
      <c r="D40" s="1011">
        <f>E40*F40/100000</f>
        <v>1135.701896</v>
      </c>
      <c r="E40" s="1012">
        <f>'App8a - 2YR_Breast_48_49'!$D$15</f>
        <v>240.8</v>
      </c>
      <c r="F40" s="1011">
        <f>VLOOKUP(B40,'App7 - PopSize_Calcs'!$M$3:$P$40,3,FALSE)</f>
        <v>471637</v>
      </c>
      <c r="G40" s="1012">
        <v>0</v>
      </c>
      <c r="H40" s="1009">
        <v>0</v>
      </c>
      <c r="I40" s="1009">
        <v>0</v>
      </c>
      <c r="J40" s="1010">
        <f t="shared" si="1"/>
        <v>471637</v>
      </c>
      <c r="K40" s="1010">
        <f t="shared" si="2"/>
        <v>1135.701896</v>
      </c>
    </row>
    <row r="41" spans="1:11" x14ac:dyDescent="0.2">
      <c r="A41" s="1008" t="s">
        <v>8</v>
      </c>
      <c r="B41" s="1009" t="s">
        <v>298</v>
      </c>
      <c r="C41" s="1009" t="str">
        <f t="shared" si="0"/>
        <v>Breast_48 to 49</v>
      </c>
      <c r="D41" s="1011">
        <f>SUM(D39:D40)</f>
        <v>2197.7358693333335</v>
      </c>
      <c r="E41" s="1012">
        <f>D41/F41*100000</f>
        <v>234.33759004190796</v>
      </c>
      <c r="F41" s="1011">
        <f>VLOOKUP(B41,'App7 - PopSize_Calcs'!$M$3:$P$40,3,FALSE)</f>
        <v>937850.33333333326</v>
      </c>
      <c r="G41" s="1012">
        <v>0</v>
      </c>
      <c r="H41" s="1009">
        <v>0</v>
      </c>
      <c r="I41" s="1009">
        <v>0</v>
      </c>
      <c r="J41" s="1010">
        <f t="shared" si="1"/>
        <v>937850.33333333326</v>
      </c>
      <c r="K41" s="1010">
        <f t="shared" si="2"/>
        <v>2197.7358693333335</v>
      </c>
    </row>
    <row r="42" spans="1:11" x14ac:dyDescent="0.2">
      <c r="A42" s="1008" t="s">
        <v>8</v>
      </c>
      <c r="B42" s="1009" t="s">
        <v>194</v>
      </c>
      <c r="C42" s="1009" t="str">
        <f t="shared" si="0"/>
        <v>Breast_50 to 54</v>
      </c>
      <c r="D42" s="1011">
        <v>6616</v>
      </c>
      <c r="E42" s="1012">
        <v>279.8</v>
      </c>
      <c r="F42" s="1011">
        <f>VLOOKUP(B42,'App7 - PopSize_Calcs'!$M$3:$P$40,3,FALSE)</f>
        <v>2364638</v>
      </c>
      <c r="G42" s="1012">
        <v>0</v>
      </c>
      <c r="H42" s="1009">
        <v>0</v>
      </c>
      <c r="I42" s="1009">
        <v>0</v>
      </c>
      <c r="J42" s="1010">
        <f t="shared" si="1"/>
        <v>2364638</v>
      </c>
      <c r="K42" s="1010">
        <f t="shared" si="2"/>
        <v>6616</v>
      </c>
    </row>
    <row r="43" spans="1:11" x14ac:dyDescent="0.2">
      <c r="A43" s="1008" t="s">
        <v>8</v>
      </c>
      <c r="B43" s="1009" t="s">
        <v>195</v>
      </c>
      <c r="C43" s="1009" t="str">
        <f t="shared" si="0"/>
        <v>Breast_55 to 59</v>
      </c>
      <c r="D43" s="1011">
        <v>6052</v>
      </c>
      <c r="E43" s="1012">
        <v>285.5</v>
      </c>
      <c r="F43" s="1011">
        <f>VLOOKUP(B43,'App7 - PopSize_Calcs'!$M$3:$P$40,3,FALSE)</f>
        <v>2119687.3333333335</v>
      </c>
      <c r="G43" s="1012">
        <v>0</v>
      </c>
      <c r="H43" s="1009">
        <v>0</v>
      </c>
      <c r="I43" s="1009">
        <v>0</v>
      </c>
      <c r="J43" s="1010">
        <f t="shared" si="1"/>
        <v>2119687.3333333335</v>
      </c>
      <c r="K43" s="1010">
        <f t="shared" si="2"/>
        <v>6052</v>
      </c>
    </row>
    <row r="44" spans="1:11" x14ac:dyDescent="0.2">
      <c r="A44" s="1008" t="s">
        <v>8</v>
      </c>
      <c r="B44" s="1009" t="s">
        <v>230</v>
      </c>
      <c r="C44" s="1009" t="str">
        <f t="shared" si="0"/>
        <v>Breast_50 to 59</v>
      </c>
      <c r="D44" s="1011">
        <f>SUM(D42:D43)</f>
        <v>12668</v>
      </c>
      <c r="E44" s="1012">
        <v>282.49444623352861</v>
      </c>
      <c r="F44" s="1011">
        <f>SUM(F42:F43)</f>
        <v>4484325.333333334</v>
      </c>
      <c r="G44" s="1012">
        <v>0</v>
      </c>
      <c r="H44" s="1009">
        <v>0</v>
      </c>
      <c r="I44" s="1009">
        <v>0</v>
      </c>
      <c r="J44" s="1010">
        <f t="shared" ref="J44" si="5">SUM(F44,I44)</f>
        <v>4484325.333333334</v>
      </c>
      <c r="K44" s="1010">
        <f t="shared" si="2"/>
        <v>12668</v>
      </c>
    </row>
    <row r="45" spans="1:11" x14ac:dyDescent="0.2">
      <c r="A45" s="1008" t="s">
        <v>8</v>
      </c>
      <c r="B45" s="1009" t="s">
        <v>196</v>
      </c>
      <c r="C45" s="1009" t="str">
        <f t="shared" si="0"/>
        <v>Breast_60 to 64</v>
      </c>
      <c r="D45" s="1011">
        <v>6209</v>
      </c>
      <c r="E45" s="1012">
        <f>(D45/F45)*100000</f>
        <v>337.96472190440318</v>
      </c>
      <c r="F45" s="1011">
        <f>VLOOKUP(B45,'App7 - PopSize_Calcs'!$M$3:$P$40,3,FALSE)</f>
        <v>1837174</v>
      </c>
      <c r="G45" s="1012">
        <v>0</v>
      </c>
      <c r="H45" s="1009">
        <v>0</v>
      </c>
      <c r="I45" s="1009">
        <v>0</v>
      </c>
      <c r="J45" s="1010">
        <f t="shared" si="1"/>
        <v>1837174</v>
      </c>
      <c r="K45" s="1010">
        <f t="shared" si="2"/>
        <v>6209</v>
      </c>
    </row>
    <row r="46" spans="1:11" x14ac:dyDescent="0.2">
      <c r="A46" s="1008" t="s">
        <v>8</v>
      </c>
      <c r="B46" s="1009" t="s">
        <v>197</v>
      </c>
      <c r="C46" s="1009" t="str">
        <f t="shared" si="0"/>
        <v>Breast_65 to 69</v>
      </c>
      <c r="D46" s="1011">
        <v>7443</v>
      </c>
      <c r="E46" s="1012">
        <v>412.3</v>
      </c>
      <c r="F46" s="1011">
        <f>VLOOKUP(B46,'App7 - PopSize_Calcs'!$M$3:$P$40,3,FALSE)</f>
        <v>1805190</v>
      </c>
      <c r="G46" s="1012">
        <v>0</v>
      </c>
      <c r="H46" s="1009">
        <v>0</v>
      </c>
      <c r="I46" s="1009">
        <v>0</v>
      </c>
      <c r="J46" s="1010">
        <f t="shared" si="1"/>
        <v>1805190</v>
      </c>
      <c r="K46" s="1010">
        <f t="shared" si="2"/>
        <v>7443</v>
      </c>
    </row>
    <row r="47" spans="1:11" x14ac:dyDescent="0.2">
      <c r="A47" s="1008" t="s">
        <v>8</v>
      </c>
      <c r="B47" s="1009" t="s">
        <v>239</v>
      </c>
      <c r="C47" s="1009" t="str">
        <f t="shared" si="0"/>
        <v>Breast_60 to 69</v>
      </c>
      <c r="D47" s="1011">
        <f>SUM(D45:D46)</f>
        <v>13652</v>
      </c>
      <c r="E47" s="1012">
        <f>(D47/F47)*100000</f>
        <v>374.81152350506426</v>
      </c>
      <c r="F47" s="1011">
        <f>SUM(F45:F46)</f>
        <v>3642364</v>
      </c>
      <c r="G47" s="1012">
        <v>0</v>
      </c>
      <c r="H47" s="1009">
        <v>0</v>
      </c>
      <c r="I47" s="1009">
        <v>0</v>
      </c>
      <c r="J47" s="1010">
        <f t="shared" si="1"/>
        <v>3642364</v>
      </c>
      <c r="K47" s="1010">
        <f t="shared" si="2"/>
        <v>13652</v>
      </c>
    </row>
    <row r="48" spans="1:11" x14ac:dyDescent="0.2">
      <c r="A48" s="1008" t="s">
        <v>8</v>
      </c>
      <c r="B48" s="1009" t="s">
        <v>198</v>
      </c>
      <c r="C48" s="1009" t="str">
        <f t="shared" si="0"/>
        <v>Breast_70 to 74</v>
      </c>
      <c r="D48" s="1011">
        <v>5977</v>
      </c>
      <c r="E48" s="1012">
        <v>372.7</v>
      </c>
      <c r="F48" s="1011">
        <f>VLOOKUP(B48,'App7 - PopSize_Calcs'!$M$3:$P$40,3,FALSE)</f>
        <v>1603609.6666666667</v>
      </c>
      <c r="G48" s="1012">
        <v>0</v>
      </c>
      <c r="H48" s="1009">
        <v>0</v>
      </c>
      <c r="I48" s="1009">
        <v>0</v>
      </c>
      <c r="J48" s="1010">
        <f t="shared" si="1"/>
        <v>1603609.6666666667</v>
      </c>
      <c r="K48" s="1010">
        <f t="shared" si="2"/>
        <v>5977</v>
      </c>
    </row>
    <row r="49" spans="1:11" x14ac:dyDescent="0.2">
      <c r="A49" s="1008" t="s">
        <v>8</v>
      </c>
      <c r="B49" s="1009" t="s">
        <v>199</v>
      </c>
      <c r="C49" s="1009" t="str">
        <f t="shared" si="0"/>
        <v>Breast_75 to 79</v>
      </c>
      <c r="D49" s="1011">
        <v>4762</v>
      </c>
      <c r="E49" s="1012">
        <v>403</v>
      </c>
      <c r="F49" s="1011">
        <f>VLOOKUP(B49,'App7 - PopSize_Calcs'!$M$3:$P$40,3,FALSE)</f>
        <v>1181645.3333333333</v>
      </c>
      <c r="G49" s="1012">
        <v>0</v>
      </c>
      <c r="H49" s="1009">
        <v>0</v>
      </c>
      <c r="I49" s="1009">
        <v>0</v>
      </c>
      <c r="J49" s="1010">
        <f t="shared" si="1"/>
        <v>1181645.3333333333</v>
      </c>
      <c r="K49" s="1010">
        <f t="shared" si="2"/>
        <v>4762</v>
      </c>
    </row>
    <row r="50" spans="1:11" x14ac:dyDescent="0.2">
      <c r="A50" s="1008" t="s">
        <v>8</v>
      </c>
      <c r="B50" s="1009" t="s">
        <v>259</v>
      </c>
      <c r="C50" s="1009" t="str">
        <f t="shared" si="0"/>
        <v>Breast_80 to 84</v>
      </c>
      <c r="D50" s="1011">
        <v>3987</v>
      </c>
      <c r="E50" s="1012">
        <v>430.4</v>
      </c>
      <c r="F50" s="1011">
        <f>VLOOKUP(B50,'App7 - PopSize_Calcs'!$M$3:$P$40,3,FALSE)</f>
        <v>926371.33333333337</v>
      </c>
      <c r="G50" s="1012">
        <v>0</v>
      </c>
      <c r="H50" s="1009">
        <v>0</v>
      </c>
      <c r="I50" s="1009">
        <v>0</v>
      </c>
      <c r="J50" s="1010">
        <f t="shared" si="1"/>
        <v>926371.33333333337</v>
      </c>
      <c r="K50" s="1010">
        <f t="shared" si="2"/>
        <v>3987</v>
      </c>
    </row>
    <row r="51" spans="1:11" x14ac:dyDescent="0.2">
      <c r="A51" s="1008" t="s">
        <v>8</v>
      </c>
      <c r="B51" s="1009" t="s">
        <v>260</v>
      </c>
      <c r="C51" s="1009" t="str">
        <f t="shared" si="0"/>
        <v>Breast_85 to 89</v>
      </c>
      <c r="D51" s="1011">
        <v>2769</v>
      </c>
      <c r="E51" s="1012">
        <v>447.7</v>
      </c>
      <c r="F51" s="1011">
        <f>VLOOKUP(B51,'App7 - PopSize_Calcs'!$M$3:$P$40,3,FALSE)</f>
        <v>618392.33333333337</v>
      </c>
      <c r="G51" s="1012">
        <v>0</v>
      </c>
      <c r="H51" s="1009">
        <v>0</v>
      </c>
      <c r="I51" s="1009">
        <v>0</v>
      </c>
      <c r="J51" s="1010">
        <f t="shared" si="1"/>
        <v>618392.33333333337</v>
      </c>
      <c r="K51" s="1010">
        <f t="shared" si="2"/>
        <v>2769</v>
      </c>
    </row>
    <row r="52" spans="1:11" x14ac:dyDescent="0.2">
      <c r="A52" s="1008" t="s">
        <v>8</v>
      </c>
      <c r="B52" s="1009">
        <v>90</v>
      </c>
      <c r="C52" s="1009" t="str">
        <f t="shared" si="0"/>
        <v>Breast_90</v>
      </c>
      <c r="D52" s="1011">
        <v>1796</v>
      </c>
      <c r="E52" s="1012">
        <v>448.4</v>
      </c>
      <c r="F52" s="1011">
        <f>VLOOKUP(B52,'App7 - PopSize_Calcs'!$M$3:$P$40,3,FALSE)</f>
        <v>400463.66666666669</v>
      </c>
      <c r="G52" s="1012">
        <v>0</v>
      </c>
      <c r="H52" s="1009">
        <v>0</v>
      </c>
      <c r="I52" s="1009">
        <v>0</v>
      </c>
      <c r="J52" s="1010">
        <f t="shared" si="1"/>
        <v>400463.66666666669</v>
      </c>
      <c r="K52" s="1010">
        <f t="shared" si="2"/>
        <v>1796</v>
      </c>
    </row>
    <row r="53" spans="1:11" x14ac:dyDescent="0.2">
      <c r="A53" s="1008" t="s">
        <v>8</v>
      </c>
      <c r="B53" s="1009" t="s">
        <v>204</v>
      </c>
      <c r="C53" s="1009" t="str">
        <f t="shared" si="0"/>
        <v>Breast_Total 40-79</v>
      </c>
      <c r="D53" s="1011">
        <f>VLOOKUP("breast_40 to 44",C:H,2,FALSE)+VLOOKUP("breast_45 to 49",C:H,2,FALSE)+VLOOKUP("breast_50 to 54",C:H,2,FALSE)+VLOOKUP("breast_55 to 59",C:H,2,FALSE)+VLOOKUP("breast_60 to 64",C:H,2,FALSE)+VLOOKUP("breast_65 to 69",C:H,2,FALSE)+VLOOKUP("breast_70 to 74",C:H,2,FALSE)+VLOOKUP("breast_75 to 79",C:H,2,FALSE)</f>
        <v>44592</v>
      </c>
      <c r="E53" s="1012">
        <f>(D53/F53)*100000</f>
        <v>291.80100809814547</v>
      </c>
      <c r="F53" s="1011">
        <f>VLOOKUP(B53,'App7 - PopSize_Calcs'!$M$3:$P$40,3,FALSE)</f>
        <v>15281647</v>
      </c>
      <c r="G53" s="1012">
        <f>VLOOKUP("breast_40 to 44",C:H,5,FALSE)+VLOOKUP("breast_45 to 49",C:H,5,FALSE)+VLOOKUP("breast_50 to 54",C:H,5,FALSE)+VLOOKUP("breast_55 to 59",C:H,5,FALSE)+VLOOKUP("breast_60 to 64",C:H,5,FALSE)+VLOOKUP("breast_65 to 69",C:H,5,FALSE)+VLOOKUP("breast_70 to 74",C:H,5,FALSE)+VLOOKUP("breast_75 to 79",C:H,5,FALSE)</f>
        <v>0</v>
      </c>
      <c r="H53" s="1012">
        <v>0</v>
      </c>
      <c r="I53" s="1009">
        <v>0</v>
      </c>
      <c r="J53" s="1010">
        <f t="shared" si="1"/>
        <v>15281647</v>
      </c>
      <c r="K53" s="1010">
        <f t="shared" si="2"/>
        <v>44592</v>
      </c>
    </row>
    <row r="54" spans="1:11" x14ac:dyDescent="0.2">
      <c r="A54" s="1008" t="s">
        <v>8</v>
      </c>
      <c r="B54" s="1008" t="s">
        <v>200</v>
      </c>
      <c r="C54" s="1009" t="str">
        <f t="shared" si="0"/>
        <v>Breast_Total 40-69</v>
      </c>
      <c r="D54" s="1011">
        <f>VLOOKUP("breast_40 to 44",C:H,2,FALSE)+VLOOKUP("breast_45 to 49",C:H,2,FALSE)+VLOOKUP("breast_50 to 54",C:H,2,FALSE)+VLOOKUP("breast_55 to 59",C:H,2,FALSE)+VLOOKUP("breast_60 to 64",C:H,2,FALSE)+VLOOKUP("breast_65 to 69",C:H,2,FALSE)</f>
        <v>33853</v>
      </c>
      <c r="E54" s="1012">
        <f>(D54/F54)*100000</f>
        <v>270.90219320904782</v>
      </c>
      <c r="F54" s="1011">
        <f>VLOOKUP(B54,'App7 - PopSize_Calcs'!$M$3:$P$40,3,FALSE)</f>
        <v>12496392</v>
      </c>
      <c r="G54" s="1012">
        <f>VLOOKUP("breast_40 to 44",C:H,5,FALSE)+VLOOKUP("breast_45 to 49",C:H,5,FALSE)+VLOOKUP("breast_50 to 54",C:H,5,FALSE)+VLOOKUP("breast_55 to 59",C:H,5,FALSE)+VLOOKUP("breast_60 to 64",C:H,5,FALSE)+VLOOKUP("breast_65 to 69",C:H,5,FALSE)</f>
        <v>0</v>
      </c>
      <c r="H54" s="1015">
        <v>0</v>
      </c>
      <c r="I54" s="1009">
        <v>0</v>
      </c>
      <c r="J54" s="1010">
        <f t="shared" si="1"/>
        <v>12496392</v>
      </c>
      <c r="K54" s="1010">
        <f t="shared" si="2"/>
        <v>33853</v>
      </c>
    </row>
    <row r="55" spans="1:11" x14ac:dyDescent="0.2">
      <c r="A55" s="1008" t="s">
        <v>8</v>
      </c>
      <c r="B55" s="1008" t="s">
        <v>201</v>
      </c>
      <c r="C55" s="1009" t="str">
        <f t="shared" si="0"/>
        <v>Breast_Total 40-49</v>
      </c>
      <c r="D55" s="1011">
        <f>VLOOKUP("breast_40 to 44",C:H,2,FALSE)+VLOOKUP("breast_45 to 49",C:H,2,FALSE)</f>
        <v>7533</v>
      </c>
      <c r="E55" s="1012">
        <f t="shared" ref="E55:E60" si="6">(D55/F55)*100000</f>
        <v>172.39159216630148</v>
      </c>
      <c r="F55" s="1011">
        <f>VLOOKUP(B55,'App7 - PopSize_Calcs'!$M$3:$P$40,3,FALSE)</f>
        <v>4369702.666666667</v>
      </c>
      <c r="G55" s="1012">
        <f>VLOOKUP("breast_40 to 44",C:H,5,FALSE)+VLOOKUP("breast_45 to 49",C:H,5,FALSE)</f>
        <v>0</v>
      </c>
      <c r="H55" s="1015">
        <v>0</v>
      </c>
      <c r="I55" s="1009">
        <v>0</v>
      </c>
      <c r="J55" s="1010">
        <f t="shared" si="1"/>
        <v>4369702.666666667</v>
      </c>
      <c r="K55" s="1010">
        <f t="shared" si="2"/>
        <v>7533</v>
      </c>
    </row>
    <row r="56" spans="1:11" x14ac:dyDescent="0.2">
      <c r="A56" s="1008" t="s">
        <v>8</v>
      </c>
      <c r="B56" s="1008" t="s">
        <v>202</v>
      </c>
      <c r="C56" s="1009" t="str">
        <f t="shared" si="0"/>
        <v>Breast_Total 50-59</v>
      </c>
      <c r="D56" s="1011">
        <f>VLOOKUP("breast_50 to 54",C:H,2,FALSE)+VLOOKUP("breast_55 to 59",C:H,2,FALSE)</f>
        <v>12668</v>
      </c>
      <c r="E56" s="1012">
        <f t="shared" si="6"/>
        <v>282.4951148355575</v>
      </c>
      <c r="F56" s="1011">
        <f>VLOOKUP(B56,'App7 - PopSize_Calcs'!$M$3:$P$40,3,FALSE)</f>
        <v>4484325.333333334</v>
      </c>
      <c r="G56" s="1012">
        <f>VLOOKUP("breast_50 to 54",C:H,5,FALSE)+VLOOKUP("breast_55 to 59",C:H,5,FALSE)</f>
        <v>0</v>
      </c>
      <c r="H56" s="1015">
        <v>0</v>
      </c>
      <c r="I56" s="1009">
        <v>0</v>
      </c>
      <c r="J56" s="1010">
        <f t="shared" si="1"/>
        <v>4484325.333333334</v>
      </c>
      <c r="K56" s="1010">
        <f t="shared" si="2"/>
        <v>12668</v>
      </c>
    </row>
    <row r="57" spans="1:11" x14ac:dyDescent="0.2">
      <c r="A57" s="1008" t="s">
        <v>8</v>
      </c>
      <c r="B57" s="1008" t="s">
        <v>272</v>
      </c>
      <c r="C57" s="1009" t="str">
        <f t="shared" si="0"/>
        <v>Breast_Total 60-69</v>
      </c>
      <c r="D57" s="1011">
        <f>VLOOKUP("breast_60 to 64",C:H,2,FALSE)+VLOOKUP("breast_65 to 69",C:H,2,FALSE)</f>
        <v>13652</v>
      </c>
      <c r="E57" s="1012">
        <f t="shared" si="6"/>
        <v>374.81152350506426</v>
      </c>
      <c r="F57" s="1011">
        <f>VLOOKUP(B57,'App7 - PopSize_Calcs'!$M$3:$P$40,3,FALSE)</f>
        <v>3642364</v>
      </c>
      <c r="G57" s="1012">
        <f>VLOOKUP("breast_60 to 64",C:H,5,FALSE)+VLOOKUP("breast_65 to 69",C:H,5,FALSE)</f>
        <v>0</v>
      </c>
      <c r="H57" s="1015">
        <v>0</v>
      </c>
      <c r="I57" s="1009">
        <v>0</v>
      </c>
      <c r="J57" s="1010">
        <f>SUM(F57,I57)</f>
        <v>3642364</v>
      </c>
      <c r="K57" s="1010">
        <f t="shared" si="2"/>
        <v>13652</v>
      </c>
    </row>
    <row r="58" spans="1:11" x14ac:dyDescent="0.2">
      <c r="A58" s="1008" t="s">
        <v>8</v>
      </c>
      <c r="B58" s="1008" t="s">
        <v>203</v>
      </c>
      <c r="C58" s="1009" t="str">
        <f t="shared" si="0"/>
        <v>Breast_Total 50-69</v>
      </c>
      <c r="D58" s="1011">
        <f>VLOOKUP("breast_50 to 54",C:H,2,FALSE)+VLOOKUP("breast_55 to 59",C:H,2,FALSE)+VLOOKUP("breast_60 to 64",C:H,2,FALSE)+VLOOKUP("breast_65 to 69",C:H,2,FALSE)</f>
        <v>26320</v>
      </c>
      <c r="E58" s="1012">
        <f t="shared" si="6"/>
        <v>323.87112291893521</v>
      </c>
      <c r="F58" s="1011">
        <f>VLOOKUP(B58,'App7 - PopSize_Calcs'!$M$3:$P$40,3,FALSE)</f>
        <v>8126689.333333334</v>
      </c>
      <c r="G58" s="1012">
        <f>VLOOKUP("breast_50 to 54",C:H,5,FALSE)+VLOOKUP("breast_55 to 59",C:H,5,FALSE)+VLOOKUP("breast_60 to 64",C:H,5,FALSE)+VLOOKUP("breast_65 to 69",C:H,5,FALSE)</f>
        <v>0</v>
      </c>
      <c r="H58" s="1015">
        <v>0</v>
      </c>
      <c r="I58" s="1009">
        <v>0</v>
      </c>
      <c r="J58" s="1010">
        <f t="shared" si="1"/>
        <v>8126689.333333334</v>
      </c>
      <c r="K58" s="1010">
        <f t="shared" si="2"/>
        <v>26320</v>
      </c>
    </row>
    <row r="59" spans="1:11" x14ac:dyDescent="0.2">
      <c r="A59" s="1008" t="s">
        <v>8</v>
      </c>
      <c r="B59" s="1008" t="s">
        <v>292</v>
      </c>
      <c r="C59" s="1009" t="str">
        <f t="shared" si="0"/>
        <v>Breast_Total 60-74</v>
      </c>
      <c r="D59" s="1011">
        <f>VLOOKUP("breast_60 to 64",C:H,2,FALSE)+VLOOKUP("breast_65 to 69",C:H,2,FALSE)+VLOOKUP("breast_70 to 74",C:H,2,FALSE)</f>
        <v>19629</v>
      </c>
      <c r="E59" s="1012">
        <f t="shared" si="6"/>
        <v>374.17267503121917</v>
      </c>
      <c r="F59" s="1011">
        <f>VLOOKUP(B59,'App7 - PopSize_Calcs'!$M$3:$P$40,3,FALSE)</f>
        <v>5245973.666666667</v>
      </c>
      <c r="G59" s="1011">
        <f>VLOOKUP("breast_60 to 64",C:K,5,FALSE)+VLOOKUP("breast_65 to 69",C:K,5,FALSE)+VLOOKUP("breast_70 to 74",C:K,5,FALSE)</f>
        <v>0</v>
      </c>
      <c r="H59" s="1015">
        <f>IFERROR((VLOOKUP("breast_60 to 64",C:J,5,FALSE)+VLOOKUP("breast_65 to 69",C:J,5,FALSE)+VLOOKUP("breast_70 to 74",C:J,5,FALSE))/(VLOOKUP("breast_60 to 64",C:J,7,FALSE)+VLOOKUP("breast_65 to 69",C:J,7,FALSE)+VLOOKUP("breast_70 to 74",C:J,7,FALSE))*100000,0)</f>
        <v>0</v>
      </c>
      <c r="I59" s="1009">
        <v>0</v>
      </c>
      <c r="J59" s="1010">
        <f t="shared" si="1"/>
        <v>5245973.666666667</v>
      </c>
      <c r="K59" s="1010">
        <f t="shared" si="2"/>
        <v>19629</v>
      </c>
    </row>
    <row r="60" spans="1:11" x14ac:dyDescent="0.2">
      <c r="A60" s="1008" t="s">
        <v>8</v>
      </c>
      <c r="B60" s="1008" t="s">
        <v>261</v>
      </c>
      <c r="C60" s="1009" t="str">
        <f t="shared" si="0"/>
        <v>Breast_Total (All ages)</v>
      </c>
      <c r="D60" s="1011">
        <v>55545</v>
      </c>
      <c r="E60" s="1012">
        <f t="shared" si="6"/>
        <v>166.0138492223038</v>
      </c>
      <c r="F60" s="1011">
        <f>VLOOKUP(B60,'App7 - PopSize_Calcs'!$M$3:$P$40,3,FALSE)</f>
        <v>33458051.999999996</v>
      </c>
      <c r="G60" s="1012">
        <v>0</v>
      </c>
      <c r="H60" s="1015">
        <v>0</v>
      </c>
      <c r="I60" s="1009">
        <v>0</v>
      </c>
      <c r="J60" s="1010">
        <f t="shared" si="1"/>
        <v>33458051.999999996</v>
      </c>
      <c r="K60" s="1010">
        <f t="shared" si="2"/>
        <v>55545</v>
      </c>
    </row>
    <row r="61" spans="1:11" x14ac:dyDescent="0.2">
      <c r="A61" s="1008" t="s">
        <v>15</v>
      </c>
      <c r="B61" s="1008" t="s">
        <v>251</v>
      </c>
      <c r="C61" s="1009" t="str">
        <f t="shared" si="0"/>
        <v>CLL_0 to 04</v>
      </c>
      <c r="D61" s="1008">
        <v>1</v>
      </c>
      <c r="E61" s="1008">
        <v>0.1</v>
      </c>
      <c r="F61" s="1011">
        <f>VLOOKUP(B61,'App7 - PopSize_Calcs'!$M$3:$P$40,3,FALSE)</f>
        <v>1930786.3333333333</v>
      </c>
      <c r="G61" s="1008">
        <v>1</v>
      </c>
      <c r="H61" s="1008">
        <v>0</v>
      </c>
      <c r="I61" s="1011">
        <f>VLOOKUP(B61,'App7 - PopSize_Calcs'!$M$3:$P$40,2,FALSE)</f>
        <v>2032241.3333333333</v>
      </c>
      <c r="J61" s="1010">
        <f t="shared" si="1"/>
        <v>3963027.6666666665</v>
      </c>
      <c r="K61" s="1010">
        <f t="shared" si="2"/>
        <v>2</v>
      </c>
    </row>
    <row r="62" spans="1:11" x14ac:dyDescent="0.2">
      <c r="A62" s="1008" t="s">
        <v>15</v>
      </c>
      <c r="B62" s="1008" t="s">
        <v>252</v>
      </c>
      <c r="C62" s="1009" t="str">
        <f t="shared" si="0"/>
        <v>CLL_05 to 09</v>
      </c>
      <c r="D62" s="1008">
        <v>1</v>
      </c>
      <c r="E62" s="1008">
        <v>0</v>
      </c>
      <c r="F62" s="1011">
        <f>VLOOKUP(B62,'App7 - PopSize_Calcs'!$M$3:$P$40,3,FALSE)</f>
        <v>1999676.3333333333</v>
      </c>
      <c r="G62" s="1008">
        <v>1</v>
      </c>
      <c r="H62" s="1008">
        <v>0</v>
      </c>
      <c r="I62" s="1011">
        <f>VLOOKUP(B62,'App7 - PopSize_Calcs'!$M$3:$P$40,2,FALSE)</f>
        <v>2096799</v>
      </c>
      <c r="J62" s="1010">
        <f t="shared" si="1"/>
        <v>4096475.333333333</v>
      </c>
      <c r="K62" s="1010">
        <f t="shared" si="2"/>
        <v>2</v>
      </c>
    </row>
    <row r="63" spans="1:11" x14ac:dyDescent="0.2">
      <c r="A63" s="1008" t="s">
        <v>15</v>
      </c>
      <c r="B63" s="1008" t="s">
        <v>253</v>
      </c>
      <c r="C63" s="1009" t="str">
        <f t="shared" si="0"/>
        <v>CLL_10 to 14</v>
      </c>
      <c r="D63" s="1008">
        <v>0</v>
      </c>
      <c r="E63" s="1008">
        <v>0</v>
      </c>
      <c r="F63" s="1011">
        <f>VLOOKUP(B63,'App7 - PopSize_Calcs'!$M$3:$P$40,3,FALSE)</f>
        <v>1823411.3333333333</v>
      </c>
      <c r="G63" s="1008">
        <v>0</v>
      </c>
      <c r="H63" s="1008">
        <v>0</v>
      </c>
      <c r="I63" s="1011">
        <f>VLOOKUP(B63,'App7 - PopSize_Calcs'!$M$3:$P$40,2,FALSE)</f>
        <v>1915702.6666666667</v>
      </c>
      <c r="J63" s="1010">
        <f t="shared" si="1"/>
        <v>3739114</v>
      </c>
      <c r="K63" s="1010">
        <f t="shared" si="2"/>
        <v>0</v>
      </c>
    </row>
    <row r="64" spans="1:11" x14ac:dyDescent="0.2">
      <c r="A64" s="1008" t="s">
        <v>15</v>
      </c>
      <c r="B64" s="1008" t="s">
        <v>254</v>
      </c>
      <c r="C64" s="1009" t="str">
        <f t="shared" si="0"/>
        <v>CLL_15 to 19</v>
      </c>
      <c r="D64" s="1008">
        <v>1</v>
      </c>
      <c r="E64" s="1008">
        <v>0</v>
      </c>
      <c r="F64" s="1011">
        <f>VLOOKUP(B64,'App7 - PopSize_Calcs'!$M$3:$P$40,3,FALSE)</f>
        <v>1808992</v>
      </c>
      <c r="G64" s="1008">
        <v>0</v>
      </c>
      <c r="H64" s="1008">
        <v>0</v>
      </c>
      <c r="I64" s="1011">
        <f>VLOOKUP(B64,'App7 - PopSize_Calcs'!$M$3:$P$40,2,FALSE)</f>
        <v>1908478.6666666667</v>
      </c>
      <c r="J64" s="1010">
        <f t="shared" si="1"/>
        <v>3717470.666666667</v>
      </c>
      <c r="K64" s="1010">
        <f t="shared" si="2"/>
        <v>1</v>
      </c>
    </row>
    <row r="65" spans="1:11" x14ac:dyDescent="0.2">
      <c r="A65" s="1008" t="s">
        <v>15</v>
      </c>
      <c r="B65" s="1008" t="s">
        <v>255</v>
      </c>
      <c r="C65" s="1009" t="str">
        <f t="shared" si="0"/>
        <v>CLL_20 to 24</v>
      </c>
      <c r="D65" s="1008">
        <v>0</v>
      </c>
      <c r="E65" s="1008">
        <v>0</v>
      </c>
      <c r="F65" s="1011">
        <f>VLOOKUP(B65,'App7 - PopSize_Calcs'!$M$3:$P$40,3,FALSE)</f>
        <v>2053200.6666666667</v>
      </c>
      <c r="G65" s="1008">
        <v>2</v>
      </c>
      <c r="H65" s="1008">
        <v>0.1</v>
      </c>
      <c r="I65" s="1011">
        <f>VLOOKUP(B65,'App7 - PopSize_Calcs'!$M$3:$P$40,2,FALSE)</f>
        <v>2161986</v>
      </c>
      <c r="J65" s="1010">
        <f t="shared" si="1"/>
        <v>4215186.666666667</v>
      </c>
      <c r="K65" s="1010">
        <f t="shared" si="2"/>
        <v>2</v>
      </c>
    </row>
    <row r="66" spans="1:11" x14ac:dyDescent="0.2">
      <c r="A66" s="1008" t="s">
        <v>15</v>
      </c>
      <c r="B66" s="1008" t="s">
        <v>256</v>
      </c>
      <c r="C66" s="1009" t="str">
        <f t="shared" si="0"/>
        <v>CLL_25 to 29</v>
      </c>
      <c r="D66" s="1008">
        <v>0</v>
      </c>
      <c r="E66" s="1008">
        <v>0</v>
      </c>
      <c r="F66" s="1011">
        <f>VLOOKUP(B66,'App7 - PopSize_Calcs'!$M$3:$P$40,3,FALSE)</f>
        <v>2239266</v>
      </c>
      <c r="G66" s="1008">
        <v>0</v>
      </c>
      <c r="H66" s="1008">
        <v>0</v>
      </c>
      <c r="I66" s="1011">
        <f>VLOOKUP(B66,'App7 - PopSize_Calcs'!$M$3:$P$40,2,FALSE)</f>
        <v>2287337.6666666665</v>
      </c>
      <c r="J66" s="1010">
        <f t="shared" si="1"/>
        <v>4526603.666666666</v>
      </c>
      <c r="K66" s="1010">
        <f t="shared" si="2"/>
        <v>0</v>
      </c>
    </row>
    <row r="67" spans="1:11" x14ac:dyDescent="0.2">
      <c r="A67" s="1008" t="s">
        <v>15</v>
      </c>
      <c r="B67" s="1008" t="s">
        <v>257</v>
      </c>
      <c r="C67" s="1009" t="str">
        <f t="shared" si="0"/>
        <v>CLL_30 to 34</v>
      </c>
      <c r="D67" s="1008">
        <v>1</v>
      </c>
      <c r="E67" s="1008">
        <v>0</v>
      </c>
      <c r="F67" s="1011">
        <f>VLOOKUP(B67,'App7 - PopSize_Calcs'!$M$3:$P$40,3,FALSE)</f>
        <v>2222400.3333333335</v>
      </c>
      <c r="G67" s="1008">
        <v>3</v>
      </c>
      <c r="H67" s="1008">
        <v>0.1</v>
      </c>
      <c r="I67" s="1011">
        <f>VLOOKUP(B67,'App7 - PopSize_Calcs'!$M$3:$P$40,2,FALSE)</f>
        <v>2208867.6666666665</v>
      </c>
      <c r="J67" s="1010">
        <f t="shared" si="1"/>
        <v>4431268</v>
      </c>
      <c r="K67" s="1010">
        <f t="shared" ref="K67:K130" si="7">SUM(D67,G67)</f>
        <v>4</v>
      </c>
    </row>
    <row r="68" spans="1:11" x14ac:dyDescent="0.2">
      <c r="A68" s="1008" t="s">
        <v>15</v>
      </c>
      <c r="B68" s="1008" t="s">
        <v>258</v>
      </c>
      <c r="C68" s="1009" t="str">
        <f t="shared" si="0"/>
        <v>CLL_35 to 39</v>
      </c>
      <c r="D68" s="1008">
        <v>4</v>
      </c>
      <c r="E68" s="1008">
        <v>0.2</v>
      </c>
      <c r="F68" s="1011">
        <f>VLOOKUP(B68,'App7 - PopSize_Calcs'!$M$3:$P$40,3,FALSE)</f>
        <v>2153444.6666666665</v>
      </c>
      <c r="G68" s="1008">
        <v>11</v>
      </c>
      <c r="H68" s="1008">
        <v>0.5</v>
      </c>
      <c r="I68" s="1011">
        <f>VLOOKUP(B68,'App7 - PopSize_Calcs'!$M$3:$P$40,2,FALSE)</f>
        <v>2124546.3333333335</v>
      </c>
      <c r="J68" s="1010">
        <f t="shared" si="1"/>
        <v>4277991</v>
      </c>
      <c r="K68" s="1010">
        <f t="shared" si="7"/>
        <v>15</v>
      </c>
    </row>
    <row r="69" spans="1:11" x14ac:dyDescent="0.2">
      <c r="A69" s="1008" t="s">
        <v>15</v>
      </c>
      <c r="B69" s="1008" t="s">
        <v>192</v>
      </c>
      <c r="C69" s="1009" t="str">
        <f t="shared" si="0"/>
        <v>CLL_40 to 44</v>
      </c>
      <c r="D69" s="1008">
        <v>12</v>
      </c>
      <c r="E69" s="1008">
        <v>0.6</v>
      </c>
      <c r="F69" s="1011">
        <f>VLOOKUP(B69,'App7 - PopSize_Calcs'!$M$3:$P$40,3,FALSE)</f>
        <v>2054223.3333333333</v>
      </c>
      <c r="G69" s="1008">
        <v>27</v>
      </c>
      <c r="H69" s="1008">
        <v>1.3</v>
      </c>
      <c r="I69" s="1011">
        <f>VLOOKUP(B69,'App7 - PopSize_Calcs'!$M$3:$P$40,2,FALSE)</f>
        <v>2021384.6666666667</v>
      </c>
      <c r="J69" s="1010">
        <f t="shared" si="1"/>
        <v>4075608</v>
      </c>
      <c r="K69" s="1010">
        <f t="shared" si="7"/>
        <v>39</v>
      </c>
    </row>
    <row r="70" spans="1:11" x14ac:dyDescent="0.2">
      <c r="A70" s="1008" t="s">
        <v>15</v>
      </c>
      <c r="B70" s="1008" t="s">
        <v>193</v>
      </c>
      <c r="C70" s="1009" t="str">
        <f t="shared" si="0"/>
        <v>CLL_45 to 49</v>
      </c>
      <c r="D70" s="1008">
        <v>28</v>
      </c>
      <c r="E70" s="1008">
        <v>1.2</v>
      </c>
      <c r="F70" s="1011">
        <f>VLOOKUP(B70,'App7 - PopSize_Calcs'!$M$3:$P$40,3,FALSE)</f>
        <v>2315479.3333333335</v>
      </c>
      <c r="G70" s="1008">
        <v>60</v>
      </c>
      <c r="H70" s="1008">
        <v>2.6</v>
      </c>
      <c r="I70" s="1011">
        <f>VLOOKUP(B70,'App7 - PopSize_Calcs'!$M$3:$P$40,2,FALSE)</f>
        <v>2251680</v>
      </c>
      <c r="J70" s="1010">
        <f t="shared" si="1"/>
        <v>4567159.333333334</v>
      </c>
      <c r="K70" s="1010">
        <f t="shared" si="7"/>
        <v>88</v>
      </c>
    </row>
    <row r="71" spans="1:11" x14ac:dyDescent="0.2">
      <c r="A71" s="1008" t="s">
        <v>15</v>
      </c>
      <c r="B71" s="1008" t="s">
        <v>194</v>
      </c>
      <c r="C71" s="1009" t="str">
        <f t="shared" si="0"/>
        <v>CLL_50 to 54</v>
      </c>
      <c r="D71" s="1008">
        <v>47</v>
      </c>
      <c r="E71" s="1008">
        <v>2</v>
      </c>
      <c r="F71" s="1011">
        <f>VLOOKUP(B71,'App7 - PopSize_Calcs'!$M$3:$P$40,3,FALSE)</f>
        <v>2364638</v>
      </c>
      <c r="G71" s="1008">
        <v>126</v>
      </c>
      <c r="H71" s="1008">
        <v>5.5</v>
      </c>
      <c r="I71" s="1011">
        <f>VLOOKUP(B71,'App7 - PopSize_Calcs'!$M$3:$P$40,2,FALSE)</f>
        <v>2293472.6666666665</v>
      </c>
      <c r="J71" s="1010">
        <f t="shared" si="1"/>
        <v>4658110.666666666</v>
      </c>
      <c r="K71" s="1010">
        <f t="shared" si="7"/>
        <v>173</v>
      </c>
    </row>
    <row r="72" spans="1:11" x14ac:dyDescent="0.2">
      <c r="A72" s="1008" t="s">
        <v>15</v>
      </c>
      <c r="B72" s="1008" t="s">
        <v>195</v>
      </c>
      <c r="C72" s="1009" t="str">
        <f t="shared" si="0"/>
        <v>CLL_55 to 59</v>
      </c>
      <c r="D72" s="1008">
        <v>86</v>
      </c>
      <c r="E72" s="1008">
        <v>4.0999999999999996</v>
      </c>
      <c r="F72" s="1011">
        <f>VLOOKUP(B72,'App7 - PopSize_Calcs'!$M$3:$P$40,3,FALSE)</f>
        <v>2119687.3333333335</v>
      </c>
      <c r="G72" s="1008">
        <v>190</v>
      </c>
      <c r="H72" s="1008">
        <v>9.1999999999999993</v>
      </c>
      <c r="I72" s="1011">
        <f>VLOOKUP(B72,'App7 - PopSize_Calcs'!$M$3:$P$40,2,FALSE)</f>
        <v>2061918.6666666667</v>
      </c>
      <c r="J72" s="1010">
        <f t="shared" si="1"/>
        <v>4181606</v>
      </c>
      <c r="K72" s="1010">
        <f t="shared" si="7"/>
        <v>276</v>
      </c>
    </row>
    <row r="73" spans="1:11" x14ac:dyDescent="0.2">
      <c r="A73" s="1008" t="s">
        <v>15</v>
      </c>
      <c r="B73" s="1008" t="s">
        <v>196</v>
      </c>
      <c r="C73" s="1009" t="str">
        <f t="shared" si="0"/>
        <v>CLL_60 to 64</v>
      </c>
      <c r="D73" s="1008">
        <v>139</v>
      </c>
      <c r="E73" s="1008">
        <v>7.6</v>
      </c>
      <c r="F73" s="1011">
        <f>VLOOKUP(B73,'App7 - PopSize_Calcs'!$M$3:$P$40,3,FALSE)</f>
        <v>1837174</v>
      </c>
      <c r="G73" s="1008">
        <v>265</v>
      </c>
      <c r="H73" s="1008">
        <v>15</v>
      </c>
      <c r="I73" s="1011">
        <f>VLOOKUP(B73,'App7 - PopSize_Calcs'!$M$3:$P$40,2,FALSE)</f>
        <v>1764828</v>
      </c>
      <c r="J73" s="1010">
        <f t="shared" si="1"/>
        <v>3602002</v>
      </c>
      <c r="K73" s="1010">
        <f t="shared" si="7"/>
        <v>404</v>
      </c>
    </row>
    <row r="74" spans="1:11" x14ac:dyDescent="0.2">
      <c r="A74" s="1008" t="s">
        <v>15</v>
      </c>
      <c r="B74" s="1008" t="s">
        <v>197</v>
      </c>
      <c r="C74" s="1009" t="str">
        <f t="shared" si="0"/>
        <v>CLL_65 to 69</v>
      </c>
      <c r="D74" s="1008">
        <v>203</v>
      </c>
      <c r="E74" s="1008">
        <v>11.3</v>
      </c>
      <c r="F74" s="1011">
        <f>VLOOKUP(B74,'App7 - PopSize_Calcs'!$M$3:$P$40,3,FALSE)</f>
        <v>1805190</v>
      </c>
      <c r="G74" s="1008">
        <v>386</v>
      </c>
      <c r="H74" s="1008">
        <v>22.7</v>
      </c>
      <c r="I74" s="1011">
        <f>VLOOKUP(B74,'App7 - PopSize_Calcs'!$M$3:$P$40,2,FALSE)</f>
        <v>1696993.3333333333</v>
      </c>
      <c r="J74" s="1010">
        <f t="shared" si="1"/>
        <v>3502183.333333333</v>
      </c>
      <c r="K74" s="1010">
        <f t="shared" si="7"/>
        <v>589</v>
      </c>
    </row>
    <row r="75" spans="1:11" x14ac:dyDescent="0.2">
      <c r="A75" s="1008" t="s">
        <v>15</v>
      </c>
      <c r="B75" s="1008" t="s">
        <v>198</v>
      </c>
      <c r="C75" s="1009" t="str">
        <f t="shared" ref="C75:C148" si="8">A75&amp;"_"&amp;B75</f>
        <v>CLL_70 to 74</v>
      </c>
      <c r="D75" s="1008">
        <v>246</v>
      </c>
      <c r="E75" s="1008">
        <v>15.3</v>
      </c>
      <c r="F75" s="1011">
        <f>VLOOKUP(B75,'App7 - PopSize_Calcs'!$M$3:$P$40,3,FALSE)</f>
        <v>1603609.6666666667</v>
      </c>
      <c r="G75" s="1008">
        <v>428</v>
      </c>
      <c r="H75" s="1008">
        <v>29.2</v>
      </c>
      <c r="I75" s="1011">
        <f>VLOOKUP(B75,'App7 - PopSize_Calcs'!$M$3:$P$40,2,FALSE)</f>
        <v>1467965</v>
      </c>
      <c r="J75" s="1010">
        <f t="shared" si="1"/>
        <v>3071574.666666667</v>
      </c>
      <c r="K75" s="1010">
        <f t="shared" si="7"/>
        <v>674</v>
      </c>
    </row>
    <row r="76" spans="1:11" x14ac:dyDescent="0.2">
      <c r="A76" s="1008" t="s">
        <v>15</v>
      </c>
      <c r="B76" s="1008" t="s">
        <v>199</v>
      </c>
      <c r="C76" s="1009" t="str">
        <f t="shared" si="8"/>
        <v>CLL_75 to 79</v>
      </c>
      <c r="D76" s="1008">
        <v>215</v>
      </c>
      <c r="E76" s="1008">
        <v>18.2</v>
      </c>
      <c r="F76" s="1011">
        <f>VLOOKUP(B76,'App7 - PopSize_Calcs'!$M$3:$P$40,3,FALSE)</f>
        <v>1181645.3333333333</v>
      </c>
      <c r="G76" s="1008">
        <v>361</v>
      </c>
      <c r="H76" s="1008">
        <v>35.799999999999997</v>
      </c>
      <c r="I76" s="1011">
        <f>VLOOKUP(B76,'App7 - PopSize_Calcs'!$M$3:$P$40,2,FALSE)</f>
        <v>1007365.3333333334</v>
      </c>
      <c r="J76" s="1010">
        <f t="shared" ref="J76:J149" si="9">SUM(F76,I76)</f>
        <v>2189010.6666666665</v>
      </c>
      <c r="K76" s="1010">
        <f t="shared" si="7"/>
        <v>576</v>
      </c>
    </row>
    <row r="77" spans="1:11" x14ac:dyDescent="0.2">
      <c r="A77" s="1008" t="s">
        <v>15</v>
      </c>
      <c r="B77" s="1008" t="s">
        <v>259</v>
      </c>
      <c r="C77" s="1009" t="str">
        <f t="shared" si="8"/>
        <v>CLL_80 to 84</v>
      </c>
      <c r="D77" s="1008">
        <v>193</v>
      </c>
      <c r="E77" s="1008">
        <v>20.8</v>
      </c>
      <c r="F77" s="1011">
        <f>VLOOKUP(B77,'App7 - PopSize_Calcs'!$M$3:$P$40,3,FALSE)</f>
        <v>926371.33333333337</v>
      </c>
      <c r="G77" s="1008">
        <v>286</v>
      </c>
      <c r="H77" s="1008">
        <v>40.1</v>
      </c>
      <c r="I77" s="1011">
        <f>VLOOKUP(B77,'App7 - PopSize_Calcs'!$M$3:$P$40,2,FALSE)</f>
        <v>712072</v>
      </c>
      <c r="J77" s="1010">
        <f t="shared" si="9"/>
        <v>1638443.3333333335</v>
      </c>
      <c r="K77" s="1010">
        <f t="shared" si="7"/>
        <v>479</v>
      </c>
    </row>
    <row r="78" spans="1:11" x14ac:dyDescent="0.2">
      <c r="A78" s="1008" t="s">
        <v>15</v>
      </c>
      <c r="B78" s="1008" t="s">
        <v>260</v>
      </c>
      <c r="C78" s="1009" t="str">
        <f t="shared" si="8"/>
        <v>CLL_85 to 89</v>
      </c>
      <c r="D78" s="1008">
        <v>147</v>
      </c>
      <c r="E78" s="1008">
        <v>23.7</v>
      </c>
      <c r="F78" s="1011">
        <f>VLOOKUP(B78,'App7 - PopSize_Calcs'!$M$3:$P$40,3,FALSE)</f>
        <v>618392.33333333337</v>
      </c>
      <c r="G78" s="1008">
        <v>168</v>
      </c>
      <c r="H78" s="1008">
        <v>42.9</v>
      </c>
      <c r="I78" s="1011">
        <f>VLOOKUP(B78,'App7 - PopSize_Calcs'!$M$3:$P$40,2,FALSE)</f>
        <v>391702</v>
      </c>
      <c r="J78" s="1010">
        <f t="shared" si="9"/>
        <v>1010094.3333333334</v>
      </c>
      <c r="K78" s="1010">
        <f t="shared" si="7"/>
        <v>315</v>
      </c>
    </row>
    <row r="79" spans="1:11" x14ac:dyDescent="0.2">
      <c r="A79" s="1008" t="s">
        <v>15</v>
      </c>
      <c r="B79" s="1008">
        <v>90</v>
      </c>
      <c r="C79" s="1009" t="str">
        <f t="shared" si="8"/>
        <v>CLL_90</v>
      </c>
      <c r="D79" s="1008">
        <v>85</v>
      </c>
      <c r="E79" s="1008">
        <v>21.2</v>
      </c>
      <c r="F79" s="1011">
        <f>VLOOKUP(B79,'App7 - PopSize_Calcs'!$M$3:$P$40,3,FALSE)</f>
        <v>400463.66666666669</v>
      </c>
      <c r="G79" s="1008">
        <v>79</v>
      </c>
      <c r="H79" s="1008">
        <v>44.6</v>
      </c>
      <c r="I79" s="1011">
        <f>VLOOKUP(B79,'App7 - PopSize_Calcs'!$M$3:$P$40,2,FALSE)</f>
        <v>177884.66666666666</v>
      </c>
      <c r="J79" s="1010">
        <f t="shared" si="9"/>
        <v>578348.33333333337</v>
      </c>
      <c r="K79" s="1010">
        <f t="shared" si="7"/>
        <v>164</v>
      </c>
    </row>
    <row r="80" spans="1:11" x14ac:dyDescent="0.2">
      <c r="A80" s="1008" t="s">
        <v>15</v>
      </c>
      <c r="B80" s="1009" t="s">
        <v>204</v>
      </c>
      <c r="C80" s="1009" t="str">
        <f t="shared" si="8"/>
        <v>CLL_Total 40-79</v>
      </c>
      <c r="D80" s="1011">
        <f>VLOOKUP("CLL_40 to 44",C:H,2,FALSE)+VLOOKUP("CLL_45 to 49",C:H,2,FALSE)+VLOOKUP("CLL_50 to 54",C:H,2,FALSE)+VLOOKUP("CLL_55 to 59",C:H,2,FALSE)+VLOOKUP("CLL_60 to 64",C:H,2,FALSE)+VLOOKUP("CLL_65 to 69",C:H,2,FALSE)+VLOOKUP("CLL_70 to 74",C:H,2,FALSE)+VLOOKUP("CLL_75 to 79",C:H,2,FALSE)</f>
        <v>976</v>
      </c>
      <c r="E80" s="1012">
        <f t="shared" ref="E80:E85" si="10">(D80/F80)*100000</f>
        <v>6.3867461406483219</v>
      </c>
      <c r="F80" s="1011">
        <f>VLOOKUP(B80,'App7 - PopSize_Calcs'!$M$3:$P$40,3,FALSE)</f>
        <v>15281647</v>
      </c>
      <c r="G80" s="1012">
        <f>VLOOKUP("CLL_40 to 44",C:H,5,FALSE)+VLOOKUP("CLL_45 to 49",C:H,5,FALSE)+VLOOKUP("CLL_50 to 54",C:H,5,FALSE)+VLOOKUP("CLL_55 to 59",C:H,5,FALSE)+VLOOKUP("CLL_60 to 64",C:H,5,FALSE)+VLOOKUP("CLL_65 to 69",C:H,5,FALSE)+VLOOKUP("CLL_70 to 74",C:H,5,FALSE)+VLOOKUP("CLL_75 to 79",C:H,5,FALSE)</f>
        <v>1843</v>
      </c>
      <c r="H80" s="1012">
        <f t="shared" ref="H80:H85" si="11">(G80/I80)*100000</f>
        <v>12.653093795857881</v>
      </c>
      <c r="I80" s="1011">
        <f>VLOOKUP(B80,'App7 - PopSize_Calcs'!$M$3:$P$40,2,FALSE)</f>
        <v>14565607.666666668</v>
      </c>
      <c r="J80" s="1010">
        <f t="shared" si="9"/>
        <v>29847254.666666668</v>
      </c>
      <c r="K80" s="1010">
        <f t="shared" si="7"/>
        <v>2819</v>
      </c>
    </row>
    <row r="81" spans="1:11" x14ac:dyDescent="0.2">
      <c r="A81" s="1008" t="s">
        <v>15</v>
      </c>
      <c r="B81" s="1008" t="s">
        <v>200</v>
      </c>
      <c r="C81" s="1009" t="str">
        <f t="shared" si="8"/>
        <v>CLL_Total 40-69</v>
      </c>
      <c r="D81" s="1011">
        <f>VLOOKUP("CLL_40 to 44",C:H,2,FALSE)+VLOOKUP("CLL_45 to 49",C:H,2,FALSE)+VLOOKUP("CLL_50 to 54",C:H,2,FALSE)+VLOOKUP("CLL_55 to 59",C:H,2,FALSE)+VLOOKUP("CLL_60 to 64",C:H,2,FALSE)+VLOOKUP("CLL_65 to 69",C:H,2,FALSE)</f>
        <v>515</v>
      </c>
      <c r="E81" s="1012">
        <f t="shared" si="10"/>
        <v>4.121189540148869</v>
      </c>
      <c r="F81" s="1011">
        <f>VLOOKUP(B81,'App7 - PopSize_Calcs'!$M$3:$P$40,3,FALSE)</f>
        <v>12496392</v>
      </c>
      <c r="G81" s="1012">
        <f>VLOOKUP("CLL_40 to 44",C:H,5,FALSE)+VLOOKUP("CLL_45 to 49",C:H,5,FALSE)+VLOOKUP("CLL_50 to 54",C:H,5,FALSE)+VLOOKUP("CLL_55 to 59",C:H,5,FALSE)+VLOOKUP("CLL_60 to 64",C:H,5,FALSE)+VLOOKUP("CLL_65 to 69",C:H,5,FALSE)</f>
        <v>1054</v>
      </c>
      <c r="H81" s="1012">
        <f t="shared" si="11"/>
        <v>8.7177487409166687</v>
      </c>
      <c r="I81" s="1011">
        <f>VLOOKUP(B81,'App7 - PopSize_Calcs'!$M$3:$P$40,2,FALSE)</f>
        <v>12090277.333333334</v>
      </c>
      <c r="J81" s="1010">
        <f t="shared" si="9"/>
        <v>24586669.333333336</v>
      </c>
      <c r="K81" s="1010">
        <f t="shared" si="7"/>
        <v>1569</v>
      </c>
    </row>
    <row r="82" spans="1:11" x14ac:dyDescent="0.2">
      <c r="A82" s="1008" t="s">
        <v>15</v>
      </c>
      <c r="B82" s="1008" t="s">
        <v>201</v>
      </c>
      <c r="C82" s="1009" t="str">
        <f t="shared" si="8"/>
        <v>CLL_Total 40-49</v>
      </c>
      <c r="D82" s="1011">
        <f>VLOOKUP("CLL_40 to 44",C:H,2,FALSE)+VLOOKUP("CLL_45 to 49",C:H,2,FALSE)</f>
        <v>40</v>
      </c>
      <c r="E82" s="1012">
        <f t="shared" si="10"/>
        <v>0.91539409088703805</v>
      </c>
      <c r="F82" s="1011">
        <f>VLOOKUP(B82,'App7 - PopSize_Calcs'!$M$3:$P$40,3,FALSE)</f>
        <v>4369702.666666667</v>
      </c>
      <c r="G82" s="1012">
        <f>VLOOKUP("CLL_40 to 44",C:H,5,FALSE)+VLOOKUP("CLL_45 to 49",C:H,5,FALSE)</f>
        <v>87</v>
      </c>
      <c r="H82" s="1012">
        <f t="shared" si="11"/>
        <v>2.0360094402190962</v>
      </c>
      <c r="I82" s="1011">
        <f>VLOOKUP(B82,'App7 - PopSize_Calcs'!$M$3:$P$40,2,FALSE)</f>
        <v>4273064.666666667</v>
      </c>
      <c r="J82" s="1010">
        <f t="shared" si="9"/>
        <v>8642767.333333334</v>
      </c>
      <c r="K82" s="1010">
        <f t="shared" si="7"/>
        <v>127</v>
      </c>
    </row>
    <row r="83" spans="1:11" x14ac:dyDescent="0.2">
      <c r="A83" s="1008" t="s">
        <v>15</v>
      </c>
      <c r="B83" s="1008" t="s">
        <v>202</v>
      </c>
      <c r="C83" s="1009" t="str">
        <f t="shared" si="8"/>
        <v>CLL_Total 50-59</v>
      </c>
      <c r="D83" s="1011">
        <f>VLOOKUP("CLL_50 to 54",C:H,2,FALSE)+VLOOKUP("CLL_55 to 59",C:H,2,FALSE)</f>
        <v>133</v>
      </c>
      <c r="E83" s="1012">
        <f t="shared" si="10"/>
        <v>2.9658865071936495</v>
      </c>
      <c r="F83" s="1011">
        <f>VLOOKUP(B83,'App7 - PopSize_Calcs'!$M$3:$P$40,3,FALSE)</f>
        <v>4484325.333333334</v>
      </c>
      <c r="G83" s="1012">
        <f>VLOOKUP("CLL_50 to 54",C:H,5,FALSE)+VLOOKUP("CLL_55 to 59",C:H,5,FALSE)</f>
        <v>316</v>
      </c>
      <c r="H83" s="1012">
        <f t="shared" si="11"/>
        <v>7.2553755980901533</v>
      </c>
      <c r="I83" s="1011">
        <f>VLOOKUP(B83,'App7 - PopSize_Calcs'!$M$3:$P$40,2,FALSE)</f>
        <v>4355391.333333333</v>
      </c>
      <c r="J83" s="1010">
        <f t="shared" si="9"/>
        <v>8839716.6666666679</v>
      </c>
      <c r="K83" s="1010">
        <f t="shared" si="7"/>
        <v>449</v>
      </c>
    </row>
    <row r="84" spans="1:11" x14ac:dyDescent="0.2">
      <c r="A84" s="1008" t="s">
        <v>15</v>
      </c>
      <c r="B84" s="1008" t="s">
        <v>203</v>
      </c>
      <c r="C84" s="1009" t="str">
        <f t="shared" si="8"/>
        <v>CLL_Total 50-69</v>
      </c>
      <c r="D84" s="1011">
        <f>VLOOKUP("CLL_50 to 54",C:H,2,FALSE)+VLOOKUP("CLL_55 to 59",C:H,2,FALSE)+VLOOKUP("CLL_60 to 64",C:H,2,FALSE)+VLOOKUP("CLL_65 to 69",C:H,2,FALSE)</f>
        <v>475</v>
      </c>
      <c r="E84" s="1012">
        <f t="shared" si="10"/>
        <v>5.8449385785142187</v>
      </c>
      <c r="F84" s="1011">
        <f>VLOOKUP(B84,'App7 - PopSize_Calcs'!$M$3:$P$40,3,FALSE)</f>
        <v>8126689.333333334</v>
      </c>
      <c r="G84" s="1012">
        <f>VLOOKUP("CLL_50 to 54",C:H,5,FALSE)+VLOOKUP("CLL_55 to 59",C:H,5,FALSE)+VLOOKUP("CLL_60 to 64",C:H,5,FALSE)+VLOOKUP("CLL_65 to 69",C:H,5,FALSE)</f>
        <v>967</v>
      </c>
      <c r="H84" s="1012">
        <f t="shared" si="11"/>
        <v>12.37013806882061</v>
      </c>
      <c r="I84" s="1011">
        <f>VLOOKUP(B84,'App7 - PopSize_Calcs'!$M$3:$P$40,2,FALSE)</f>
        <v>7817212.666666666</v>
      </c>
      <c r="J84" s="1010">
        <f t="shared" si="9"/>
        <v>15943902</v>
      </c>
      <c r="K84" s="1010">
        <f t="shared" si="7"/>
        <v>1442</v>
      </c>
    </row>
    <row r="85" spans="1:11" x14ac:dyDescent="0.2">
      <c r="A85" s="1008" t="s">
        <v>15</v>
      </c>
      <c r="B85" s="1008" t="s">
        <v>292</v>
      </c>
      <c r="C85" s="1009" t="str">
        <f t="shared" si="8"/>
        <v>CLL_Total 60-74</v>
      </c>
      <c r="D85" s="1011">
        <f>VLOOKUP("CLL_60 to 64",C:H,2,FALSE)+VLOOKUP("CLL_65 to 69",C:H,2,FALSE)+VLOOKUP("CLL_70 to 74",C:H,2,FALSE)</f>
        <v>588</v>
      </c>
      <c r="E85" s="1012">
        <f t="shared" si="10"/>
        <v>11.208596103640371</v>
      </c>
      <c r="F85" s="1011">
        <f>VLOOKUP(B85,'App7 - PopSize_Calcs'!$M$3:$P$40,3,FALSE)</f>
        <v>5245973.666666667</v>
      </c>
      <c r="G85" s="1011">
        <f>VLOOKUP("CLL_60 to 64",C:K,5,FALSE)+VLOOKUP("CLL_65 to 69",C:K,5,FALSE)+VLOOKUP("CLL_70 to 74",C:K,5,FALSE)</f>
        <v>1079</v>
      </c>
      <c r="H85" s="1012">
        <f t="shared" si="11"/>
        <v>21.887358336490447</v>
      </c>
      <c r="I85" s="1011">
        <f>VLOOKUP(B85,'App7 - PopSize_Calcs'!$M$3:$P$40,2,FALSE)</f>
        <v>4929786.333333333</v>
      </c>
      <c r="J85" s="1010">
        <v>8881256.9603638444</v>
      </c>
      <c r="K85" s="1010">
        <f t="shared" si="7"/>
        <v>1667</v>
      </c>
    </row>
    <row r="86" spans="1:11" x14ac:dyDescent="0.2">
      <c r="A86" s="1008" t="s">
        <v>15</v>
      </c>
      <c r="B86" s="1008" t="s">
        <v>261</v>
      </c>
      <c r="C86" s="1009" t="str">
        <f t="shared" si="8"/>
        <v>CLL_Total (All ages)</v>
      </c>
      <c r="D86" s="1016">
        <v>1410</v>
      </c>
      <c r="E86" s="1017">
        <v>4.2</v>
      </c>
      <c r="F86" s="1011">
        <f>VLOOKUP(B86,'App7 - PopSize_Calcs'!$M$3:$P$40,3,FALSE)</f>
        <v>33458051.999999996</v>
      </c>
      <c r="G86" s="1016">
        <v>2393</v>
      </c>
      <c r="H86" s="1017">
        <v>8.5</v>
      </c>
      <c r="I86" s="1011">
        <f>VLOOKUP(B86,'App7 - PopSize_Calcs'!$M$3:$P$40,2,FALSE)</f>
        <v>32583225.666666668</v>
      </c>
      <c r="J86" s="1010">
        <f t="shared" si="9"/>
        <v>66041277.666666664</v>
      </c>
      <c r="K86" s="1010">
        <f t="shared" si="7"/>
        <v>3803</v>
      </c>
    </row>
    <row r="87" spans="1:11" x14ac:dyDescent="0.2">
      <c r="A87" s="1008" t="s">
        <v>11</v>
      </c>
      <c r="B87" s="1009" t="s">
        <v>251</v>
      </c>
      <c r="C87" s="1009" t="str">
        <f t="shared" si="8"/>
        <v>Colorectal_0 to 04</v>
      </c>
      <c r="D87" s="1011">
        <f>VLOOKUP("CLL_50 to 54",C:H,2,FALSE)+VLOOKUP("CLL_55 to 59",C:H,2,FALSE)+VLOOKUP("CLL_60 to 64",C:H,2,FALSE)+VLOOKUP("CLL_65 to 69",C:H,2,FALSE)</f>
        <v>475</v>
      </c>
      <c r="E87" s="1012">
        <f>VLOOKUP("CLL_50 to 54",C:H,3,FALSE)+VLOOKUP("CLL_55 to 59",C:H,3,FALSE)+VLOOKUP("CLL_60 to 64",C:H,3,FALSE)+VLOOKUP("CLL_65 to 69",C:H,3,FALSE)</f>
        <v>25</v>
      </c>
      <c r="F87" s="1011">
        <f>VLOOKUP(B87,'App7 - PopSize_Calcs'!$M$3:$P$40,3,FALSE)</f>
        <v>1930786.3333333333</v>
      </c>
      <c r="G87" s="1012">
        <f>VLOOKUP("CLL_50 to 54",C:H,4,FALSE)+VLOOKUP("CLL_55 to 59",C:H,4,FALSE)+VLOOKUP("CLL_60 to 64",C:H,4,FALSE)+VLOOKUP("CLL_65 to 69",C:H,4,FALSE)</f>
        <v>8126689.333333334</v>
      </c>
      <c r="H87" s="1015">
        <f>VLOOKUP("CLL_50 to 54",C:H,5,FALSE)+VLOOKUP("CLL_55 to 59",C:H,5,FALSE)+VLOOKUP("CLL_60 to 64",C:H,5,FALSE)+VLOOKUP("CLL_65 to 69",C:H,5,FALSE)</f>
        <v>967</v>
      </c>
      <c r="I87" s="1011">
        <f>VLOOKUP(B87,'App7 - PopSize_Calcs'!$M$3:$P$40,2,FALSE)</f>
        <v>2032241.3333333333</v>
      </c>
      <c r="J87" s="1010">
        <f t="shared" si="9"/>
        <v>3963027.6666666665</v>
      </c>
      <c r="K87" s="1010">
        <f t="shared" si="7"/>
        <v>8127164.333333334</v>
      </c>
    </row>
    <row r="88" spans="1:11" x14ac:dyDescent="0.2">
      <c r="A88" s="1008" t="s">
        <v>11</v>
      </c>
      <c r="B88" s="1009" t="s">
        <v>252</v>
      </c>
      <c r="C88" s="1009" t="str">
        <f t="shared" si="8"/>
        <v>Colorectal_05 to 09</v>
      </c>
      <c r="D88" s="1011">
        <v>1</v>
      </c>
      <c r="E88" s="1012">
        <v>0.1</v>
      </c>
      <c r="F88" s="1011">
        <f>VLOOKUP(B88,'App7 - PopSize_Calcs'!$M$3:$P$40,3,FALSE)</f>
        <v>1999676.3333333333</v>
      </c>
      <c r="G88" s="1011">
        <v>1</v>
      </c>
      <c r="H88" s="1012">
        <v>0</v>
      </c>
      <c r="I88" s="1011">
        <f>VLOOKUP(B88,'App7 - PopSize_Calcs'!$M$3:$P$40,2,FALSE)</f>
        <v>2096799</v>
      </c>
      <c r="J88" s="1010">
        <f t="shared" si="9"/>
        <v>4096475.333333333</v>
      </c>
      <c r="K88" s="1010">
        <f t="shared" si="7"/>
        <v>2</v>
      </c>
    </row>
    <row r="89" spans="1:11" x14ac:dyDescent="0.2">
      <c r="A89" s="1008" t="s">
        <v>11</v>
      </c>
      <c r="B89" s="1009" t="s">
        <v>253</v>
      </c>
      <c r="C89" s="1009" t="str">
        <f t="shared" si="8"/>
        <v>Colorectal_10 to 14</v>
      </c>
      <c r="D89" s="1011">
        <v>8</v>
      </c>
      <c r="E89" s="1012">
        <v>0.5</v>
      </c>
      <c r="F89" s="1011">
        <f>VLOOKUP(B89,'App7 - PopSize_Calcs'!$M$3:$P$40,3,FALSE)</f>
        <v>1823411.3333333333</v>
      </c>
      <c r="G89" s="1011">
        <v>5</v>
      </c>
      <c r="H89" s="1012">
        <v>0.3</v>
      </c>
      <c r="I89" s="1011">
        <f>VLOOKUP(B89,'App7 - PopSize_Calcs'!$M$3:$P$40,2,FALSE)</f>
        <v>1915702.6666666667</v>
      </c>
      <c r="J89" s="1010">
        <f t="shared" si="9"/>
        <v>3739114</v>
      </c>
      <c r="K89" s="1010">
        <f t="shared" si="7"/>
        <v>13</v>
      </c>
    </row>
    <row r="90" spans="1:11" x14ac:dyDescent="0.2">
      <c r="A90" s="1008" t="s">
        <v>11</v>
      </c>
      <c r="B90" s="1009" t="s">
        <v>254</v>
      </c>
      <c r="C90" s="1009" t="str">
        <f t="shared" si="8"/>
        <v>Colorectal_15 to 19</v>
      </c>
      <c r="D90" s="1011">
        <v>19</v>
      </c>
      <c r="E90" s="1012">
        <v>1</v>
      </c>
      <c r="F90" s="1011">
        <f>VLOOKUP(B90,'App7 - PopSize_Calcs'!$M$3:$P$40,3,FALSE)</f>
        <v>1808992</v>
      </c>
      <c r="G90" s="1011">
        <v>10</v>
      </c>
      <c r="H90" s="1012">
        <v>0.5</v>
      </c>
      <c r="I90" s="1011">
        <f>VLOOKUP(B90,'App7 - PopSize_Calcs'!$M$3:$P$40,2,FALSE)</f>
        <v>1908478.6666666667</v>
      </c>
      <c r="J90" s="1010">
        <f t="shared" si="9"/>
        <v>3717470.666666667</v>
      </c>
      <c r="K90" s="1010">
        <f t="shared" si="7"/>
        <v>29</v>
      </c>
    </row>
    <row r="91" spans="1:11" x14ac:dyDescent="0.2">
      <c r="A91" s="1008" t="s">
        <v>11</v>
      </c>
      <c r="B91" s="1009" t="s">
        <v>255</v>
      </c>
      <c r="C91" s="1009" t="str">
        <f t="shared" si="8"/>
        <v>Colorectal_20 to 24</v>
      </c>
      <c r="D91" s="1011">
        <v>31</v>
      </c>
      <c r="E91" s="1012">
        <v>1.5</v>
      </c>
      <c r="F91" s="1011">
        <f>VLOOKUP(B91,'App7 - PopSize_Calcs'!$M$3:$P$40,3,FALSE)</f>
        <v>2053200.6666666667</v>
      </c>
      <c r="G91" s="1011">
        <v>19</v>
      </c>
      <c r="H91" s="1012">
        <v>0.9</v>
      </c>
      <c r="I91" s="1011">
        <f>VLOOKUP(B91,'App7 - PopSize_Calcs'!$M$3:$P$40,2,FALSE)</f>
        <v>2161986</v>
      </c>
      <c r="J91" s="1010">
        <f t="shared" si="9"/>
        <v>4215186.666666667</v>
      </c>
      <c r="K91" s="1010">
        <f t="shared" si="7"/>
        <v>50</v>
      </c>
    </row>
    <row r="92" spans="1:11" x14ac:dyDescent="0.2">
      <c r="A92" s="1008" t="s">
        <v>11</v>
      </c>
      <c r="B92" s="1009" t="s">
        <v>256</v>
      </c>
      <c r="C92" s="1009" t="str">
        <f t="shared" si="8"/>
        <v>Colorectal_25 to 29</v>
      </c>
      <c r="D92" s="1011">
        <v>56</v>
      </c>
      <c r="E92" s="1012">
        <v>2.5</v>
      </c>
      <c r="F92" s="1011">
        <f>VLOOKUP(B92,'App7 - PopSize_Calcs'!$M$3:$P$40,3,FALSE)</f>
        <v>2239266</v>
      </c>
      <c r="G92" s="1011">
        <v>63</v>
      </c>
      <c r="H92" s="1012">
        <v>2.7</v>
      </c>
      <c r="I92" s="1011">
        <f>VLOOKUP(B92,'App7 - PopSize_Calcs'!$M$3:$P$40,2,FALSE)</f>
        <v>2287337.6666666665</v>
      </c>
      <c r="J92" s="1010">
        <f t="shared" si="9"/>
        <v>4526603.666666666</v>
      </c>
      <c r="K92" s="1010">
        <f t="shared" si="7"/>
        <v>119</v>
      </c>
    </row>
    <row r="93" spans="1:11" x14ac:dyDescent="0.2">
      <c r="A93" s="1008" t="s">
        <v>11</v>
      </c>
      <c r="B93" s="1009" t="s">
        <v>257</v>
      </c>
      <c r="C93" s="1009" t="str">
        <f t="shared" si="8"/>
        <v>Colorectal_30 to 34</v>
      </c>
      <c r="D93" s="1011">
        <v>150</v>
      </c>
      <c r="E93" s="1012">
        <v>6.8</v>
      </c>
      <c r="F93" s="1011">
        <f>VLOOKUP(B93,'App7 - PopSize_Calcs'!$M$3:$P$40,3,FALSE)</f>
        <v>2222400.3333333335</v>
      </c>
      <c r="G93" s="1011">
        <v>139</v>
      </c>
      <c r="H93" s="1012">
        <v>6.3</v>
      </c>
      <c r="I93" s="1011">
        <f>VLOOKUP(B93,'App7 - PopSize_Calcs'!$M$3:$P$40,2,FALSE)</f>
        <v>2208867.6666666665</v>
      </c>
      <c r="J93" s="1010">
        <f t="shared" si="9"/>
        <v>4431268</v>
      </c>
      <c r="K93" s="1010">
        <f t="shared" si="7"/>
        <v>289</v>
      </c>
    </row>
    <row r="94" spans="1:11" x14ac:dyDescent="0.2">
      <c r="A94" s="1008" t="s">
        <v>11</v>
      </c>
      <c r="B94" s="1009" t="s">
        <v>258</v>
      </c>
      <c r="C94" s="1009" t="str">
        <f t="shared" si="8"/>
        <v>Colorectal_35 to 39</v>
      </c>
      <c r="D94" s="1011">
        <v>242</v>
      </c>
      <c r="E94" s="1012">
        <v>11.3</v>
      </c>
      <c r="F94" s="1011">
        <f>VLOOKUP(B94,'App7 - PopSize_Calcs'!$M$3:$P$40,3,FALSE)</f>
        <v>2153444.6666666665</v>
      </c>
      <c r="G94" s="1011">
        <v>247</v>
      </c>
      <c r="H94" s="1012">
        <v>11.6</v>
      </c>
      <c r="I94" s="1011">
        <f>VLOOKUP(B94,'App7 - PopSize_Calcs'!$M$3:$P$40,2,FALSE)</f>
        <v>2124546.3333333335</v>
      </c>
      <c r="J94" s="1010">
        <f t="shared" si="9"/>
        <v>4277991</v>
      </c>
      <c r="K94" s="1010">
        <f t="shared" si="7"/>
        <v>489</v>
      </c>
    </row>
    <row r="95" spans="1:11" x14ac:dyDescent="0.2">
      <c r="A95" s="1008" t="s">
        <v>11</v>
      </c>
      <c r="B95" s="1009" t="s">
        <v>192</v>
      </c>
      <c r="C95" s="1009" t="str">
        <f t="shared" si="8"/>
        <v>Colorectal_40 to 44</v>
      </c>
      <c r="D95" s="1011">
        <v>276</v>
      </c>
      <c r="E95" s="1012">
        <v>13.5</v>
      </c>
      <c r="F95" s="1011">
        <f>VLOOKUP(B95,'App7 - PopSize_Calcs'!$M$3:$P$40,3,FALSE)</f>
        <v>2054223.3333333333</v>
      </c>
      <c r="G95" s="1011">
        <v>294</v>
      </c>
      <c r="H95" s="1012">
        <v>14.5</v>
      </c>
      <c r="I95" s="1011">
        <f>VLOOKUP(B95,'App7 - PopSize_Calcs'!$M$3:$P$40,2,FALSE)</f>
        <v>2021384.6666666667</v>
      </c>
      <c r="J95" s="1010">
        <f t="shared" si="9"/>
        <v>4075608</v>
      </c>
      <c r="K95" s="1010">
        <f t="shared" si="7"/>
        <v>570</v>
      </c>
    </row>
    <row r="96" spans="1:11" x14ac:dyDescent="0.2">
      <c r="A96" s="1008" t="s">
        <v>11</v>
      </c>
      <c r="B96" s="1009" t="s">
        <v>193</v>
      </c>
      <c r="C96" s="1009" t="str">
        <f t="shared" si="8"/>
        <v>Colorectal_45 to 49</v>
      </c>
      <c r="D96" s="1011">
        <v>499</v>
      </c>
      <c r="E96" s="1012">
        <v>21.6</v>
      </c>
      <c r="F96" s="1011">
        <f>VLOOKUP(B96,'App7 - PopSize_Calcs'!$M$3:$P$40,3,FALSE)</f>
        <v>2315479.3333333335</v>
      </c>
      <c r="G96" s="1011">
        <v>548</v>
      </c>
      <c r="H96" s="1012">
        <v>24.4</v>
      </c>
      <c r="I96" s="1011">
        <f>VLOOKUP(B96,'App7 - PopSize_Calcs'!$M$3:$P$40,2,FALSE)</f>
        <v>2251680</v>
      </c>
      <c r="J96" s="1010">
        <f t="shared" si="9"/>
        <v>4567159.333333334</v>
      </c>
      <c r="K96" s="1010">
        <f t="shared" si="7"/>
        <v>1047</v>
      </c>
    </row>
    <row r="97" spans="1:13" x14ac:dyDescent="0.2">
      <c r="A97" s="1008" t="s">
        <v>11</v>
      </c>
      <c r="B97" s="1009" t="s">
        <v>229</v>
      </c>
      <c r="C97" s="1009" t="str">
        <f t="shared" si="8"/>
        <v>Colorectal_40 to 49</v>
      </c>
      <c r="D97" s="1011">
        <f>SUM(D95:D96)</f>
        <v>775</v>
      </c>
      <c r="E97" s="1012">
        <v>17.79715075483734</v>
      </c>
      <c r="F97" s="1011">
        <f>SUM(F95:F96)</f>
        <v>4369702.666666667</v>
      </c>
      <c r="G97" s="1011">
        <f>SUM(G95:G96)</f>
        <v>842</v>
      </c>
      <c r="H97" s="1012">
        <v>19.702875737453372</v>
      </c>
      <c r="I97" s="1011">
        <f>SUM(I95:I96)</f>
        <v>4273064.666666667</v>
      </c>
      <c r="J97" s="1010">
        <f t="shared" si="9"/>
        <v>8642767.333333334</v>
      </c>
      <c r="K97" s="1010">
        <f t="shared" si="7"/>
        <v>1617</v>
      </c>
    </row>
    <row r="98" spans="1:13" x14ac:dyDescent="0.2">
      <c r="A98" s="1008" t="s">
        <v>11</v>
      </c>
      <c r="B98" s="1009" t="s">
        <v>194</v>
      </c>
      <c r="C98" s="1009" t="str">
        <f t="shared" si="8"/>
        <v>Colorectal_50 to 54</v>
      </c>
      <c r="D98" s="1011">
        <v>877</v>
      </c>
      <c r="E98" s="1012">
        <v>37.1</v>
      </c>
      <c r="F98" s="1011">
        <f>VLOOKUP(B98,'App7 - PopSize_Calcs'!$M$3:$P$40,3,FALSE)</f>
        <v>2364638</v>
      </c>
      <c r="G98" s="1011">
        <v>1081</v>
      </c>
      <c r="H98" s="1012">
        <v>47.1</v>
      </c>
      <c r="I98" s="1011">
        <f>VLOOKUP(B98,'App7 - PopSize_Calcs'!$M$3:$P$40,2,FALSE)</f>
        <v>2293472.6666666665</v>
      </c>
      <c r="J98" s="1010">
        <f t="shared" si="9"/>
        <v>4658110.666666666</v>
      </c>
      <c r="K98" s="1010">
        <f t="shared" si="7"/>
        <v>1958</v>
      </c>
    </row>
    <row r="99" spans="1:13" x14ac:dyDescent="0.2">
      <c r="A99" s="1008" t="s">
        <v>11</v>
      </c>
      <c r="B99" s="1009" t="s">
        <v>195</v>
      </c>
      <c r="C99" s="1009" t="str">
        <f t="shared" si="8"/>
        <v>Colorectal_55 to 59</v>
      </c>
      <c r="D99" s="1011">
        <v>1285</v>
      </c>
      <c r="E99" s="1012">
        <v>60.6</v>
      </c>
      <c r="F99" s="1011">
        <f>VLOOKUP(B99,'App7 - PopSize_Calcs'!$M$3:$P$40,3,FALSE)</f>
        <v>2119687.3333333335</v>
      </c>
      <c r="G99" s="1011">
        <v>1809</v>
      </c>
      <c r="H99" s="1012">
        <v>87.7</v>
      </c>
      <c r="I99" s="1011">
        <f>VLOOKUP(B99,'App7 - PopSize_Calcs'!$M$3:$P$40,2,FALSE)</f>
        <v>2061918.6666666667</v>
      </c>
      <c r="J99" s="1010">
        <f t="shared" si="9"/>
        <v>4181606</v>
      </c>
      <c r="K99" s="1010">
        <f t="shared" si="7"/>
        <v>3094</v>
      </c>
    </row>
    <row r="100" spans="1:13" x14ac:dyDescent="0.2">
      <c r="A100" s="1008" t="s">
        <v>11</v>
      </c>
      <c r="B100" s="1009" t="s">
        <v>230</v>
      </c>
      <c r="C100" s="1009" t="str">
        <f t="shared" si="8"/>
        <v>Colorectal_50 to 59</v>
      </c>
      <c r="D100" s="1011">
        <f>SUM(D98:D99)</f>
        <v>2162</v>
      </c>
      <c r="E100" s="1012">
        <f t="shared" ref="E100" si="12">(D100/F100)*100000</f>
        <v>48.212380665809548</v>
      </c>
      <c r="F100" s="1011">
        <f>SUM(F98:F99)</f>
        <v>4484325.333333334</v>
      </c>
      <c r="G100" s="1011">
        <f>SUM(G98:G99)</f>
        <v>2890</v>
      </c>
      <c r="H100" s="1012">
        <f t="shared" ref="H100" si="13">(G100/I100)*100000</f>
        <v>66.354542653419429</v>
      </c>
      <c r="I100" s="1011">
        <f>SUM(I98:I99)</f>
        <v>4355391.333333333</v>
      </c>
      <c r="J100" s="1010">
        <f t="shared" si="9"/>
        <v>8839716.6666666679</v>
      </c>
      <c r="K100" s="1010">
        <f t="shared" si="7"/>
        <v>5052</v>
      </c>
    </row>
    <row r="101" spans="1:13" x14ac:dyDescent="0.2">
      <c r="A101" s="1008" t="s">
        <v>11</v>
      </c>
      <c r="B101" s="1009">
        <v>58</v>
      </c>
      <c r="C101" s="1009" t="str">
        <f t="shared" si="8"/>
        <v>Colorectal_58</v>
      </c>
      <c r="D101" s="1011">
        <f>E101*F101/100000</f>
        <v>273.67783573333338</v>
      </c>
      <c r="E101" s="1012">
        <f>'App8d - 2YR_CRC_58_59'!Q14</f>
        <v>66.680000000000007</v>
      </c>
      <c r="F101" s="1011">
        <f>VLOOKUP(B101,'App7 - PopSize_Calcs'!$M$3:$P$40,3,FALSE)</f>
        <v>410434.66666666669</v>
      </c>
      <c r="G101" s="1011">
        <f>H101*I101/100000</f>
        <v>400.44256199999995</v>
      </c>
      <c r="H101" s="1012">
        <f>'App8d - 2YR_CRC_58_59'!D14</f>
        <v>100.44</v>
      </c>
      <c r="I101" s="1011">
        <f>VLOOKUP(B101,'App7 - PopSize_Calcs'!$M$3:$P$40,2,FALSE)</f>
        <v>398688.33333333331</v>
      </c>
      <c r="J101" s="1010">
        <f t="shared" si="9"/>
        <v>809123</v>
      </c>
      <c r="K101" s="1010">
        <f t="shared" si="7"/>
        <v>674.12039773333333</v>
      </c>
    </row>
    <row r="102" spans="1:13" x14ac:dyDescent="0.2">
      <c r="A102" s="1008" t="s">
        <v>11</v>
      </c>
      <c r="B102" s="1009">
        <v>59</v>
      </c>
      <c r="C102" s="1009" t="str">
        <f t="shared" si="8"/>
        <v>Colorectal_59</v>
      </c>
      <c r="D102" s="1011">
        <f>E102*F102/100000</f>
        <v>290.74410933333331</v>
      </c>
      <c r="E102" s="1012">
        <f>'App8d - 2YR_CRC_58_59'!Q15</f>
        <v>72.760000000000005</v>
      </c>
      <c r="F102" s="1011">
        <f>VLOOKUP(B102,'App7 - PopSize_Calcs'!$M$3:$P$40,3,FALSE)</f>
        <v>399593.33333333331</v>
      </c>
      <c r="G102" s="1011">
        <f>H102*I102/100000</f>
        <v>438.39518466666669</v>
      </c>
      <c r="H102" s="1012">
        <f>'App8d - 2YR_CRC_58_59'!D15</f>
        <v>113.18</v>
      </c>
      <c r="I102" s="1011">
        <f>VLOOKUP(B102,'App7 - PopSize_Calcs'!$M$3:$P$40,2,FALSE)</f>
        <v>387343.33333333331</v>
      </c>
      <c r="J102" s="1010">
        <f t="shared" si="9"/>
        <v>786936.66666666663</v>
      </c>
      <c r="K102" s="1010">
        <f t="shared" si="7"/>
        <v>729.13929400000006</v>
      </c>
    </row>
    <row r="103" spans="1:13" x14ac:dyDescent="0.2">
      <c r="A103" s="1008" t="s">
        <v>11</v>
      </c>
      <c r="B103" s="1009" t="s">
        <v>296</v>
      </c>
      <c r="C103" s="1009" t="str">
        <f t="shared" si="8"/>
        <v>Colorectal_58 to 59</v>
      </c>
      <c r="D103" s="1011">
        <f>SUM(D101:D102)</f>
        <v>564.42194506666669</v>
      </c>
      <c r="E103" s="1012">
        <f>D103/F103*100000</f>
        <v>69.679312945560724</v>
      </c>
      <c r="F103" s="1011">
        <f>VLOOKUP(B103,'App7 - PopSize_Calcs'!$M$3:$P$40,3,FALSE)</f>
        <v>810028</v>
      </c>
      <c r="G103" s="1011">
        <f>SUM(G101:G102)</f>
        <v>838.83774666666659</v>
      </c>
      <c r="H103" s="1012">
        <f>G103/I103*100000</f>
        <v>106.71806012904484</v>
      </c>
      <c r="I103" s="1011">
        <f>VLOOKUP(B103,'App7 - PopSize_Calcs'!$M$3:$P$40,2,FALSE)</f>
        <v>786031.66666666663</v>
      </c>
      <c r="J103" s="1010">
        <f t="shared" si="9"/>
        <v>1596059.6666666665</v>
      </c>
      <c r="K103" s="1010">
        <f t="shared" si="7"/>
        <v>1403.2596917333333</v>
      </c>
    </row>
    <row r="104" spans="1:13" x14ac:dyDescent="0.2">
      <c r="A104" s="1008" t="s">
        <v>11</v>
      </c>
      <c r="B104" s="1009" t="s">
        <v>196</v>
      </c>
      <c r="C104" s="1009" t="str">
        <f t="shared" si="8"/>
        <v>Colorectal_60 to 64</v>
      </c>
      <c r="D104" s="1011">
        <v>1672</v>
      </c>
      <c r="E104" s="1012">
        <v>91</v>
      </c>
      <c r="F104" s="1011">
        <f>VLOOKUP(B104,'App7 - PopSize_Calcs'!$M$3:$P$40,3,FALSE)</f>
        <v>1837174</v>
      </c>
      <c r="G104" s="1011">
        <v>2673</v>
      </c>
      <c r="H104" s="1012">
        <v>151.4</v>
      </c>
      <c r="I104" s="1011">
        <f>VLOOKUP(B104,'App7 - PopSize_Calcs'!$M$3:$P$40,2,FALSE)</f>
        <v>1764828</v>
      </c>
      <c r="J104" s="1010">
        <f t="shared" si="9"/>
        <v>3602002</v>
      </c>
      <c r="K104" s="1010">
        <f t="shared" si="7"/>
        <v>4345</v>
      </c>
      <c r="M104" s="14"/>
    </row>
    <row r="105" spans="1:13" x14ac:dyDescent="0.2">
      <c r="A105" s="1008" t="s">
        <v>11</v>
      </c>
      <c r="B105" s="1009" t="s">
        <v>197</v>
      </c>
      <c r="C105" s="1009" t="str">
        <f t="shared" si="8"/>
        <v>Colorectal_65 to 69</v>
      </c>
      <c r="D105" s="1011">
        <v>2151</v>
      </c>
      <c r="E105" s="1012">
        <v>119.1</v>
      </c>
      <c r="F105" s="1011">
        <f>VLOOKUP(B105,'App7 - PopSize_Calcs'!$M$3:$P$40,3,FALSE)</f>
        <v>1805190</v>
      </c>
      <c r="G105" s="1011">
        <v>3365</v>
      </c>
      <c r="H105" s="1012">
        <v>198.3</v>
      </c>
      <c r="I105" s="1011">
        <f>VLOOKUP(B105,'App7 - PopSize_Calcs'!$M$3:$P$40,2,FALSE)</f>
        <v>1696993.3333333333</v>
      </c>
      <c r="J105" s="1010">
        <f t="shared" si="9"/>
        <v>3502183.333333333</v>
      </c>
      <c r="K105" s="1010">
        <f t="shared" si="7"/>
        <v>5516</v>
      </c>
    </row>
    <row r="106" spans="1:13" x14ac:dyDescent="0.2">
      <c r="A106" s="1008" t="s">
        <v>11</v>
      </c>
      <c r="B106" s="1009" t="s">
        <v>239</v>
      </c>
      <c r="C106" s="1009" t="str">
        <f t="shared" si="8"/>
        <v>Colorectal_60 to 69</v>
      </c>
      <c r="D106" s="1011">
        <f>SUM(D104:D105)</f>
        <v>3823</v>
      </c>
      <c r="E106" s="1012">
        <f t="shared" ref="E106" si="14">(D106/F106)*100000</f>
        <v>104.95930664809997</v>
      </c>
      <c r="F106" s="1011">
        <f>SUM(F104:F105)</f>
        <v>3642364</v>
      </c>
      <c r="G106" s="1011">
        <f>SUM(G104:G105)</f>
        <v>6038</v>
      </c>
      <c r="H106" s="1012">
        <f t="shared" ref="H106" si="15">(G106/I106)*100000</f>
        <v>174.41685802386874</v>
      </c>
      <c r="I106" s="1011">
        <f>SUM(I104:I105)</f>
        <v>3461821.333333333</v>
      </c>
      <c r="J106" s="1010">
        <f t="shared" si="9"/>
        <v>7104185.333333333</v>
      </c>
      <c r="K106" s="1010">
        <f t="shared" si="7"/>
        <v>9861</v>
      </c>
    </row>
    <row r="107" spans="1:13" x14ac:dyDescent="0.2">
      <c r="A107" s="1008" t="s">
        <v>11</v>
      </c>
      <c r="B107" s="1009" t="s">
        <v>198</v>
      </c>
      <c r="C107" s="1009" t="str">
        <f t="shared" si="8"/>
        <v>Colorectal_70 to 74</v>
      </c>
      <c r="D107" s="1011">
        <v>2746</v>
      </c>
      <c r="E107" s="1012">
        <v>171.2</v>
      </c>
      <c r="F107" s="1011">
        <f>VLOOKUP(B107,'App7 - PopSize_Calcs'!$M$3:$P$40,3,FALSE)</f>
        <v>1603609.6666666667</v>
      </c>
      <c r="G107" s="1011">
        <v>4014</v>
      </c>
      <c r="H107" s="1012">
        <v>273.5</v>
      </c>
      <c r="I107" s="1011">
        <f>VLOOKUP(B107,'App7 - PopSize_Calcs'!$M$3:$P$40,2,FALSE)</f>
        <v>1467965</v>
      </c>
      <c r="J107" s="1010">
        <f t="shared" si="9"/>
        <v>3071574.666666667</v>
      </c>
      <c r="K107" s="1010">
        <f t="shared" si="7"/>
        <v>6760</v>
      </c>
    </row>
    <row r="108" spans="1:13" x14ac:dyDescent="0.2">
      <c r="A108" s="1008" t="s">
        <v>11</v>
      </c>
      <c r="B108" s="1009" t="s">
        <v>199</v>
      </c>
      <c r="C108" s="1009" t="str">
        <f t="shared" si="8"/>
        <v>Colorectal_75 to 79</v>
      </c>
      <c r="D108" s="1011">
        <v>2775</v>
      </c>
      <c r="E108" s="1012">
        <v>234.8</v>
      </c>
      <c r="F108" s="1011">
        <f>VLOOKUP(B108,'App7 - PopSize_Calcs'!$M$3:$P$40,3,FALSE)</f>
        <v>1181645.3333333333</v>
      </c>
      <c r="G108" s="1011">
        <v>3543</v>
      </c>
      <c r="H108" s="1012">
        <v>351.7</v>
      </c>
      <c r="I108" s="1011">
        <f>VLOOKUP(B108,'App7 - PopSize_Calcs'!$M$3:$P$40,2,FALSE)</f>
        <v>1007365.3333333334</v>
      </c>
      <c r="J108" s="1010">
        <f t="shared" si="9"/>
        <v>2189010.6666666665</v>
      </c>
      <c r="K108" s="1010">
        <f t="shared" si="7"/>
        <v>6318</v>
      </c>
    </row>
    <row r="109" spans="1:13" x14ac:dyDescent="0.2">
      <c r="A109" s="1008" t="s">
        <v>11</v>
      </c>
      <c r="B109" s="1009" t="s">
        <v>259</v>
      </c>
      <c r="C109" s="1009" t="str">
        <f t="shared" si="8"/>
        <v>Colorectal_80 to 84</v>
      </c>
      <c r="D109" s="1011">
        <v>2868</v>
      </c>
      <c r="E109" s="1012">
        <v>309.60000000000002</v>
      </c>
      <c r="F109" s="1011">
        <f>VLOOKUP(B109,'App7 - PopSize_Calcs'!$M$3:$P$40,3,FALSE)</f>
        <v>926371.33333333337</v>
      </c>
      <c r="G109" s="1011">
        <v>3309</v>
      </c>
      <c r="H109" s="1012">
        <v>464.7</v>
      </c>
      <c r="I109" s="1011">
        <f>VLOOKUP(B109,'App7 - PopSize_Calcs'!$M$3:$P$40,2,FALSE)</f>
        <v>712072</v>
      </c>
      <c r="J109" s="1010">
        <f t="shared" si="9"/>
        <v>1638443.3333333335</v>
      </c>
      <c r="K109" s="1010">
        <f t="shared" si="7"/>
        <v>6177</v>
      </c>
    </row>
    <row r="110" spans="1:13" x14ac:dyDescent="0.2">
      <c r="A110" s="1008" t="s">
        <v>11</v>
      </c>
      <c r="B110" s="1009" t="s">
        <v>260</v>
      </c>
      <c r="C110" s="1009" t="str">
        <f t="shared" si="8"/>
        <v>Colorectal_85 to 89</v>
      </c>
      <c r="D110" s="1011">
        <v>2177</v>
      </c>
      <c r="E110" s="1012">
        <v>352</v>
      </c>
      <c r="F110" s="1011">
        <f>VLOOKUP(B110,'App7 - PopSize_Calcs'!$M$3:$P$40,3,FALSE)</f>
        <v>618392.33333333337</v>
      </c>
      <c r="G110" s="1011">
        <v>1970</v>
      </c>
      <c r="H110" s="1012">
        <v>503</v>
      </c>
      <c r="I110" s="1011">
        <f>VLOOKUP(B110,'App7 - PopSize_Calcs'!$M$3:$P$40,2,FALSE)</f>
        <v>391702</v>
      </c>
      <c r="J110" s="1010">
        <f t="shared" si="9"/>
        <v>1010094.3333333334</v>
      </c>
      <c r="K110" s="1010">
        <f t="shared" si="7"/>
        <v>4147</v>
      </c>
    </row>
    <row r="111" spans="1:13" x14ac:dyDescent="0.2">
      <c r="A111" s="1008" t="s">
        <v>11</v>
      </c>
      <c r="B111" s="1009">
        <v>90</v>
      </c>
      <c r="C111" s="1009" t="str">
        <f t="shared" si="8"/>
        <v>Colorectal_90</v>
      </c>
      <c r="D111" s="1011">
        <v>1173</v>
      </c>
      <c r="E111" s="1012">
        <v>293</v>
      </c>
      <c r="F111" s="1011">
        <f>VLOOKUP(B111,'App7 - PopSize_Calcs'!$M$3:$P$40,3,FALSE)</f>
        <v>400463.66666666669</v>
      </c>
      <c r="G111" s="1011">
        <v>789</v>
      </c>
      <c r="H111" s="1012">
        <v>443.5</v>
      </c>
      <c r="I111" s="1011">
        <f>VLOOKUP(B111,'App7 - PopSize_Calcs'!$M$3:$P$40,2,FALSE)</f>
        <v>177884.66666666666</v>
      </c>
      <c r="J111" s="1010">
        <f t="shared" si="9"/>
        <v>578348.33333333337</v>
      </c>
      <c r="K111" s="1010">
        <f t="shared" si="7"/>
        <v>1962</v>
      </c>
    </row>
    <row r="112" spans="1:13" x14ac:dyDescent="0.2">
      <c r="A112" s="1008" t="s">
        <v>11</v>
      </c>
      <c r="B112" s="1009" t="s">
        <v>204</v>
      </c>
      <c r="C112" s="1009" t="str">
        <f t="shared" si="8"/>
        <v>Colorectal_Total 40-79</v>
      </c>
      <c r="D112" s="1011">
        <f>VLOOKUP("colorectal_40 to 44",C:H,2,FALSE)+VLOOKUP("colorectal_45 to 49",C:H,2,FALSE)+VLOOKUP("colorectal_50 to 54",C:H,2,FALSE)+VLOOKUP("colorectal_55 to 59",C:H,2,FALSE)+VLOOKUP("colorectal_60 to 64",C:H,2,FALSE)+VLOOKUP("colorectal_65 to 69",C:H,2,FALSE)+VLOOKUP("colorectal_70 to 74",C:H,2,FALSE)+VLOOKUP("colorectal_75 to 79",C:H,2,FALSE)</f>
        <v>12281</v>
      </c>
      <c r="E112" s="1012">
        <f t="shared" ref="E112:E118" si="16">(D112/F112)*100000</f>
        <v>80.364374337399624</v>
      </c>
      <c r="F112" s="1011">
        <f>VLOOKUP(B112,'App7 - PopSize_Calcs'!$M$3:$P$40,3,FALSE)</f>
        <v>15281647</v>
      </c>
      <c r="G112" s="1012">
        <f>VLOOKUP("colorectal_40 to 44",C:H,5,FALSE)+VLOOKUP("colorectal_45 to 49",C:H,5,FALSE)+VLOOKUP("colorectal_50 to 54",C:H,5,FALSE)+VLOOKUP("colorectal_55 to 59",C:H,5,FALSE)+VLOOKUP("colorectal_60 to 64",C:H,5,FALSE)+VLOOKUP("colorectal_65 to 69",C:H,5,FALSE)+VLOOKUP("colorectal_70 to 74",C:H,5,FALSE)+VLOOKUP("colorectal_75 to 79",C:H,5,FALSE)</f>
        <v>17327</v>
      </c>
      <c r="H112" s="1012">
        <f t="shared" ref="H112:H118" si="17">(G112/I112)*100000</f>
        <v>118.95830504657053</v>
      </c>
      <c r="I112" s="1011">
        <f>VLOOKUP(B112,'App7 - PopSize_Calcs'!$M$3:$P$40,2,FALSE)</f>
        <v>14565607.666666668</v>
      </c>
      <c r="J112" s="1010">
        <f t="shared" si="9"/>
        <v>29847254.666666668</v>
      </c>
      <c r="K112" s="1010">
        <f t="shared" si="7"/>
        <v>29608</v>
      </c>
    </row>
    <row r="113" spans="1:11" x14ac:dyDescent="0.2">
      <c r="A113" s="1008" t="s">
        <v>11</v>
      </c>
      <c r="B113" s="1008" t="s">
        <v>200</v>
      </c>
      <c r="C113" s="1009" t="str">
        <f t="shared" si="8"/>
        <v>Colorectal_Total 40-69</v>
      </c>
      <c r="D113" s="1011">
        <f>VLOOKUP("colorectal_40 to 44",C:H,2,FALSE)+VLOOKUP("colorectal_45 to 49",C:H,2,FALSE)+VLOOKUP("colorectal_50 to 54",C:H,2,FALSE)+VLOOKUP("colorectal_55 to 59",C:H,2,FALSE)+VLOOKUP("colorectal_60 to 64",C:H,2,FALSE)+VLOOKUP("colorectal_65 to 69",C:H,2,FALSE)</f>
        <v>6760</v>
      </c>
      <c r="E113" s="1012">
        <f t="shared" si="16"/>
        <v>54.095614158070582</v>
      </c>
      <c r="F113" s="1011">
        <f>VLOOKUP(B113,'App7 - PopSize_Calcs'!$M$3:$P$40,3,FALSE)</f>
        <v>12496392</v>
      </c>
      <c r="G113" s="1012">
        <f>VLOOKUP("colorectal_40 to 44",C:H,5,FALSE)+VLOOKUP("colorectal_45 to 49",C:H,5,FALSE)+VLOOKUP("colorectal_50 to 54",C:H,5,FALSE)+VLOOKUP("colorectal_55 to 59",C:H,5,FALSE)+VLOOKUP("colorectal_60 to 64",C:H,5,FALSE)+VLOOKUP("colorectal_65 to 69",C:H,5,FALSE)</f>
        <v>9770</v>
      </c>
      <c r="H113" s="1012">
        <f t="shared" si="17"/>
        <v>80.808733585157356</v>
      </c>
      <c r="I113" s="1011">
        <f>VLOOKUP(B113,'App7 - PopSize_Calcs'!$M$3:$P$40,2,FALSE)</f>
        <v>12090277.333333334</v>
      </c>
      <c r="J113" s="1010">
        <f t="shared" si="9"/>
        <v>24586669.333333336</v>
      </c>
      <c r="K113" s="1010">
        <f t="shared" si="7"/>
        <v>16530</v>
      </c>
    </row>
    <row r="114" spans="1:11" x14ac:dyDescent="0.2">
      <c r="A114" s="1008" t="s">
        <v>11</v>
      </c>
      <c r="B114" s="1008" t="s">
        <v>201</v>
      </c>
      <c r="C114" s="1009" t="str">
        <f t="shared" si="8"/>
        <v>Colorectal_Total 40-49</v>
      </c>
      <c r="D114" s="1011">
        <f>VLOOKUP("colorectal_40 to 44",C:H,2,FALSE)+VLOOKUP("colorectal_45 to 49",C:H,2,FALSE)</f>
        <v>775</v>
      </c>
      <c r="E114" s="1012">
        <f t="shared" si="16"/>
        <v>17.735760510936363</v>
      </c>
      <c r="F114" s="1011">
        <f>VLOOKUP(B114,'App7 - PopSize_Calcs'!$M$3:$P$40,3,FALSE)</f>
        <v>4369702.666666667</v>
      </c>
      <c r="G114" s="1012">
        <f>VLOOKUP("colorectal_40 to 44",C:H,5,FALSE)+VLOOKUP("colorectal_45 to 49",C:H,5,FALSE)</f>
        <v>842</v>
      </c>
      <c r="H114" s="1012">
        <f t="shared" si="17"/>
        <v>19.704826996143439</v>
      </c>
      <c r="I114" s="1011">
        <f>VLOOKUP(B114,'App7 - PopSize_Calcs'!$M$3:$P$40,2,FALSE)</f>
        <v>4273064.666666667</v>
      </c>
      <c r="J114" s="1010">
        <f t="shared" si="9"/>
        <v>8642767.333333334</v>
      </c>
      <c r="K114" s="1010">
        <f t="shared" si="7"/>
        <v>1617</v>
      </c>
    </row>
    <row r="115" spans="1:11" x14ac:dyDescent="0.2">
      <c r="A115" s="1008" t="s">
        <v>11</v>
      </c>
      <c r="B115" s="1008" t="s">
        <v>202</v>
      </c>
      <c r="C115" s="1009" t="str">
        <f t="shared" si="8"/>
        <v>Colorectal_Total 50-59</v>
      </c>
      <c r="D115" s="1011">
        <f>VLOOKUP("colorectal_50 to 54",C:H,2,FALSE)+VLOOKUP("colorectal_55 to 59",C:H,2,FALSE)</f>
        <v>2162</v>
      </c>
      <c r="E115" s="1012">
        <f t="shared" si="16"/>
        <v>48.212380665809548</v>
      </c>
      <c r="F115" s="1011">
        <f>VLOOKUP(B115,'App7 - PopSize_Calcs'!$M$3:$P$40,3,FALSE)</f>
        <v>4484325.333333334</v>
      </c>
      <c r="G115" s="1012">
        <f>VLOOKUP("colorectal_50 to 54",C:H,5,FALSE)+VLOOKUP("colorectal_55 to 59",C:H,5,FALSE)</f>
        <v>2890</v>
      </c>
      <c r="H115" s="1012">
        <f t="shared" si="17"/>
        <v>66.354542653419429</v>
      </c>
      <c r="I115" s="1011">
        <f>VLOOKUP(B115,'App7 - PopSize_Calcs'!$M$3:$P$40,2,FALSE)</f>
        <v>4355391.333333333</v>
      </c>
      <c r="J115" s="1010">
        <f t="shared" si="9"/>
        <v>8839716.6666666679</v>
      </c>
      <c r="K115" s="1010">
        <f t="shared" si="7"/>
        <v>5052</v>
      </c>
    </row>
    <row r="116" spans="1:11" x14ac:dyDescent="0.2">
      <c r="A116" s="1008" t="s">
        <v>11</v>
      </c>
      <c r="B116" s="1008" t="s">
        <v>203</v>
      </c>
      <c r="C116" s="1009" t="str">
        <f t="shared" si="8"/>
        <v>Colorectal_Total 50-69</v>
      </c>
      <c r="D116" s="1011">
        <f>VLOOKUP("colorectal_50 to 54",C:H,2,FALSE)+VLOOKUP("colorectal_55 to 59",C:H,2,FALSE)+VLOOKUP("colorectal_60 to 64",C:H,2,FALSE)+VLOOKUP("colorectal_65 to 69",C:H,2,FALSE)</f>
        <v>5985</v>
      </c>
      <c r="E116" s="1012">
        <f t="shared" si="16"/>
        <v>73.646226089279153</v>
      </c>
      <c r="F116" s="1011">
        <f>VLOOKUP(B116,'App7 - PopSize_Calcs'!$M$3:$P$40,3,FALSE)</f>
        <v>8126689.333333334</v>
      </c>
      <c r="G116" s="1012">
        <f>VLOOKUP("colorectal_50 to 54",C:H,5,FALSE)+VLOOKUP("colorectal_55 to 59",C:H,5,FALSE)+VLOOKUP("colorectal_60 to 64",C:H,5,FALSE)+VLOOKUP("colorectal_65 to 69",C:H,5,FALSE)</f>
        <v>8928</v>
      </c>
      <c r="H116" s="1012">
        <f t="shared" si="17"/>
        <v>114.20950638927653</v>
      </c>
      <c r="I116" s="1011">
        <f>VLOOKUP(B116,'App7 - PopSize_Calcs'!$M$3:$P$40,2,FALSE)</f>
        <v>7817212.666666666</v>
      </c>
      <c r="J116" s="1010">
        <f t="shared" si="9"/>
        <v>15943902</v>
      </c>
      <c r="K116" s="1010">
        <f t="shared" si="7"/>
        <v>14913</v>
      </c>
    </row>
    <row r="117" spans="1:11" x14ac:dyDescent="0.2">
      <c r="A117" s="1008" t="s">
        <v>11</v>
      </c>
      <c r="B117" s="1008" t="s">
        <v>272</v>
      </c>
      <c r="C117" s="1009" t="str">
        <f t="shared" si="8"/>
        <v>Colorectal_Total 60-69</v>
      </c>
      <c r="D117" s="1011">
        <f>VLOOKUP("colorectal_60 to 64",C:H,2,FALSE)+VLOOKUP("colorectal_65 to 69",C:H,2,FALSE)</f>
        <v>3823</v>
      </c>
      <c r="E117" s="1012">
        <f t="shared" si="16"/>
        <v>104.95930664809997</v>
      </c>
      <c r="F117" s="1011">
        <f>VLOOKUP(B117,'App7 - PopSize_Calcs'!$M$3:$P$40,3,FALSE)</f>
        <v>3642364</v>
      </c>
      <c r="G117" s="1012">
        <f>VLOOKUP("colorectal_60 to 64",C:H,5,FALSE)+VLOOKUP("colorectal_65 to 69",C:H,5,FALSE)</f>
        <v>6038</v>
      </c>
      <c r="H117" s="1012">
        <f t="shared" si="17"/>
        <v>174.41685802386874</v>
      </c>
      <c r="I117" s="1011">
        <f>VLOOKUP(B117,'App7 - PopSize_Calcs'!$M$3:$P$40,2,FALSE)</f>
        <v>3461821.333333333</v>
      </c>
      <c r="J117" s="1010">
        <f t="shared" si="9"/>
        <v>7104185.333333333</v>
      </c>
      <c r="K117" s="1010">
        <f t="shared" si="7"/>
        <v>9861</v>
      </c>
    </row>
    <row r="118" spans="1:11" x14ac:dyDescent="0.2">
      <c r="A118" s="1008" t="s">
        <v>11</v>
      </c>
      <c r="B118" s="1008" t="s">
        <v>292</v>
      </c>
      <c r="C118" s="1009" t="str">
        <f t="shared" ref="C118" si="18">A118&amp;"_"&amp;B118</f>
        <v>Colorectal_Total 60-74</v>
      </c>
      <c r="D118" s="1011">
        <f>VLOOKUP("colorectal_60 to 64",C:H,2,FALSE)+VLOOKUP("colorectal_65 to 69",C:H,2,FALSE)+VLOOKUP("colorectal_70 to 74",C:H,2,FALSE)</f>
        <v>6569</v>
      </c>
      <c r="E118" s="1012">
        <f t="shared" si="16"/>
        <v>125.21984320546531</v>
      </c>
      <c r="F118" s="1011">
        <f>VLOOKUP(B118,'App7 - PopSize_Calcs'!$M$3:$P$40,3,FALSE)</f>
        <v>5245973.666666667</v>
      </c>
      <c r="G118" s="1011">
        <f>VLOOKUP("colorectal_60 to 64",C:K,5,FALSE)+VLOOKUP("colorectal_65 to 69",C:K,5,FALSE)+VLOOKUP("colorectal_70 to 74",C:K,5,FALSE)</f>
        <v>10052</v>
      </c>
      <c r="H118" s="1012">
        <f t="shared" si="17"/>
        <v>203.90336051751802</v>
      </c>
      <c r="I118" s="1011">
        <f>VLOOKUP(B118,'App7 - PopSize_Calcs'!$M$3:$P$40,2,FALSE)</f>
        <v>4929786.333333333</v>
      </c>
      <c r="J118" s="1010">
        <v>8881256.9603638444</v>
      </c>
      <c r="K118" s="1010">
        <f t="shared" si="7"/>
        <v>16621</v>
      </c>
    </row>
    <row r="119" spans="1:11" x14ac:dyDescent="0.2">
      <c r="A119" s="1008" t="s">
        <v>11</v>
      </c>
      <c r="B119" s="1008" t="s">
        <v>261</v>
      </c>
      <c r="C119" s="1009" t="str">
        <f t="shared" si="8"/>
        <v>Colorectal_Total (All ages)</v>
      </c>
      <c r="D119" s="1013">
        <v>19007</v>
      </c>
      <c r="E119" s="1014">
        <v>56.5</v>
      </c>
      <c r="F119" s="1011">
        <f>VLOOKUP(B119,'App7 - PopSize_Calcs'!$M$3:$P$40,3,FALSE)</f>
        <v>33458051.999999996</v>
      </c>
      <c r="G119" s="1013">
        <v>23878</v>
      </c>
      <c r="H119" s="1014">
        <v>84.5</v>
      </c>
      <c r="I119" s="1011">
        <f>VLOOKUP(B119,'App7 - PopSize_Calcs'!$M$3:$P$40,2,FALSE)</f>
        <v>32583225.666666668</v>
      </c>
      <c r="J119" s="1010">
        <f t="shared" si="9"/>
        <v>66041277.666666664</v>
      </c>
      <c r="K119" s="1010">
        <f t="shared" si="7"/>
        <v>42885</v>
      </c>
    </row>
    <row r="120" spans="1:11" x14ac:dyDescent="0.2">
      <c r="A120" s="1008" t="s">
        <v>14</v>
      </c>
      <c r="B120" s="1009" t="s">
        <v>251</v>
      </c>
      <c r="C120" s="1009" t="str">
        <f t="shared" si="8"/>
        <v>Kidney_0 to 04</v>
      </c>
      <c r="D120" s="1011">
        <v>38</v>
      </c>
      <c r="E120" s="1012">
        <v>2</v>
      </c>
      <c r="F120" s="1011">
        <f>VLOOKUP(B120,'App7 - PopSize_Calcs'!$M$3:$P$40,3,FALSE)</f>
        <v>1930786.3333333333</v>
      </c>
      <c r="G120" s="1011">
        <v>39</v>
      </c>
      <c r="H120" s="1012">
        <v>1.9</v>
      </c>
      <c r="I120" s="1011">
        <f>VLOOKUP(B120,'App7 - PopSize_Calcs'!$M$3:$P$40,2,FALSE)</f>
        <v>2032241.3333333333</v>
      </c>
      <c r="J120" s="1010">
        <f t="shared" si="9"/>
        <v>3963027.6666666665</v>
      </c>
      <c r="K120" s="1010">
        <f t="shared" si="7"/>
        <v>77</v>
      </c>
    </row>
    <row r="121" spans="1:11" x14ac:dyDescent="0.2">
      <c r="A121" s="1008" t="s">
        <v>14</v>
      </c>
      <c r="B121" s="1009" t="s">
        <v>252</v>
      </c>
      <c r="C121" s="1009" t="str">
        <f t="shared" si="8"/>
        <v>Kidney_05 to 09</v>
      </c>
      <c r="D121" s="1011">
        <v>15</v>
      </c>
      <c r="E121" s="1012">
        <v>0.8</v>
      </c>
      <c r="F121" s="1011">
        <f>VLOOKUP(B121,'App7 - PopSize_Calcs'!$M$3:$P$40,3,FALSE)</f>
        <v>1999676.3333333333</v>
      </c>
      <c r="G121" s="1011">
        <v>8</v>
      </c>
      <c r="H121" s="1012">
        <v>0.4</v>
      </c>
      <c r="I121" s="1011">
        <f>VLOOKUP(B121,'App7 - PopSize_Calcs'!$M$3:$P$40,2,FALSE)</f>
        <v>2096799</v>
      </c>
      <c r="J121" s="1010">
        <f t="shared" si="9"/>
        <v>4096475.333333333</v>
      </c>
      <c r="K121" s="1010">
        <f t="shared" si="7"/>
        <v>23</v>
      </c>
    </row>
    <row r="122" spans="1:11" x14ac:dyDescent="0.2">
      <c r="A122" s="1008" t="s">
        <v>14</v>
      </c>
      <c r="B122" s="1009" t="s">
        <v>253</v>
      </c>
      <c r="C122" s="1009" t="str">
        <f t="shared" si="8"/>
        <v>Kidney_10 to 14</v>
      </c>
      <c r="D122" s="1011">
        <v>5</v>
      </c>
      <c r="E122" s="1012">
        <v>0.3</v>
      </c>
      <c r="F122" s="1011">
        <f>VLOOKUP(B122,'App7 - PopSize_Calcs'!$M$3:$P$40,3,FALSE)</f>
        <v>1823411.3333333333</v>
      </c>
      <c r="G122" s="1011">
        <v>3</v>
      </c>
      <c r="H122" s="1012">
        <v>0.1</v>
      </c>
      <c r="I122" s="1011">
        <f>VLOOKUP(B122,'App7 - PopSize_Calcs'!$M$3:$P$40,2,FALSE)</f>
        <v>1915702.6666666667</v>
      </c>
      <c r="J122" s="1010">
        <f t="shared" si="9"/>
        <v>3739114</v>
      </c>
      <c r="K122" s="1010">
        <f t="shared" si="7"/>
        <v>8</v>
      </c>
    </row>
    <row r="123" spans="1:11" x14ac:dyDescent="0.2">
      <c r="A123" s="1008" t="s">
        <v>14</v>
      </c>
      <c r="B123" s="1009" t="s">
        <v>254</v>
      </c>
      <c r="C123" s="1009" t="str">
        <f t="shared" si="8"/>
        <v>Kidney_15 to 19</v>
      </c>
      <c r="D123" s="1011">
        <v>3</v>
      </c>
      <c r="E123" s="1012">
        <v>0.2</v>
      </c>
      <c r="F123" s="1011">
        <f>VLOOKUP(B123,'App7 - PopSize_Calcs'!$M$3:$P$40,3,FALSE)</f>
        <v>1808992</v>
      </c>
      <c r="G123" s="1011">
        <v>2</v>
      </c>
      <c r="H123" s="1012">
        <v>0.1</v>
      </c>
      <c r="I123" s="1011">
        <f>VLOOKUP(B123,'App7 - PopSize_Calcs'!$M$3:$P$40,2,FALSE)</f>
        <v>1908478.6666666667</v>
      </c>
      <c r="J123" s="1010">
        <f t="shared" si="9"/>
        <v>3717470.666666667</v>
      </c>
      <c r="K123" s="1010">
        <f t="shared" si="7"/>
        <v>5</v>
      </c>
    </row>
    <row r="124" spans="1:11" x14ac:dyDescent="0.2">
      <c r="A124" s="1008" t="s">
        <v>14</v>
      </c>
      <c r="B124" s="1009" t="s">
        <v>255</v>
      </c>
      <c r="C124" s="1009" t="str">
        <f t="shared" si="8"/>
        <v>Kidney_20 to 24</v>
      </c>
      <c r="D124" s="1011">
        <v>5</v>
      </c>
      <c r="E124" s="1012">
        <v>0.2</v>
      </c>
      <c r="F124" s="1011">
        <f>VLOOKUP(B124,'App7 - PopSize_Calcs'!$M$3:$P$40,3,FALSE)</f>
        <v>2053200.6666666667</v>
      </c>
      <c r="G124" s="1011">
        <v>6</v>
      </c>
      <c r="H124" s="1012">
        <v>0.3</v>
      </c>
      <c r="I124" s="1011">
        <f>VLOOKUP(B124,'App7 - PopSize_Calcs'!$M$3:$P$40,2,FALSE)</f>
        <v>2161986</v>
      </c>
      <c r="J124" s="1010">
        <f t="shared" si="9"/>
        <v>4215186.666666667</v>
      </c>
      <c r="K124" s="1010">
        <f t="shared" si="7"/>
        <v>11</v>
      </c>
    </row>
    <row r="125" spans="1:11" x14ac:dyDescent="0.2">
      <c r="A125" s="1008" t="s">
        <v>14</v>
      </c>
      <c r="B125" s="1009" t="s">
        <v>256</v>
      </c>
      <c r="C125" s="1009" t="str">
        <f t="shared" si="8"/>
        <v>Kidney_25 to 29</v>
      </c>
      <c r="D125" s="1011">
        <v>16</v>
      </c>
      <c r="E125" s="1012">
        <v>0.7</v>
      </c>
      <c r="F125" s="1011">
        <f>VLOOKUP(B125,'App7 - PopSize_Calcs'!$M$3:$P$40,3,FALSE)</f>
        <v>2239266</v>
      </c>
      <c r="G125" s="1011">
        <v>18</v>
      </c>
      <c r="H125" s="1012">
        <v>0.8</v>
      </c>
      <c r="I125" s="1011">
        <f>VLOOKUP(B125,'App7 - PopSize_Calcs'!$M$3:$P$40,2,FALSE)</f>
        <v>2287337.6666666665</v>
      </c>
      <c r="J125" s="1010">
        <f t="shared" si="9"/>
        <v>4526603.666666666</v>
      </c>
      <c r="K125" s="1010">
        <f t="shared" si="7"/>
        <v>34</v>
      </c>
    </row>
    <row r="126" spans="1:11" x14ac:dyDescent="0.2">
      <c r="A126" s="1008" t="s">
        <v>14</v>
      </c>
      <c r="B126" s="1009" t="s">
        <v>257</v>
      </c>
      <c r="C126" s="1009" t="str">
        <f t="shared" si="8"/>
        <v>Kidney_30 to 34</v>
      </c>
      <c r="D126" s="1011">
        <v>36</v>
      </c>
      <c r="E126" s="1012">
        <v>1.6</v>
      </c>
      <c r="F126" s="1011">
        <f>VLOOKUP(B126,'App7 - PopSize_Calcs'!$M$3:$P$40,3,FALSE)</f>
        <v>2222400.3333333335</v>
      </c>
      <c r="G126" s="1011">
        <v>49</v>
      </c>
      <c r="H126" s="1012">
        <v>2.2000000000000002</v>
      </c>
      <c r="I126" s="1011">
        <f>VLOOKUP(B126,'App7 - PopSize_Calcs'!$M$3:$P$40,2,FALSE)</f>
        <v>2208867.6666666665</v>
      </c>
      <c r="J126" s="1010">
        <f t="shared" si="9"/>
        <v>4431268</v>
      </c>
      <c r="K126" s="1010">
        <f t="shared" si="7"/>
        <v>85</v>
      </c>
    </row>
    <row r="127" spans="1:11" x14ac:dyDescent="0.2">
      <c r="A127" s="1008" t="s">
        <v>14</v>
      </c>
      <c r="B127" s="1009" t="s">
        <v>258</v>
      </c>
      <c r="C127" s="1009" t="str">
        <f t="shared" si="8"/>
        <v>Kidney_35 to 39</v>
      </c>
      <c r="D127" s="1011">
        <v>61</v>
      </c>
      <c r="E127" s="1012">
        <v>2.8</v>
      </c>
      <c r="F127" s="1011">
        <f>VLOOKUP(B127,'App7 - PopSize_Calcs'!$M$3:$P$40,3,FALSE)</f>
        <v>2153444.6666666665</v>
      </c>
      <c r="G127" s="1011">
        <v>94</v>
      </c>
      <c r="H127" s="1012">
        <v>4.4000000000000004</v>
      </c>
      <c r="I127" s="1011">
        <f>VLOOKUP(B127,'App7 - PopSize_Calcs'!$M$3:$P$40,2,FALSE)</f>
        <v>2124546.3333333335</v>
      </c>
      <c r="J127" s="1010">
        <f t="shared" si="9"/>
        <v>4277991</v>
      </c>
      <c r="K127" s="1010">
        <f t="shared" si="7"/>
        <v>155</v>
      </c>
    </row>
    <row r="128" spans="1:11" x14ac:dyDescent="0.2">
      <c r="A128" s="1008" t="s">
        <v>14</v>
      </c>
      <c r="B128" s="1009" t="s">
        <v>192</v>
      </c>
      <c r="C128" s="1009" t="str">
        <f t="shared" si="8"/>
        <v>Kidney_40 to 44</v>
      </c>
      <c r="D128" s="1011">
        <v>102</v>
      </c>
      <c r="E128" s="1012">
        <v>5</v>
      </c>
      <c r="F128" s="1011">
        <f>VLOOKUP(B128,'App7 - PopSize_Calcs'!$M$3:$P$40,3,FALSE)</f>
        <v>2054223.3333333333</v>
      </c>
      <c r="G128" s="1011">
        <v>205</v>
      </c>
      <c r="H128" s="1012">
        <v>10.1</v>
      </c>
      <c r="I128" s="1011">
        <f>VLOOKUP(B128,'App7 - PopSize_Calcs'!$M$3:$P$40,2,FALSE)</f>
        <v>2021384.6666666667</v>
      </c>
      <c r="J128" s="1010">
        <f t="shared" si="9"/>
        <v>4075608</v>
      </c>
      <c r="K128" s="1010">
        <f t="shared" si="7"/>
        <v>307</v>
      </c>
    </row>
    <row r="129" spans="1:11" x14ac:dyDescent="0.2">
      <c r="A129" s="1008" t="s">
        <v>14</v>
      </c>
      <c r="B129" s="1009" t="s">
        <v>193</v>
      </c>
      <c r="C129" s="1009" t="str">
        <f t="shared" si="8"/>
        <v>Kidney_45 to 49</v>
      </c>
      <c r="D129" s="1011">
        <v>181</v>
      </c>
      <c r="E129" s="1012">
        <v>7.8</v>
      </c>
      <c r="F129" s="1011">
        <f>VLOOKUP(B129,'App7 - PopSize_Calcs'!$M$3:$P$40,3,FALSE)</f>
        <v>2315479.3333333335</v>
      </c>
      <c r="G129" s="1011">
        <v>399</v>
      </c>
      <c r="H129" s="1012">
        <v>17.7</v>
      </c>
      <c r="I129" s="1011">
        <f>VLOOKUP(B129,'App7 - PopSize_Calcs'!$M$3:$P$40,2,FALSE)</f>
        <v>2251680</v>
      </c>
      <c r="J129" s="1010">
        <f t="shared" si="9"/>
        <v>4567159.333333334</v>
      </c>
      <c r="K129" s="1010">
        <f t="shared" si="7"/>
        <v>580</v>
      </c>
    </row>
    <row r="130" spans="1:11" x14ac:dyDescent="0.2">
      <c r="A130" s="1008" t="s">
        <v>14</v>
      </c>
      <c r="B130" s="1009" t="s">
        <v>194</v>
      </c>
      <c r="C130" s="1009" t="str">
        <f t="shared" si="8"/>
        <v>Kidney_50 to 54</v>
      </c>
      <c r="D130" s="1011">
        <v>301</v>
      </c>
      <c r="E130" s="1012">
        <v>12.7</v>
      </c>
      <c r="F130" s="1011">
        <f>VLOOKUP(B130,'App7 - PopSize_Calcs'!$M$3:$P$40,3,FALSE)</f>
        <v>2364638</v>
      </c>
      <c r="G130" s="1011">
        <v>614</v>
      </c>
      <c r="H130" s="1012">
        <v>26.8</v>
      </c>
      <c r="I130" s="1011">
        <f>VLOOKUP(B130,'App7 - PopSize_Calcs'!$M$3:$P$40,2,FALSE)</f>
        <v>2293472.6666666665</v>
      </c>
      <c r="J130" s="1010">
        <f t="shared" si="9"/>
        <v>4658110.666666666</v>
      </c>
      <c r="K130" s="1010">
        <f t="shared" si="7"/>
        <v>915</v>
      </c>
    </row>
    <row r="131" spans="1:11" x14ac:dyDescent="0.2">
      <c r="A131" s="1008" t="s">
        <v>14</v>
      </c>
      <c r="B131" s="1009" t="s">
        <v>195</v>
      </c>
      <c r="C131" s="1009" t="str">
        <f t="shared" si="8"/>
        <v>Kidney_55 to 59</v>
      </c>
      <c r="D131" s="1011">
        <v>395</v>
      </c>
      <c r="E131" s="1012">
        <v>18.600000000000001</v>
      </c>
      <c r="F131" s="1011">
        <f>VLOOKUP(B131,'App7 - PopSize_Calcs'!$M$3:$P$40,3,FALSE)</f>
        <v>2119687.3333333335</v>
      </c>
      <c r="G131" s="1011">
        <v>765</v>
      </c>
      <c r="H131" s="1012">
        <v>37.1</v>
      </c>
      <c r="I131" s="1011">
        <f>VLOOKUP(B131,'App7 - PopSize_Calcs'!$M$3:$P$40,2,FALSE)</f>
        <v>2061918.6666666667</v>
      </c>
      <c r="J131" s="1010">
        <f t="shared" si="9"/>
        <v>4181606</v>
      </c>
      <c r="K131" s="1010">
        <f t="shared" ref="K131:K194" si="19">SUM(D131,G131)</f>
        <v>1160</v>
      </c>
    </row>
    <row r="132" spans="1:11" x14ac:dyDescent="0.2">
      <c r="A132" s="1008" t="s">
        <v>14</v>
      </c>
      <c r="B132" s="1009" t="s">
        <v>196</v>
      </c>
      <c r="C132" s="1009" t="str">
        <f t="shared" si="8"/>
        <v>Kidney_60 to 64</v>
      </c>
      <c r="D132" s="1011">
        <v>481</v>
      </c>
      <c r="E132" s="1012">
        <v>26.2</v>
      </c>
      <c r="F132" s="1011">
        <f>VLOOKUP(B132,'App7 - PopSize_Calcs'!$M$3:$P$40,3,FALSE)</f>
        <v>1837174</v>
      </c>
      <c r="G132" s="1011">
        <v>948</v>
      </c>
      <c r="H132" s="1012">
        <v>53.7</v>
      </c>
      <c r="I132" s="1011">
        <f>VLOOKUP(B132,'App7 - PopSize_Calcs'!$M$3:$P$40,2,FALSE)</f>
        <v>1764828</v>
      </c>
      <c r="J132" s="1010">
        <f t="shared" si="9"/>
        <v>3602002</v>
      </c>
      <c r="K132" s="1010">
        <f t="shared" si="19"/>
        <v>1429</v>
      </c>
    </row>
    <row r="133" spans="1:11" x14ac:dyDescent="0.2">
      <c r="A133" s="1008" t="s">
        <v>14</v>
      </c>
      <c r="B133" s="1009" t="s">
        <v>197</v>
      </c>
      <c r="C133" s="1009" t="str">
        <f t="shared" si="8"/>
        <v>Kidney_65 to 69</v>
      </c>
      <c r="D133" s="1011">
        <v>656</v>
      </c>
      <c r="E133" s="1012">
        <v>36.4</v>
      </c>
      <c r="F133" s="1011">
        <f>VLOOKUP(B133,'App7 - PopSize_Calcs'!$M$3:$P$40,3,FALSE)</f>
        <v>1805190</v>
      </c>
      <c r="G133" s="1011">
        <v>1255</v>
      </c>
      <c r="H133" s="1012">
        <v>73.900000000000006</v>
      </c>
      <c r="I133" s="1011">
        <f>VLOOKUP(B133,'App7 - PopSize_Calcs'!$M$3:$P$40,2,FALSE)</f>
        <v>1696993.3333333333</v>
      </c>
      <c r="J133" s="1010">
        <f t="shared" si="9"/>
        <v>3502183.333333333</v>
      </c>
      <c r="K133" s="1010">
        <f t="shared" si="19"/>
        <v>1911</v>
      </c>
    </row>
    <row r="134" spans="1:11" x14ac:dyDescent="0.2">
      <c r="A134" s="1008" t="s">
        <v>14</v>
      </c>
      <c r="B134" s="1009" t="s">
        <v>198</v>
      </c>
      <c r="C134" s="1009" t="str">
        <f t="shared" si="8"/>
        <v>Kidney_70 to 74</v>
      </c>
      <c r="D134" s="1011">
        <v>724</v>
      </c>
      <c r="E134" s="1012">
        <v>45.1</v>
      </c>
      <c r="F134" s="1011">
        <f>VLOOKUP(B134,'App7 - PopSize_Calcs'!$M$3:$P$40,3,FALSE)</f>
        <v>1603609.6666666667</v>
      </c>
      <c r="G134" s="1011">
        <v>1339</v>
      </c>
      <c r="H134" s="1012">
        <v>91.2</v>
      </c>
      <c r="I134" s="1011">
        <f>VLOOKUP(B134,'App7 - PopSize_Calcs'!$M$3:$P$40,2,FALSE)</f>
        <v>1467965</v>
      </c>
      <c r="J134" s="1010">
        <f t="shared" si="9"/>
        <v>3071574.666666667</v>
      </c>
      <c r="K134" s="1010">
        <f t="shared" si="19"/>
        <v>2063</v>
      </c>
    </row>
    <row r="135" spans="1:11" x14ac:dyDescent="0.2">
      <c r="A135" s="1008" t="s">
        <v>14</v>
      </c>
      <c r="B135" s="1009" t="s">
        <v>199</v>
      </c>
      <c r="C135" s="1009" t="str">
        <f t="shared" si="8"/>
        <v>Kidney_75 to 79</v>
      </c>
      <c r="D135" s="1011">
        <v>676</v>
      </c>
      <c r="E135" s="1012">
        <v>57.2</v>
      </c>
      <c r="F135" s="1011">
        <f>VLOOKUP(B135,'App7 - PopSize_Calcs'!$M$3:$P$40,3,FALSE)</f>
        <v>1181645.3333333333</v>
      </c>
      <c r="G135" s="1011">
        <v>1109</v>
      </c>
      <c r="H135" s="1012">
        <v>110.1</v>
      </c>
      <c r="I135" s="1011">
        <f>VLOOKUP(B135,'App7 - PopSize_Calcs'!$M$3:$P$40,2,FALSE)</f>
        <v>1007365.3333333334</v>
      </c>
      <c r="J135" s="1010">
        <f t="shared" si="9"/>
        <v>2189010.6666666665</v>
      </c>
      <c r="K135" s="1010">
        <f t="shared" si="19"/>
        <v>1785</v>
      </c>
    </row>
    <row r="136" spans="1:11" x14ac:dyDescent="0.2">
      <c r="A136" s="1008" t="s">
        <v>14</v>
      </c>
      <c r="B136" s="1009" t="s">
        <v>259</v>
      </c>
      <c r="C136" s="1009" t="str">
        <f t="shared" si="8"/>
        <v>Kidney_80 to 84</v>
      </c>
      <c r="D136" s="1011">
        <v>598</v>
      </c>
      <c r="E136" s="1012">
        <v>64.5</v>
      </c>
      <c r="F136" s="1011">
        <f>VLOOKUP(B136,'App7 - PopSize_Calcs'!$M$3:$P$40,3,FALSE)</f>
        <v>926371.33333333337</v>
      </c>
      <c r="G136" s="1011">
        <v>851</v>
      </c>
      <c r="H136" s="1012">
        <v>119.5</v>
      </c>
      <c r="I136" s="1011">
        <f>VLOOKUP(B136,'App7 - PopSize_Calcs'!$M$3:$P$40,2,FALSE)</f>
        <v>712072</v>
      </c>
      <c r="J136" s="1010">
        <f t="shared" si="9"/>
        <v>1638443.3333333335</v>
      </c>
      <c r="K136" s="1010">
        <f t="shared" si="19"/>
        <v>1449</v>
      </c>
    </row>
    <row r="137" spans="1:11" x14ac:dyDescent="0.2">
      <c r="A137" s="1008" t="s">
        <v>14</v>
      </c>
      <c r="B137" s="1009" t="s">
        <v>260</v>
      </c>
      <c r="C137" s="1009" t="str">
        <f t="shared" si="8"/>
        <v>Kidney_85 to 89</v>
      </c>
      <c r="D137" s="1011">
        <v>413</v>
      </c>
      <c r="E137" s="1012">
        <v>66.7</v>
      </c>
      <c r="F137" s="1011">
        <f>VLOOKUP(B137,'App7 - PopSize_Calcs'!$M$3:$P$40,3,FALSE)</f>
        <v>618392.33333333337</v>
      </c>
      <c r="G137" s="1011">
        <v>489</v>
      </c>
      <c r="H137" s="1012">
        <v>124.8</v>
      </c>
      <c r="I137" s="1011">
        <f>VLOOKUP(B137,'App7 - PopSize_Calcs'!$M$3:$P$40,2,FALSE)</f>
        <v>391702</v>
      </c>
      <c r="J137" s="1010">
        <f t="shared" si="9"/>
        <v>1010094.3333333334</v>
      </c>
      <c r="K137" s="1010">
        <f t="shared" si="19"/>
        <v>902</v>
      </c>
    </row>
    <row r="138" spans="1:11" x14ac:dyDescent="0.2">
      <c r="A138" s="1008" t="s">
        <v>14</v>
      </c>
      <c r="B138" s="1009">
        <v>90</v>
      </c>
      <c r="C138" s="1009" t="str">
        <f t="shared" si="8"/>
        <v>Kidney_90</v>
      </c>
      <c r="D138" s="1011">
        <v>210</v>
      </c>
      <c r="E138" s="1012">
        <v>52.4</v>
      </c>
      <c r="F138" s="1011">
        <f>VLOOKUP(B138,'App7 - PopSize_Calcs'!$M$3:$P$40,3,FALSE)</f>
        <v>400463.66666666669</v>
      </c>
      <c r="G138" s="1011">
        <v>217</v>
      </c>
      <c r="H138" s="1012">
        <v>121.8</v>
      </c>
      <c r="I138" s="1011">
        <f>VLOOKUP(B138,'App7 - PopSize_Calcs'!$M$3:$P$40,2,FALSE)</f>
        <v>177884.66666666666</v>
      </c>
      <c r="J138" s="1010">
        <f t="shared" si="9"/>
        <v>578348.33333333337</v>
      </c>
      <c r="K138" s="1010">
        <f t="shared" si="19"/>
        <v>427</v>
      </c>
    </row>
    <row r="139" spans="1:11" x14ac:dyDescent="0.2">
      <c r="A139" s="1008" t="s">
        <v>14</v>
      </c>
      <c r="B139" s="1009" t="s">
        <v>204</v>
      </c>
      <c r="C139" s="1009" t="str">
        <f t="shared" si="8"/>
        <v>Kidney_Total 40-79</v>
      </c>
      <c r="D139" s="1011">
        <f>VLOOKUP("kidney_40 to 44",C:H,2,FALSE)+VLOOKUP("kidney_45 to 49",C:H,2,FALSE)+VLOOKUP("kidney_50 to 54",C:H,2,FALSE)+VLOOKUP("kidney_55 to 59",C:H,2,FALSE)+VLOOKUP("kidney_60 to 64",C:H,2,FALSE)+VLOOKUP("kidney_65 to 69",C:H,2,FALSE)+VLOOKUP("kidney_70 to 74",C:H,2,FALSE)+VLOOKUP("kidney_75 to 79",C:H,2,FALSE)</f>
        <v>3516</v>
      </c>
      <c r="E139" s="1012">
        <f t="shared" ref="E139:E144" si="20">(D139/F139)*100000</f>
        <v>23.007991219794569</v>
      </c>
      <c r="F139" s="1011">
        <f>VLOOKUP(B139,'App7 - PopSize_Calcs'!$M$3:$P$40,3,FALSE)</f>
        <v>15281647</v>
      </c>
      <c r="G139" s="1012">
        <f>VLOOKUP("kidney_40 to 44",C:H,5,FALSE)+VLOOKUP("kidney_45 to 49",C:H,5,FALSE)+VLOOKUP("kidney_50 to 54",C:H,5,FALSE)+VLOOKUP("kidney_55 to 59",C:H,5,FALSE)+VLOOKUP("kidney_60 to 64",C:H,5,FALSE)+VLOOKUP("kidney_65 to 69",C:H,5,FALSE)+VLOOKUP("kidney_70 to 74",C:H,5,FALSE)+VLOOKUP("kidney_75 to 79",C:H,5,FALSE)</f>
        <v>6634</v>
      </c>
      <c r="H139" s="1012">
        <f t="shared" ref="H139:H144" si="21">(G139/I139)*100000</f>
        <v>45.545645274943674</v>
      </c>
      <c r="I139" s="1011">
        <f>VLOOKUP(B139,'App7 - PopSize_Calcs'!$M$3:$P$40,2,FALSE)</f>
        <v>14565607.666666668</v>
      </c>
      <c r="J139" s="1010">
        <f t="shared" si="9"/>
        <v>29847254.666666668</v>
      </c>
      <c r="K139" s="1010">
        <f t="shared" si="19"/>
        <v>10150</v>
      </c>
    </row>
    <row r="140" spans="1:11" x14ac:dyDescent="0.2">
      <c r="A140" s="1008" t="s">
        <v>14</v>
      </c>
      <c r="B140" s="1008" t="s">
        <v>200</v>
      </c>
      <c r="C140" s="1009" t="str">
        <f t="shared" si="8"/>
        <v>Kidney_Total 40-69</v>
      </c>
      <c r="D140" s="1011">
        <f>VLOOKUP("kidney_40 to 44",C:H,2,FALSE)+VLOOKUP("kidney_45 to 49",C:H,2,FALSE)+VLOOKUP("kidney_50 to 54",C:H,2,FALSE)+VLOOKUP("kidney_55 to 59",C:H,2,FALSE)+VLOOKUP("kidney_60 to 64",C:H,2,FALSE)+VLOOKUP("kidney_65 to 69",C:H,2,FALSE)</f>
        <v>2116</v>
      </c>
      <c r="E140" s="1012">
        <f t="shared" si="20"/>
        <v>16.932887508650499</v>
      </c>
      <c r="F140" s="1011">
        <f>VLOOKUP(B140,'App7 - PopSize_Calcs'!$M$3:$P$40,3,FALSE)</f>
        <v>12496392</v>
      </c>
      <c r="G140" s="1012">
        <f>VLOOKUP("kidney_40 to 44",C:H,5,FALSE)+VLOOKUP("kidney_45 to 49",C:H,5,FALSE)+VLOOKUP("kidney_50 to 54",C:H,5,FALSE)+VLOOKUP("kidney_55 to 59",C:H,5,FALSE)+VLOOKUP("kidney_60 to 64",C:H,5,FALSE)+VLOOKUP("kidney_65 to 69",C:H,5,FALSE)</f>
        <v>4186</v>
      </c>
      <c r="H140" s="1012">
        <f t="shared" si="21"/>
        <v>34.622861697796182</v>
      </c>
      <c r="I140" s="1011">
        <f>VLOOKUP(B140,'App7 - PopSize_Calcs'!$M$3:$P$40,2,FALSE)</f>
        <v>12090277.333333334</v>
      </c>
      <c r="J140" s="1010">
        <f t="shared" si="9"/>
        <v>24586669.333333336</v>
      </c>
      <c r="K140" s="1010">
        <f t="shared" si="19"/>
        <v>6302</v>
      </c>
    </row>
    <row r="141" spans="1:11" x14ac:dyDescent="0.2">
      <c r="A141" s="1008" t="s">
        <v>14</v>
      </c>
      <c r="B141" s="1008" t="s">
        <v>201</v>
      </c>
      <c r="C141" s="1009" t="str">
        <f t="shared" si="8"/>
        <v>Kidney_Total 40-49</v>
      </c>
      <c r="D141" s="1011">
        <f>VLOOKUP("kidney_40 to 44",C:H,2,FALSE)+VLOOKUP("kidney_45 to 49",C:H,2,FALSE)</f>
        <v>283</v>
      </c>
      <c r="E141" s="1012">
        <f t="shared" si="20"/>
        <v>6.4764131930257953</v>
      </c>
      <c r="F141" s="1011">
        <f>VLOOKUP(B141,'App7 - PopSize_Calcs'!$M$3:$P$40,3,FALSE)</f>
        <v>4369702.666666667</v>
      </c>
      <c r="G141" s="1012">
        <f>VLOOKUP("kidney_40 to 44",C:H,5,FALSE)+VLOOKUP("kidney_45 to 49",C:H,5,FALSE)</f>
        <v>604</v>
      </c>
      <c r="H141" s="1012">
        <f t="shared" si="21"/>
        <v>14.135054044739473</v>
      </c>
      <c r="I141" s="1011">
        <f>VLOOKUP(B141,'App7 - PopSize_Calcs'!$M$3:$P$40,2,FALSE)</f>
        <v>4273064.666666667</v>
      </c>
      <c r="J141" s="1010">
        <f t="shared" si="9"/>
        <v>8642767.333333334</v>
      </c>
      <c r="K141" s="1010">
        <f t="shared" si="19"/>
        <v>887</v>
      </c>
    </row>
    <row r="142" spans="1:11" x14ac:dyDescent="0.2">
      <c r="A142" s="1008" t="s">
        <v>14</v>
      </c>
      <c r="B142" s="1008" t="s">
        <v>202</v>
      </c>
      <c r="C142" s="1009" t="str">
        <f t="shared" si="8"/>
        <v>Kidney_Total 50-59</v>
      </c>
      <c r="D142" s="1011">
        <f>VLOOKUP("kidney_50 to 54",C:H,2,FALSE)+VLOOKUP("kidney_55 to 59",C:H,2,FALSE)</f>
        <v>696</v>
      </c>
      <c r="E142" s="1012">
        <f t="shared" si="20"/>
        <v>15.520729391028421</v>
      </c>
      <c r="F142" s="1011">
        <f>VLOOKUP(B142,'App7 - PopSize_Calcs'!$M$3:$P$40,3,FALSE)</f>
        <v>4484325.333333334</v>
      </c>
      <c r="G142" s="1012">
        <f>VLOOKUP("kidney_50 to 54",C:H,5,FALSE)+VLOOKUP("kidney_55 to 59",C:H,5,FALSE)</f>
        <v>1379</v>
      </c>
      <c r="H142" s="1012">
        <f t="shared" si="21"/>
        <v>31.661908068880759</v>
      </c>
      <c r="I142" s="1011">
        <f>VLOOKUP(B142,'App7 - PopSize_Calcs'!$M$3:$P$40,2,FALSE)</f>
        <v>4355391.333333333</v>
      </c>
      <c r="J142" s="1010">
        <f t="shared" si="9"/>
        <v>8839716.6666666679</v>
      </c>
      <c r="K142" s="1010">
        <f t="shared" si="19"/>
        <v>2075</v>
      </c>
    </row>
    <row r="143" spans="1:11" x14ac:dyDescent="0.2">
      <c r="A143" s="1008" t="s">
        <v>14</v>
      </c>
      <c r="B143" s="1008" t="s">
        <v>203</v>
      </c>
      <c r="C143" s="1009" t="str">
        <f t="shared" si="8"/>
        <v>Kidney_Total 50-69</v>
      </c>
      <c r="D143" s="1011">
        <f>VLOOKUP("kidney_50 to 54",C:H,2,FALSE)+VLOOKUP("kidney_55 to 59",C:H,2,FALSE)+VLOOKUP("kidney_60 to 64",C:H,2,FALSE)+VLOOKUP("kidney_65 to 69",C:H,2,FALSE)</f>
        <v>1833</v>
      </c>
      <c r="E143" s="1012">
        <f t="shared" si="20"/>
        <v>22.555310346140132</v>
      </c>
      <c r="F143" s="1011">
        <f>VLOOKUP(B143,'App7 - PopSize_Calcs'!$M$3:$P$40,3,FALSE)</f>
        <v>8126689.333333334</v>
      </c>
      <c r="G143" s="1012">
        <f>VLOOKUP("kidney_50 to 54",C:H,5,FALSE)+VLOOKUP("kidney_55 to 59",C:H,5,FALSE)+VLOOKUP("kidney_60 to 64",C:H,5,FALSE)+VLOOKUP("kidney_65 to 69",C:H,5,FALSE)</f>
        <v>3582</v>
      </c>
      <c r="H143" s="1012">
        <f t="shared" si="21"/>
        <v>45.821959216665384</v>
      </c>
      <c r="I143" s="1011">
        <f>VLOOKUP(B143,'App7 - PopSize_Calcs'!$M$3:$P$40,2,FALSE)</f>
        <v>7817212.666666666</v>
      </c>
      <c r="J143" s="1010">
        <f t="shared" si="9"/>
        <v>15943902</v>
      </c>
      <c r="K143" s="1010">
        <f t="shared" si="19"/>
        <v>5415</v>
      </c>
    </row>
    <row r="144" spans="1:11" x14ac:dyDescent="0.2">
      <c r="A144" s="1008" t="s">
        <v>293</v>
      </c>
      <c r="B144" s="1008" t="s">
        <v>292</v>
      </c>
      <c r="C144" s="1009" t="str">
        <f t="shared" si="8"/>
        <v>kidney_Total 60-74</v>
      </c>
      <c r="D144" s="1011">
        <f>VLOOKUP("kidney_60 to 64",C:H,2,FALSE)+VLOOKUP("kidney_65 to 69",C:H,2,FALSE)+VLOOKUP("kidney_70 to 74",C:H,2,FALSE)</f>
        <v>1861</v>
      </c>
      <c r="E144" s="1012">
        <f t="shared" si="20"/>
        <v>35.474825423256348</v>
      </c>
      <c r="F144" s="1011">
        <f>VLOOKUP(B144,'App7 - PopSize_Calcs'!$M$3:$P$40,3,FALSE)</f>
        <v>5245973.666666667</v>
      </c>
      <c r="G144" s="1011">
        <f>VLOOKUP("kidney_60 to 64",C:K,5,FALSE)+VLOOKUP("kidney_65 to 69",C:K,5,FALSE)+VLOOKUP("kidney_70 to 74",C:K,5,FALSE)</f>
        <v>3542</v>
      </c>
      <c r="H144" s="1012">
        <f t="shared" si="21"/>
        <v>71.848955725532122</v>
      </c>
      <c r="I144" s="1011">
        <f>VLOOKUP(B144,'App7 - PopSize_Calcs'!$M$3:$P$40,2,FALSE)</f>
        <v>4929786.333333333</v>
      </c>
      <c r="J144" s="1010">
        <v>8881256.9603638444</v>
      </c>
      <c r="K144" s="1010">
        <f t="shared" si="19"/>
        <v>5403</v>
      </c>
    </row>
    <row r="145" spans="1:11" x14ac:dyDescent="0.2">
      <c r="A145" s="1008" t="s">
        <v>14</v>
      </c>
      <c r="B145" s="1008" t="s">
        <v>261</v>
      </c>
      <c r="C145" s="1009" t="str">
        <f t="shared" si="8"/>
        <v>Kidney_Total (All ages)</v>
      </c>
      <c r="D145" s="1013">
        <v>4916</v>
      </c>
      <c r="E145" s="1014">
        <v>14.8</v>
      </c>
      <c r="F145" s="1011">
        <f>VLOOKUP(B145,'App7 - PopSize_Calcs'!$M$3:$P$40,3,FALSE)</f>
        <v>33458051.999999996</v>
      </c>
      <c r="G145" s="1013">
        <v>8407</v>
      </c>
      <c r="H145" s="1014">
        <v>29.2</v>
      </c>
      <c r="I145" s="1011">
        <f>VLOOKUP(B145,'App7 - PopSize_Calcs'!$M$3:$P$40,2,FALSE)</f>
        <v>32583225.666666668</v>
      </c>
      <c r="J145" s="1010">
        <f t="shared" si="9"/>
        <v>66041277.666666664</v>
      </c>
      <c r="K145" s="1010">
        <f t="shared" si="19"/>
        <v>13323</v>
      </c>
    </row>
    <row r="146" spans="1:11" x14ac:dyDescent="0.2">
      <c r="A146" s="1008" t="s">
        <v>32</v>
      </c>
      <c r="B146" s="1009" t="s">
        <v>251</v>
      </c>
      <c r="C146" s="1009" t="str">
        <f t="shared" si="8"/>
        <v>Lung_0 to 04</v>
      </c>
      <c r="D146" s="1011">
        <v>1</v>
      </c>
      <c r="E146" s="1012">
        <v>0</v>
      </c>
      <c r="F146" s="1011">
        <f>VLOOKUP(B146,'App7 - PopSize_Calcs'!$M$3:$P$40,3,FALSE)</f>
        <v>1930786.3333333333</v>
      </c>
      <c r="G146" s="1011">
        <v>1</v>
      </c>
      <c r="H146" s="1012">
        <v>0</v>
      </c>
      <c r="I146" s="1011">
        <f>VLOOKUP(B146,'App7 - PopSize_Calcs'!$M$3:$P$40,2,FALSE)</f>
        <v>2032241.3333333333</v>
      </c>
      <c r="J146" s="1010">
        <f t="shared" si="9"/>
        <v>3963027.6666666665</v>
      </c>
      <c r="K146" s="1010">
        <f t="shared" si="19"/>
        <v>2</v>
      </c>
    </row>
    <row r="147" spans="1:11" x14ac:dyDescent="0.2">
      <c r="A147" s="1008" t="s">
        <v>32</v>
      </c>
      <c r="B147" s="1009" t="s">
        <v>252</v>
      </c>
      <c r="C147" s="1009" t="str">
        <f t="shared" si="8"/>
        <v>Lung_05 to 09</v>
      </c>
      <c r="D147" s="1011">
        <v>0</v>
      </c>
      <c r="E147" s="1012">
        <v>0</v>
      </c>
      <c r="F147" s="1011">
        <f>VLOOKUP(B147,'App7 - PopSize_Calcs'!$M$3:$P$40,3,FALSE)</f>
        <v>1999676.3333333333</v>
      </c>
      <c r="G147" s="1011">
        <v>0</v>
      </c>
      <c r="H147" s="1012">
        <v>0</v>
      </c>
      <c r="I147" s="1011">
        <f>VLOOKUP(B147,'App7 - PopSize_Calcs'!$M$3:$P$40,2,FALSE)</f>
        <v>2096799</v>
      </c>
      <c r="J147" s="1010">
        <f t="shared" si="9"/>
        <v>4096475.333333333</v>
      </c>
      <c r="K147" s="1010">
        <f t="shared" si="19"/>
        <v>0</v>
      </c>
    </row>
    <row r="148" spans="1:11" x14ac:dyDescent="0.2">
      <c r="A148" s="1008" t="s">
        <v>32</v>
      </c>
      <c r="B148" s="1009" t="s">
        <v>253</v>
      </c>
      <c r="C148" s="1009" t="str">
        <f t="shared" si="8"/>
        <v>Lung_10 to 14</v>
      </c>
      <c r="D148" s="1011">
        <v>2</v>
      </c>
      <c r="E148" s="1012">
        <v>0.1</v>
      </c>
      <c r="F148" s="1011">
        <f>VLOOKUP(B148,'App7 - PopSize_Calcs'!$M$3:$P$40,3,FALSE)</f>
        <v>1823411.3333333333</v>
      </c>
      <c r="G148" s="1011">
        <v>1</v>
      </c>
      <c r="H148" s="1012">
        <v>0.1</v>
      </c>
      <c r="I148" s="1011">
        <f>VLOOKUP(B148,'App7 - PopSize_Calcs'!$M$3:$P$40,2,FALSE)</f>
        <v>1915702.6666666667</v>
      </c>
      <c r="J148" s="1010">
        <f t="shared" si="9"/>
        <v>3739114</v>
      </c>
      <c r="K148" s="1010">
        <f t="shared" si="19"/>
        <v>3</v>
      </c>
    </row>
    <row r="149" spans="1:11" x14ac:dyDescent="0.2">
      <c r="A149" s="1008" t="s">
        <v>32</v>
      </c>
      <c r="B149" s="1009" t="s">
        <v>254</v>
      </c>
      <c r="C149" s="1009" t="str">
        <f t="shared" ref="C149:C216" si="22">A149&amp;"_"&amp;B149</f>
        <v>Lung_15 to 19</v>
      </c>
      <c r="D149" s="1011">
        <v>4</v>
      </c>
      <c r="E149" s="1012">
        <v>0.2</v>
      </c>
      <c r="F149" s="1011">
        <f>VLOOKUP(B149,'App7 - PopSize_Calcs'!$M$3:$P$40,3,FALSE)</f>
        <v>1808992</v>
      </c>
      <c r="G149" s="1011">
        <v>2</v>
      </c>
      <c r="H149" s="1012">
        <v>0.1</v>
      </c>
      <c r="I149" s="1011">
        <f>VLOOKUP(B149,'App7 - PopSize_Calcs'!$M$3:$P$40,2,FALSE)</f>
        <v>1908478.6666666667</v>
      </c>
      <c r="J149" s="1010">
        <f t="shared" si="9"/>
        <v>3717470.666666667</v>
      </c>
      <c r="K149" s="1010">
        <f t="shared" si="19"/>
        <v>6</v>
      </c>
    </row>
    <row r="150" spans="1:11" x14ac:dyDescent="0.2">
      <c r="A150" s="1008" t="s">
        <v>32</v>
      </c>
      <c r="B150" s="1009" t="s">
        <v>255</v>
      </c>
      <c r="C150" s="1009" t="str">
        <f t="shared" si="22"/>
        <v>Lung_20 to 24</v>
      </c>
      <c r="D150" s="1011">
        <v>7</v>
      </c>
      <c r="E150" s="1012">
        <v>0.3</v>
      </c>
      <c r="F150" s="1011">
        <f>VLOOKUP(B150,'App7 - PopSize_Calcs'!$M$3:$P$40,3,FALSE)</f>
        <v>2053200.6666666667</v>
      </c>
      <c r="G150" s="1011">
        <v>3</v>
      </c>
      <c r="H150" s="1012">
        <v>0.1</v>
      </c>
      <c r="I150" s="1011">
        <f>VLOOKUP(B150,'App7 - PopSize_Calcs'!$M$3:$P$40,2,FALSE)</f>
        <v>2161986</v>
      </c>
      <c r="J150" s="1010">
        <f t="shared" ref="J150:J217" si="23">SUM(F150,I150)</f>
        <v>4215186.666666667</v>
      </c>
      <c r="K150" s="1010">
        <f t="shared" si="19"/>
        <v>10</v>
      </c>
    </row>
    <row r="151" spans="1:11" x14ac:dyDescent="0.2">
      <c r="A151" s="1008" t="s">
        <v>32</v>
      </c>
      <c r="B151" s="1009" t="s">
        <v>256</v>
      </c>
      <c r="C151" s="1009" t="str">
        <f t="shared" si="22"/>
        <v>Lung_25 to 29</v>
      </c>
      <c r="D151" s="1011">
        <v>14</v>
      </c>
      <c r="E151" s="1012">
        <v>0.6</v>
      </c>
      <c r="F151" s="1011">
        <f>VLOOKUP(B151,'App7 - PopSize_Calcs'!$M$3:$P$40,3,FALSE)</f>
        <v>2239266</v>
      </c>
      <c r="G151" s="1011">
        <v>14</v>
      </c>
      <c r="H151" s="1012">
        <v>0.6</v>
      </c>
      <c r="I151" s="1011">
        <f>VLOOKUP(B151,'App7 - PopSize_Calcs'!$M$3:$P$40,2,FALSE)</f>
        <v>2287337.6666666665</v>
      </c>
      <c r="J151" s="1010">
        <f t="shared" si="23"/>
        <v>4526603.666666666</v>
      </c>
      <c r="K151" s="1010">
        <f t="shared" si="19"/>
        <v>28</v>
      </c>
    </row>
    <row r="152" spans="1:11" x14ac:dyDescent="0.2">
      <c r="A152" s="1008" t="s">
        <v>32</v>
      </c>
      <c r="B152" s="1009" t="s">
        <v>257</v>
      </c>
      <c r="C152" s="1009" t="str">
        <f t="shared" si="22"/>
        <v>Lung_30 to 34</v>
      </c>
      <c r="D152" s="1011">
        <v>20</v>
      </c>
      <c r="E152" s="1012">
        <v>0.9</v>
      </c>
      <c r="F152" s="1011">
        <f>VLOOKUP(B152,'App7 - PopSize_Calcs'!$M$3:$P$40,3,FALSE)</f>
        <v>2222400.3333333335</v>
      </c>
      <c r="G152" s="1011">
        <v>25</v>
      </c>
      <c r="H152" s="1012">
        <v>1.1000000000000001</v>
      </c>
      <c r="I152" s="1011">
        <f>VLOOKUP(B152,'App7 - PopSize_Calcs'!$M$3:$P$40,2,FALSE)</f>
        <v>2208867.6666666665</v>
      </c>
      <c r="J152" s="1010">
        <f t="shared" si="23"/>
        <v>4431268</v>
      </c>
      <c r="K152" s="1010">
        <f t="shared" si="19"/>
        <v>45</v>
      </c>
    </row>
    <row r="153" spans="1:11" x14ac:dyDescent="0.2">
      <c r="A153" s="1008" t="s">
        <v>32</v>
      </c>
      <c r="B153" s="1009" t="s">
        <v>258</v>
      </c>
      <c r="C153" s="1009" t="str">
        <f t="shared" si="22"/>
        <v>Lung_35 to 39</v>
      </c>
      <c r="D153" s="1011">
        <v>49</v>
      </c>
      <c r="E153" s="1012">
        <v>2.2999999999999998</v>
      </c>
      <c r="F153" s="1011">
        <f>VLOOKUP(B153,'App7 - PopSize_Calcs'!$M$3:$P$40,3,FALSE)</f>
        <v>2153444.6666666665</v>
      </c>
      <c r="G153" s="1011">
        <v>51</v>
      </c>
      <c r="H153" s="1012">
        <v>2.4</v>
      </c>
      <c r="I153" s="1011">
        <f>VLOOKUP(B153,'App7 - PopSize_Calcs'!$M$3:$P$40,2,FALSE)</f>
        <v>2124546.3333333335</v>
      </c>
      <c r="J153" s="1010">
        <f t="shared" si="23"/>
        <v>4277991</v>
      </c>
      <c r="K153" s="1010">
        <f t="shared" si="19"/>
        <v>100</v>
      </c>
    </row>
    <row r="154" spans="1:11" x14ac:dyDescent="0.2">
      <c r="A154" s="1008" t="s">
        <v>32</v>
      </c>
      <c r="B154" s="1009" t="s">
        <v>192</v>
      </c>
      <c r="C154" s="1009" t="str">
        <f t="shared" si="22"/>
        <v>Lung_40 to 44</v>
      </c>
      <c r="D154" s="1011">
        <v>119</v>
      </c>
      <c r="E154" s="1012">
        <v>5.8</v>
      </c>
      <c r="F154" s="1011">
        <f>VLOOKUP(B154,'App7 - PopSize_Calcs'!$M$3:$P$40,3,FALSE)</f>
        <v>2054223.3333333333</v>
      </c>
      <c r="G154" s="1011">
        <v>121</v>
      </c>
      <c r="H154" s="1012">
        <v>6</v>
      </c>
      <c r="I154" s="1011">
        <f>VLOOKUP(B154,'App7 - PopSize_Calcs'!$M$3:$P$40,2,FALSE)</f>
        <v>2021384.6666666667</v>
      </c>
      <c r="J154" s="1010">
        <f t="shared" si="23"/>
        <v>4075608</v>
      </c>
      <c r="K154" s="1010">
        <f t="shared" si="19"/>
        <v>240</v>
      </c>
    </row>
    <row r="155" spans="1:11" x14ac:dyDescent="0.2">
      <c r="A155" s="1008" t="s">
        <v>32</v>
      </c>
      <c r="B155" s="1009" t="s">
        <v>193</v>
      </c>
      <c r="C155" s="1009" t="str">
        <f t="shared" si="22"/>
        <v>Lung_45 to 49</v>
      </c>
      <c r="D155" s="1011">
        <v>339</v>
      </c>
      <c r="E155" s="1012">
        <v>14.7</v>
      </c>
      <c r="F155" s="1011">
        <f>VLOOKUP(B155,'App7 - PopSize_Calcs'!$M$3:$P$40,3,FALSE)</f>
        <v>2315479.3333333335</v>
      </c>
      <c r="G155" s="1011">
        <v>367</v>
      </c>
      <c r="H155" s="1012">
        <v>16.3</v>
      </c>
      <c r="I155" s="1011">
        <f>VLOOKUP(B155,'App7 - PopSize_Calcs'!$M$3:$P$40,2,FALSE)</f>
        <v>2251680</v>
      </c>
      <c r="J155" s="1010">
        <f t="shared" si="23"/>
        <v>4567159.333333334</v>
      </c>
      <c r="K155" s="1010">
        <f t="shared" si="19"/>
        <v>706</v>
      </c>
    </row>
    <row r="156" spans="1:11" x14ac:dyDescent="0.2">
      <c r="A156" s="1008" t="s">
        <v>32</v>
      </c>
      <c r="B156" s="1009" t="s">
        <v>194</v>
      </c>
      <c r="C156" s="1009" t="str">
        <f t="shared" si="22"/>
        <v>Lung_50 to 54</v>
      </c>
      <c r="D156" s="1011">
        <v>746</v>
      </c>
      <c r="E156" s="1012">
        <v>31.5</v>
      </c>
      <c r="F156" s="1011">
        <f>VLOOKUP(B156,'App7 - PopSize_Calcs'!$M$3:$P$40,3,FALSE)</f>
        <v>2364638</v>
      </c>
      <c r="G156" s="1011">
        <v>766</v>
      </c>
      <c r="H156" s="1012">
        <v>33.4</v>
      </c>
      <c r="I156" s="1011">
        <f>VLOOKUP(B156,'App7 - PopSize_Calcs'!$M$3:$P$40,2,FALSE)</f>
        <v>2293472.6666666665</v>
      </c>
      <c r="J156" s="1010">
        <f t="shared" si="23"/>
        <v>4658110.666666666</v>
      </c>
      <c r="K156" s="1010">
        <f t="shared" si="19"/>
        <v>1512</v>
      </c>
    </row>
    <row r="157" spans="1:11" x14ac:dyDescent="0.2">
      <c r="A157" s="1008" t="s">
        <v>32</v>
      </c>
      <c r="B157" s="1009" t="s">
        <v>195</v>
      </c>
      <c r="C157" s="1009" t="str">
        <f t="shared" si="22"/>
        <v>Lung_55 to 59</v>
      </c>
      <c r="D157" s="1011">
        <v>1423</v>
      </c>
      <c r="E157" s="1012">
        <v>67.099999999999994</v>
      </c>
      <c r="F157" s="1011">
        <f>VLOOKUP(B157,'App7 - PopSize_Calcs'!$M$3:$P$40,3,FALSE)</f>
        <v>2119687.3333333335</v>
      </c>
      <c r="G157" s="1011">
        <v>1473</v>
      </c>
      <c r="H157" s="1012">
        <v>71.400000000000006</v>
      </c>
      <c r="I157" s="1011">
        <f>VLOOKUP(B157,'App7 - PopSize_Calcs'!$M$3:$P$40,2,FALSE)</f>
        <v>2061918.6666666667</v>
      </c>
      <c r="J157" s="1010">
        <f t="shared" si="23"/>
        <v>4181606</v>
      </c>
      <c r="K157" s="1010">
        <f t="shared" si="19"/>
        <v>2896</v>
      </c>
    </row>
    <row r="158" spans="1:11" x14ac:dyDescent="0.2">
      <c r="A158" s="1008" t="s">
        <v>32</v>
      </c>
      <c r="B158" s="1009" t="s">
        <v>196</v>
      </c>
      <c r="C158" s="1009" t="str">
        <f t="shared" si="22"/>
        <v>Lung_60 to 64</v>
      </c>
      <c r="D158" s="1011">
        <v>2294</v>
      </c>
      <c r="E158" s="1012">
        <v>124.9</v>
      </c>
      <c r="F158" s="1011">
        <f>VLOOKUP(B158,'App7 - PopSize_Calcs'!$M$3:$P$40,3,FALSE)</f>
        <v>1837174</v>
      </c>
      <c r="G158" s="1011">
        <v>2417</v>
      </c>
      <c r="H158" s="1012">
        <v>137</v>
      </c>
      <c r="I158" s="1011">
        <f>VLOOKUP(B158,'App7 - PopSize_Calcs'!$M$3:$P$40,2,FALSE)</f>
        <v>1764828</v>
      </c>
      <c r="J158" s="1010">
        <f t="shared" si="23"/>
        <v>3602002</v>
      </c>
      <c r="K158" s="1010">
        <f t="shared" si="19"/>
        <v>4711</v>
      </c>
    </row>
    <row r="159" spans="1:11" x14ac:dyDescent="0.2">
      <c r="A159" s="1008" t="s">
        <v>32</v>
      </c>
      <c r="B159" s="1009" t="s">
        <v>197</v>
      </c>
      <c r="C159" s="1009" t="str">
        <f t="shared" si="22"/>
        <v>Lung_65 to 69</v>
      </c>
      <c r="D159" s="1011">
        <v>3571</v>
      </c>
      <c r="E159" s="1012">
        <v>197.8</v>
      </c>
      <c r="F159" s="1011">
        <f>VLOOKUP(B159,'App7 - PopSize_Calcs'!$M$3:$P$40,3,FALSE)</f>
        <v>1805190</v>
      </c>
      <c r="G159" s="1011">
        <v>3895</v>
      </c>
      <c r="H159" s="1012">
        <v>229.5</v>
      </c>
      <c r="I159" s="1011">
        <f>VLOOKUP(B159,'App7 - PopSize_Calcs'!$M$3:$P$40,2,FALSE)</f>
        <v>1696993.3333333333</v>
      </c>
      <c r="J159" s="1010">
        <f t="shared" si="23"/>
        <v>3502183.333333333</v>
      </c>
      <c r="K159" s="1010">
        <f t="shared" si="19"/>
        <v>7466</v>
      </c>
    </row>
    <row r="160" spans="1:11" x14ac:dyDescent="0.2">
      <c r="A160" s="1008" t="s">
        <v>32</v>
      </c>
      <c r="B160" s="1009" t="s">
        <v>198</v>
      </c>
      <c r="C160" s="1009" t="str">
        <f t="shared" si="22"/>
        <v>Lung_70 to 74</v>
      </c>
      <c r="D160" s="1011">
        <v>4460</v>
      </c>
      <c r="E160" s="1012">
        <v>278.10000000000002</v>
      </c>
      <c r="F160" s="1011">
        <f>VLOOKUP(B160,'App7 - PopSize_Calcs'!$M$3:$P$40,3,FALSE)</f>
        <v>1603609.6666666667</v>
      </c>
      <c r="G160" s="1011">
        <v>4918</v>
      </c>
      <c r="H160" s="1012">
        <v>335</v>
      </c>
      <c r="I160" s="1011">
        <f>VLOOKUP(B160,'App7 - PopSize_Calcs'!$M$3:$P$40,2,FALSE)</f>
        <v>1467965</v>
      </c>
      <c r="J160" s="1010">
        <f t="shared" si="23"/>
        <v>3071574.666666667</v>
      </c>
      <c r="K160" s="1010">
        <f t="shared" si="19"/>
        <v>9378</v>
      </c>
    </row>
    <row r="161" spans="1:11" x14ac:dyDescent="0.2">
      <c r="A161" s="1008" t="s">
        <v>32</v>
      </c>
      <c r="B161" s="1009" t="s">
        <v>199</v>
      </c>
      <c r="C161" s="1009" t="str">
        <f t="shared" si="22"/>
        <v>Lung_75 to 79</v>
      </c>
      <c r="D161" s="1011">
        <v>4024</v>
      </c>
      <c r="E161" s="1012">
        <v>340.5</v>
      </c>
      <c r="F161" s="1011">
        <f>VLOOKUP(B161,'App7 - PopSize_Calcs'!$M$3:$P$40,3,FALSE)</f>
        <v>1181645.3333333333</v>
      </c>
      <c r="G161" s="1011">
        <v>4656</v>
      </c>
      <c r="H161" s="1012">
        <v>462.2</v>
      </c>
      <c r="I161" s="1011">
        <f>VLOOKUP(B161,'App7 - PopSize_Calcs'!$M$3:$P$40,2,FALSE)</f>
        <v>1007365.3333333334</v>
      </c>
      <c r="J161" s="1010">
        <f t="shared" si="23"/>
        <v>2189010.6666666665</v>
      </c>
      <c r="K161" s="1010">
        <f t="shared" si="19"/>
        <v>8680</v>
      </c>
    </row>
    <row r="162" spans="1:11" x14ac:dyDescent="0.2">
      <c r="A162" s="1008" t="s">
        <v>32</v>
      </c>
      <c r="B162" s="1009" t="s">
        <v>259</v>
      </c>
      <c r="C162" s="1009" t="str">
        <f t="shared" si="22"/>
        <v>Lung_80 to 84</v>
      </c>
      <c r="D162" s="1011">
        <v>3133</v>
      </c>
      <c r="E162" s="1012">
        <v>338.2</v>
      </c>
      <c r="F162" s="1011">
        <f>VLOOKUP(B162,'App7 - PopSize_Calcs'!$M$3:$P$40,3,FALSE)</f>
        <v>926371.33333333337</v>
      </c>
      <c r="G162" s="1011">
        <v>3563</v>
      </c>
      <c r="H162" s="1012">
        <v>500.4</v>
      </c>
      <c r="I162" s="1011">
        <f>VLOOKUP(B162,'App7 - PopSize_Calcs'!$M$3:$P$40,2,FALSE)</f>
        <v>712072</v>
      </c>
      <c r="J162" s="1010">
        <f t="shared" si="23"/>
        <v>1638443.3333333335</v>
      </c>
      <c r="K162" s="1010">
        <f t="shared" si="19"/>
        <v>6696</v>
      </c>
    </row>
    <row r="163" spans="1:11" x14ac:dyDescent="0.2">
      <c r="A163" s="1008" t="s">
        <v>32</v>
      </c>
      <c r="B163" s="1009" t="s">
        <v>260</v>
      </c>
      <c r="C163" s="1009" t="str">
        <f t="shared" si="22"/>
        <v>Lung_85 to 89</v>
      </c>
      <c r="D163" s="1011">
        <v>2026</v>
      </c>
      <c r="E163" s="1012">
        <v>327.60000000000002</v>
      </c>
      <c r="F163" s="1011">
        <f>VLOOKUP(B163,'App7 - PopSize_Calcs'!$M$3:$P$40,3,FALSE)</f>
        <v>618392.33333333337</v>
      </c>
      <c r="G163" s="1011">
        <v>2110</v>
      </c>
      <c r="H163" s="1012">
        <v>538.79999999999995</v>
      </c>
      <c r="I163" s="1011">
        <f>VLOOKUP(B163,'App7 - PopSize_Calcs'!$M$3:$P$40,2,FALSE)</f>
        <v>391702</v>
      </c>
      <c r="J163" s="1010">
        <f t="shared" si="23"/>
        <v>1010094.3333333334</v>
      </c>
      <c r="K163" s="1010">
        <f t="shared" si="19"/>
        <v>4136</v>
      </c>
    </row>
    <row r="164" spans="1:11" x14ac:dyDescent="0.2">
      <c r="A164" s="1008" t="s">
        <v>32</v>
      </c>
      <c r="B164" s="1009">
        <v>90</v>
      </c>
      <c r="C164" s="1009" t="str">
        <f t="shared" si="22"/>
        <v>Lung_90</v>
      </c>
      <c r="D164" s="1011">
        <v>1032</v>
      </c>
      <c r="E164" s="1012">
        <v>257.7</v>
      </c>
      <c r="F164" s="1011">
        <f>VLOOKUP(B164,'App7 - PopSize_Calcs'!$M$3:$P$40,3,FALSE)</f>
        <v>400463.66666666669</v>
      </c>
      <c r="G164" s="1011">
        <v>899</v>
      </c>
      <c r="H164" s="1012">
        <v>505.2</v>
      </c>
      <c r="I164" s="1011">
        <f>VLOOKUP(B164,'App7 - PopSize_Calcs'!$M$3:$P$40,2,FALSE)</f>
        <v>177884.66666666666</v>
      </c>
      <c r="J164" s="1010">
        <f t="shared" si="23"/>
        <v>578348.33333333337</v>
      </c>
      <c r="K164" s="1010">
        <f t="shared" si="19"/>
        <v>1931</v>
      </c>
    </row>
    <row r="165" spans="1:11" x14ac:dyDescent="0.2">
      <c r="A165" s="1008" t="s">
        <v>32</v>
      </c>
      <c r="B165" s="1009" t="s">
        <v>204</v>
      </c>
      <c r="C165" s="1009" t="str">
        <f t="shared" si="22"/>
        <v>Lung_Total 40-79</v>
      </c>
      <c r="D165" s="1011">
        <f>VLOOKUP("lung_40 to 44",C:H,2,FALSE)+VLOOKUP("lung_45 to 49",C:H,2,FALSE)+VLOOKUP("lung_50 to 54",C:H,2,FALSE)+VLOOKUP("lung_55 to 59",C:H,2,FALSE)+VLOOKUP("lung_60 to 64",C:H,2,FALSE)+VLOOKUP("lung_65 to 69",C:H,2,FALSE)+VLOOKUP("lung_70 to 74",C:H,2,FALSE)+VLOOKUP("lung_75 to 79",C:H,2,FALSE)</f>
        <v>16976</v>
      </c>
      <c r="E165" s="1012">
        <f t="shared" ref="E165:E170" si="24">(D165/F165)*100000</f>
        <v>111.08750254471916</v>
      </c>
      <c r="F165" s="1011">
        <f>VLOOKUP(B165,'App7 - PopSize_Calcs'!$M$3:$P$40,3,FALSE)</f>
        <v>15281647</v>
      </c>
      <c r="G165" s="1012">
        <f>VLOOKUP("lung_40 to 44",C:H,5,FALSE)+VLOOKUP("lung_45 to 49",C:H,5,FALSE)+VLOOKUP("lung_50 to 54",C:H,5,FALSE)+VLOOKUP("lung_55 to 59",C:H,5,FALSE)+VLOOKUP("lung_60 to 64",C:H,5,FALSE)+VLOOKUP("lung_65 to 69",C:H,5,FALSE)+VLOOKUP("lung_70 to 74",C:H,5,FALSE)+VLOOKUP("lung_75 to 79",C:H,5,FALSE)</f>
        <v>18613</v>
      </c>
      <c r="H165" s="1012">
        <f t="shared" ref="H165:H170" si="25">(G165/I165)*100000</f>
        <v>127.78732220417946</v>
      </c>
      <c r="I165" s="1011">
        <f>VLOOKUP(B165,'App7 - PopSize_Calcs'!$M$3:$P$40,2,FALSE)</f>
        <v>14565607.666666668</v>
      </c>
      <c r="J165" s="1010">
        <f t="shared" si="23"/>
        <v>29847254.666666668</v>
      </c>
      <c r="K165" s="1010">
        <f t="shared" si="19"/>
        <v>35589</v>
      </c>
    </row>
    <row r="166" spans="1:11" x14ac:dyDescent="0.2">
      <c r="A166" s="1008" t="s">
        <v>32</v>
      </c>
      <c r="B166" s="1008" t="s">
        <v>200</v>
      </c>
      <c r="C166" s="1009" t="str">
        <f t="shared" si="22"/>
        <v>Lung_Total 40-69</v>
      </c>
      <c r="D166" s="1011">
        <f>VLOOKUP("lung_40 to 44",C:H,2,FALSE)+VLOOKUP("lung_45 to 49",C:H,2,FALSE)+VLOOKUP("lung_50 to 54",C:H,2,FALSE)+VLOOKUP("lung_55 to 59",C:H,2,FALSE)+VLOOKUP("lung_60 to 64",C:H,2,FALSE)+VLOOKUP("lung_65 to 69",C:H,2,FALSE)</f>
        <v>8492</v>
      </c>
      <c r="E166" s="1012">
        <f t="shared" si="24"/>
        <v>67.955614708629497</v>
      </c>
      <c r="F166" s="1011">
        <f>VLOOKUP(B166,'App7 - PopSize_Calcs'!$M$3:$P$40,3,FALSE)</f>
        <v>12496392</v>
      </c>
      <c r="G166" s="1012">
        <f>VLOOKUP("lung_40 to 44",C:H,5,FALSE)+VLOOKUP("lung_45 to 49",C:H,5,FALSE)+VLOOKUP("lung_50 to 54",C:H,5,FALSE)+VLOOKUP("lung_55 to 59",C:H,5,FALSE)+VLOOKUP("lung_60 to 64",C:H,5,FALSE)+VLOOKUP("lung_65 to 69",C:H,5,FALSE)</f>
        <v>9039</v>
      </c>
      <c r="H166" s="1012">
        <f t="shared" si="25"/>
        <v>74.762553006779655</v>
      </c>
      <c r="I166" s="1011">
        <f>VLOOKUP(B166,'App7 - PopSize_Calcs'!$M$3:$P$40,2,FALSE)</f>
        <v>12090277.333333334</v>
      </c>
      <c r="J166" s="1010">
        <f t="shared" si="23"/>
        <v>24586669.333333336</v>
      </c>
      <c r="K166" s="1010">
        <f t="shared" si="19"/>
        <v>17531</v>
      </c>
    </row>
    <row r="167" spans="1:11" x14ac:dyDescent="0.2">
      <c r="A167" s="1008" t="s">
        <v>32</v>
      </c>
      <c r="B167" s="1008" t="s">
        <v>201</v>
      </c>
      <c r="C167" s="1009" t="str">
        <f t="shared" si="22"/>
        <v>Lung_Total 40-49</v>
      </c>
      <c r="D167" s="1011">
        <f>VLOOKUP("lung_40 to 44",C:H,2,FALSE)+VLOOKUP("lung_45 to 49",C:H,2,FALSE)</f>
        <v>458</v>
      </c>
      <c r="E167" s="1012">
        <f t="shared" si="24"/>
        <v>10.481262340656587</v>
      </c>
      <c r="F167" s="1011">
        <f>VLOOKUP(B167,'App7 - PopSize_Calcs'!$M$3:$P$40,3,FALSE)</f>
        <v>4369702.666666667</v>
      </c>
      <c r="G167" s="1012">
        <f>VLOOKUP("lung_40 to 44",C:H,5,FALSE)+VLOOKUP("lung_45 to 49",C:H,5,FALSE)</f>
        <v>488</v>
      </c>
      <c r="H167" s="1012">
        <f t="shared" si="25"/>
        <v>11.420374791114012</v>
      </c>
      <c r="I167" s="1011">
        <f>VLOOKUP(B167,'App7 - PopSize_Calcs'!$M$3:$P$40,2,FALSE)</f>
        <v>4273064.666666667</v>
      </c>
      <c r="J167" s="1010">
        <f t="shared" si="23"/>
        <v>8642767.333333334</v>
      </c>
      <c r="K167" s="1010">
        <f t="shared" si="19"/>
        <v>946</v>
      </c>
    </row>
    <row r="168" spans="1:11" x14ac:dyDescent="0.2">
      <c r="A168" s="1008" t="s">
        <v>32</v>
      </c>
      <c r="B168" s="1008" t="s">
        <v>202</v>
      </c>
      <c r="C168" s="1009" t="str">
        <f t="shared" si="22"/>
        <v>Lung_Total 50-59</v>
      </c>
      <c r="D168" s="1011">
        <f>VLOOKUP("lung_50 to 54",C:H,2,FALSE)+VLOOKUP("lung_55 to 59",C:H,2,FALSE)</f>
        <v>2169</v>
      </c>
      <c r="E168" s="1012">
        <f t="shared" si="24"/>
        <v>48.368479955661847</v>
      </c>
      <c r="F168" s="1011">
        <f>VLOOKUP(B168,'App7 - PopSize_Calcs'!$M$3:$P$40,3,FALSE)</f>
        <v>4484325.333333334</v>
      </c>
      <c r="G168" s="1012">
        <f>VLOOKUP("lung_50 to 54",C:H,5,FALSE)+VLOOKUP("lung_55 to 59",C:H,5,FALSE)</f>
        <v>2239</v>
      </c>
      <c r="H168" s="1012">
        <f t="shared" si="25"/>
        <v>51.407550519379285</v>
      </c>
      <c r="I168" s="1011">
        <f>VLOOKUP(B168,'App7 - PopSize_Calcs'!$M$3:$P$40,2,FALSE)</f>
        <v>4355391.333333333</v>
      </c>
      <c r="J168" s="1010">
        <f t="shared" si="23"/>
        <v>8839716.6666666679</v>
      </c>
      <c r="K168" s="1010">
        <f t="shared" si="19"/>
        <v>4408</v>
      </c>
    </row>
    <row r="169" spans="1:11" x14ac:dyDescent="0.2">
      <c r="A169" s="1008" t="s">
        <v>32</v>
      </c>
      <c r="B169" s="1008" t="s">
        <v>203</v>
      </c>
      <c r="C169" s="1009" t="str">
        <f t="shared" si="22"/>
        <v>Lung_Total 50-69</v>
      </c>
      <c r="D169" s="1011">
        <f>VLOOKUP("lung_50 to 54",C:H,2,FALSE)+VLOOKUP("lung_55 to 59",C:H,2,FALSE)+VLOOKUP("lung_60 to 64",C:H,2,FALSE)+VLOOKUP("lung_65 to 69",C:H,2,FALSE)</f>
        <v>8034</v>
      </c>
      <c r="E169" s="1012">
        <f t="shared" si="24"/>
        <v>98.859445346912068</v>
      </c>
      <c r="F169" s="1011">
        <f>VLOOKUP(B169,'App7 - PopSize_Calcs'!$M$3:$P$40,3,FALSE)</f>
        <v>8126689.333333334</v>
      </c>
      <c r="G169" s="1012">
        <f>VLOOKUP("lung_50 to 54",C:H,5,FALSE)+VLOOKUP("lung_55 to 59",C:H,5,FALSE)+VLOOKUP("lung_60 to 64",C:H,5,FALSE)+VLOOKUP("lung_65 to 69",C:H,5,FALSE)</f>
        <v>8551</v>
      </c>
      <c r="H169" s="1012">
        <f t="shared" si="25"/>
        <v>109.38681553928132</v>
      </c>
      <c r="I169" s="1011">
        <f>VLOOKUP(B169,'App7 - PopSize_Calcs'!$M$3:$P$40,2,FALSE)</f>
        <v>7817212.666666666</v>
      </c>
      <c r="J169" s="1010">
        <f t="shared" si="23"/>
        <v>15943902</v>
      </c>
      <c r="K169" s="1010">
        <f t="shared" si="19"/>
        <v>16585</v>
      </c>
    </row>
    <row r="170" spans="1:11" x14ac:dyDescent="0.2">
      <c r="A170" s="1008" t="s">
        <v>32</v>
      </c>
      <c r="B170" s="1008" t="s">
        <v>292</v>
      </c>
      <c r="C170" s="1009" t="str">
        <f t="shared" si="22"/>
        <v>Lung_Total 60-74</v>
      </c>
      <c r="D170" s="1011">
        <f>VLOOKUP("lung_60 to 64",C:H,2,FALSE)+VLOOKUP("lung_65 to 69",C:H,2,FALSE)+VLOOKUP("lung_70 to 74",C:H,2,FALSE)</f>
        <v>10325</v>
      </c>
      <c r="E170" s="1012">
        <f t="shared" si="24"/>
        <v>196.8176101532089</v>
      </c>
      <c r="F170" s="1011">
        <f>VLOOKUP(B170,'App7 - PopSize_Calcs'!$M$3:$P$40,3,FALSE)</f>
        <v>5245973.666666667</v>
      </c>
      <c r="G170" s="1011">
        <f>VLOOKUP("lung_60 to 64",C:K,5,FALSE)+VLOOKUP("lung_65 to 69",C:K,5,FALSE)+VLOOKUP("lung_70 to 74",C:K,5,FALSE)</f>
        <v>11230</v>
      </c>
      <c r="H170" s="1012">
        <f t="shared" si="25"/>
        <v>227.79891947987741</v>
      </c>
      <c r="I170" s="1011">
        <f>VLOOKUP(B170,'App7 - PopSize_Calcs'!$M$3:$P$40,2,FALSE)</f>
        <v>4929786.333333333</v>
      </c>
      <c r="J170" s="1010">
        <v>8881256.9603638444</v>
      </c>
      <c r="K170" s="1010">
        <f t="shared" si="19"/>
        <v>21555</v>
      </c>
    </row>
    <row r="171" spans="1:11" x14ac:dyDescent="0.2">
      <c r="A171" s="1008" t="s">
        <v>32</v>
      </c>
      <c r="B171" s="1008" t="s">
        <v>261</v>
      </c>
      <c r="C171" s="1009" t="str">
        <f t="shared" si="22"/>
        <v>Lung_Total (All ages)</v>
      </c>
      <c r="D171" s="1013">
        <v>23265</v>
      </c>
      <c r="E171" s="1014">
        <v>70.099999999999994</v>
      </c>
      <c r="F171" s="1011">
        <f>VLOOKUP(B171,'App7 - PopSize_Calcs'!$M$3:$P$40,3,FALSE)</f>
        <v>33458051.999999996</v>
      </c>
      <c r="G171" s="1013">
        <v>25284</v>
      </c>
      <c r="H171" s="1014">
        <v>90.6</v>
      </c>
      <c r="I171" s="1011">
        <f>VLOOKUP(B171,'App7 - PopSize_Calcs'!$M$3:$P$40,2,FALSE)</f>
        <v>32583225.666666668</v>
      </c>
      <c r="J171" s="1010">
        <f t="shared" si="23"/>
        <v>66041277.666666664</v>
      </c>
      <c r="K171" s="1010">
        <f t="shared" si="19"/>
        <v>48549</v>
      </c>
    </row>
    <row r="172" spans="1:11" x14ac:dyDescent="0.2">
      <c r="A172" s="1008" t="s">
        <v>13</v>
      </c>
      <c r="B172" s="1009" t="s">
        <v>251</v>
      </c>
      <c r="C172" s="1009" t="str">
        <f t="shared" si="22"/>
        <v>Ovary_0 to 04</v>
      </c>
      <c r="D172" s="1011">
        <v>3</v>
      </c>
      <c r="E172" s="1012">
        <v>0.2</v>
      </c>
      <c r="F172" s="1011">
        <f>VLOOKUP(B172,'App7 - PopSize_Calcs'!$M$3:$P$40,3,FALSE)</f>
        <v>1930786.3333333333</v>
      </c>
      <c r="G172" s="1011">
        <v>0</v>
      </c>
      <c r="H172" s="1011">
        <v>0</v>
      </c>
      <c r="I172" s="1011">
        <v>0</v>
      </c>
      <c r="J172" s="1010">
        <f t="shared" si="23"/>
        <v>1930786.3333333333</v>
      </c>
      <c r="K172" s="1010">
        <f t="shared" si="19"/>
        <v>3</v>
      </c>
    </row>
    <row r="173" spans="1:11" x14ac:dyDescent="0.2">
      <c r="A173" s="1008" t="s">
        <v>13</v>
      </c>
      <c r="B173" s="1009" t="s">
        <v>252</v>
      </c>
      <c r="C173" s="1009" t="str">
        <f t="shared" si="22"/>
        <v>Ovary_05 to 09</v>
      </c>
      <c r="D173" s="1011">
        <v>4</v>
      </c>
      <c r="E173" s="1012">
        <v>0.2</v>
      </c>
      <c r="F173" s="1011">
        <f>VLOOKUP(B173,'App7 - PopSize_Calcs'!$M$3:$P$40,3,FALSE)</f>
        <v>1999676.3333333333</v>
      </c>
      <c r="G173" s="1011">
        <v>0</v>
      </c>
      <c r="H173" s="1011">
        <v>0</v>
      </c>
      <c r="I173" s="1011">
        <v>0</v>
      </c>
      <c r="J173" s="1010">
        <f t="shared" si="23"/>
        <v>1999676.3333333333</v>
      </c>
      <c r="K173" s="1010">
        <f t="shared" si="19"/>
        <v>4</v>
      </c>
    </row>
    <row r="174" spans="1:11" x14ac:dyDescent="0.2">
      <c r="A174" s="1008" t="s">
        <v>13</v>
      </c>
      <c r="B174" s="1009" t="s">
        <v>253</v>
      </c>
      <c r="C174" s="1009" t="str">
        <f t="shared" si="22"/>
        <v>Ovary_10 to 14</v>
      </c>
      <c r="D174" s="1011">
        <v>16</v>
      </c>
      <c r="E174" s="1012">
        <v>0.9</v>
      </c>
      <c r="F174" s="1011">
        <f>VLOOKUP(B174,'App7 - PopSize_Calcs'!$M$3:$P$40,3,FALSE)</f>
        <v>1823411.3333333333</v>
      </c>
      <c r="G174" s="1011">
        <v>0</v>
      </c>
      <c r="H174" s="1011">
        <v>0</v>
      </c>
      <c r="I174" s="1011">
        <v>0</v>
      </c>
      <c r="J174" s="1010">
        <f t="shared" si="23"/>
        <v>1823411.3333333333</v>
      </c>
      <c r="K174" s="1010">
        <f t="shared" si="19"/>
        <v>16</v>
      </c>
    </row>
    <row r="175" spans="1:11" x14ac:dyDescent="0.2">
      <c r="A175" s="1008" t="s">
        <v>13</v>
      </c>
      <c r="B175" s="1009" t="s">
        <v>254</v>
      </c>
      <c r="C175" s="1009" t="str">
        <f t="shared" si="22"/>
        <v>Ovary_15 to 19</v>
      </c>
      <c r="D175" s="1011">
        <v>39</v>
      </c>
      <c r="E175" s="1012">
        <v>2.1</v>
      </c>
      <c r="F175" s="1011">
        <f>VLOOKUP(B175,'App7 - PopSize_Calcs'!$M$3:$P$40,3,FALSE)</f>
        <v>1808992</v>
      </c>
      <c r="G175" s="1011">
        <v>0</v>
      </c>
      <c r="H175" s="1011">
        <v>0</v>
      </c>
      <c r="I175" s="1011">
        <v>0</v>
      </c>
      <c r="J175" s="1010">
        <f t="shared" si="23"/>
        <v>1808992</v>
      </c>
      <c r="K175" s="1010">
        <f t="shared" si="19"/>
        <v>39</v>
      </c>
    </row>
    <row r="176" spans="1:11" x14ac:dyDescent="0.2">
      <c r="A176" s="1008" t="s">
        <v>13</v>
      </c>
      <c r="B176" s="1009" t="s">
        <v>255</v>
      </c>
      <c r="C176" s="1009" t="str">
        <f t="shared" si="22"/>
        <v>Ovary_20 to 24</v>
      </c>
      <c r="D176" s="1011">
        <v>72</v>
      </c>
      <c r="E176" s="1012">
        <v>3.5</v>
      </c>
      <c r="F176" s="1011">
        <f>VLOOKUP(B176,'App7 - PopSize_Calcs'!$M$3:$P$40,3,FALSE)</f>
        <v>2053200.6666666667</v>
      </c>
      <c r="G176" s="1011">
        <v>0</v>
      </c>
      <c r="H176" s="1011">
        <v>0</v>
      </c>
      <c r="I176" s="1011">
        <v>0</v>
      </c>
      <c r="J176" s="1010">
        <f t="shared" si="23"/>
        <v>2053200.6666666667</v>
      </c>
      <c r="K176" s="1010">
        <f t="shared" si="19"/>
        <v>72</v>
      </c>
    </row>
    <row r="177" spans="1:11" x14ac:dyDescent="0.2">
      <c r="A177" s="1008" t="s">
        <v>13</v>
      </c>
      <c r="B177" s="1009" t="s">
        <v>256</v>
      </c>
      <c r="C177" s="1009" t="str">
        <f t="shared" si="22"/>
        <v>Ovary_25 to 29</v>
      </c>
      <c r="D177" s="1011">
        <v>130</v>
      </c>
      <c r="E177" s="1012">
        <v>5.8</v>
      </c>
      <c r="F177" s="1011">
        <f>VLOOKUP(B177,'App7 - PopSize_Calcs'!$M$3:$P$40,3,FALSE)</f>
        <v>2239266</v>
      </c>
      <c r="G177" s="1011">
        <v>0</v>
      </c>
      <c r="H177" s="1011">
        <v>0</v>
      </c>
      <c r="I177" s="1011">
        <v>0</v>
      </c>
      <c r="J177" s="1010">
        <f t="shared" si="23"/>
        <v>2239266</v>
      </c>
      <c r="K177" s="1010">
        <f t="shared" si="19"/>
        <v>130</v>
      </c>
    </row>
    <row r="178" spans="1:11" x14ac:dyDescent="0.2">
      <c r="A178" s="1008" t="s">
        <v>13</v>
      </c>
      <c r="B178" s="1009" t="s">
        <v>257</v>
      </c>
      <c r="C178" s="1009" t="str">
        <f t="shared" si="22"/>
        <v>Ovary_30 to 34</v>
      </c>
      <c r="D178" s="1011">
        <v>152</v>
      </c>
      <c r="E178" s="1012">
        <v>6.9</v>
      </c>
      <c r="F178" s="1011">
        <f>VLOOKUP(B178,'App7 - PopSize_Calcs'!$M$3:$P$40,3,FALSE)</f>
        <v>2222400.3333333335</v>
      </c>
      <c r="G178" s="1011">
        <v>0</v>
      </c>
      <c r="H178" s="1011">
        <v>0</v>
      </c>
      <c r="I178" s="1011">
        <v>0</v>
      </c>
      <c r="J178" s="1010">
        <f t="shared" si="23"/>
        <v>2222400.3333333335</v>
      </c>
      <c r="K178" s="1010">
        <f t="shared" si="19"/>
        <v>152</v>
      </c>
    </row>
    <row r="179" spans="1:11" x14ac:dyDescent="0.2">
      <c r="A179" s="1008" t="s">
        <v>13</v>
      </c>
      <c r="B179" s="1009" t="s">
        <v>258</v>
      </c>
      <c r="C179" s="1009" t="str">
        <f t="shared" si="22"/>
        <v>Ovary_35 to 39</v>
      </c>
      <c r="D179" s="1011">
        <v>196</v>
      </c>
      <c r="E179" s="1012">
        <v>9.1</v>
      </c>
      <c r="F179" s="1011">
        <f>VLOOKUP(B179,'App7 - PopSize_Calcs'!$M$3:$P$40,3,FALSE)</f>
        <v>2153444.6666666665</v>
      </c>
      <c r="G179" s="1011">
        <v>0</v>
      </c>
      <c r="H179" s="1011">
        <v>0</v>
      </c>
      <c r="I179" s="1011">
        <v>0</v>
      </c>
      <c r="J179" s="1010">
        <f t="shared" si="23"/>
        <v>2153444.6666666665</v>
      </c>
      <c r="K179" s="1010">
        <f t="shared" si="19"/>
        <v>196</v>
      </c>
    </row>
    <row r="180" spans="1:11" x14ac:dyDescent="0.2">
      <c r="A180" s="1008" t="s">
        <v>13</v>
      </c>
      <c r="B180" s="1009" t="s">
        <v>192</v>
      </c>
      <c r="C180" s="1009" t="str">
        <f t="shared" si="22"/>
        <v>Ovary_40 to 44</v>
      </c>
      <c r="D180" s="1011">
        <v>270</v>
      </c>
      <c r="E180" s="1012">
        <v>13.2</v>
      </c>
      <c r="F180" s="1011">
        <f>VLOOKUP(B180,'App7 - PopSize_Calcs'!$M$3:$P$40,3,FALSE)</f>
        <v>2054223.3333333333</v>
      </c>
      <c r="G180" s="1011">
        <v>0</v>
      </c>
      <c r="H180" s="1011">
        <v>0</v>
      </c>
      <c r="I180" s="1011">
        <v>0</v>
      </c>
      <c r="J180" s="1010">
        <f t="shared" si="23"/>
        <v>2054223.3333333333</v>
      </c>
      <c r="K180" s="1010">
        <f t="shared" si="19"/>
        <v>270</v>
      </c>
    </row>
    <row r="181" spans="1:11" x14ac:dyDescent="0.2">
      <c r="A181" s="1008" t="s">
        <v>13</v>
      </c>
      <c r="B181" s="1009" t="s">
        <v>193</v>
      </c>
      <c r="C181" s="1009" t="str">
        <f t="shared" si="22"/>
        <v>Ovary_45 to 49</v>
      </c>
      <c r="D181" s="1011">
        <v>448</v>
      </c>
      <c r="E181" s="1012">
        <v>19.399999999999999</v>
      </c>
      <c r="F181" s="1011">
        <f>VLOOKUP(B181,'App7 - PopSize_Calcs'!$M$3:$P$40,3,FALSE)</f>
        <v>2315479.3333333335</v>
      </c>
      <c r="G181" s="1011">
        <v>0</v>
      </c>
      <c r="H181" s="1011">
        <v>0</v>
      </c>
      <c r="I181" s="1011">
        <v>0</v>
      </c>
      <c r="J181" s="1010">
        <f t="shared" si="23"/>
        <v>2315479.3333333335</v>
      </c>
      <c r="K181" s="1010">
        <f t="shared" si="19"/>
        <v>448</v>
      </c>
    </row>
    <row r="182" spans="1:11" x14ac:dyDescent="0.2">
      <c r="A182" s="1008" t="s">
        <v>13</v>
      </c>
      <c r="B182" s="1009" t="s">
        <v>194</v>
      </c>
      <c r="C182" s="1009" t="str">
        <f t="shared" si="22"/>
        <v>Ovary_50 to 54</v>
      </c>
      <c r="D182" s="1011">
        <v>640</v>
      </c>
      <c r="E182" s="1012">
        <v>27.1</v>
      </c>
      <c r="F182" s="1011">
        <f>VLOOKUP(B182,'App7 - PopSize_Calcs'!$M$3:$P$40,3,FALSE)</f>
        <v>2364638</v>
      </c>
      <c r="G182" s="1011">
        <v>0</v>
      </c>
      <c r="H182" s="1011">
        <v>0</v>
      </c>
      <c r="I182" s="1011">
        <v>0</v>
      </c>
      <c r="J182" s="1010">
        <f t="shared" si="23"/>
        <v>2364638</v>
      </c>
      <c r="K182" s="1010">
        <f t="shared" si="19"/>
        <v>640</v>
      </c>
    </row>
    <row r="183" spans="1:11" x14ac:dyDescent="0.2">
      <c r="A183" s="1008" t="s">
        <v>13</v>
      </c>
      <c r="B183" s="1009" t="s">
        <v>195</v>
      </c>
      <c r="C183" s="1009" t="str">
        <f t="shared" si="22"/>
        <v>Ovary_55 to 59</v>
      </c>
      <c r="D183" s="1011">
        <v>738</v>
      </c>
      <c r="E183" s="1012">
        <v>34.799999999999997</v>
      </c>
      <c r="F183" s="1011">
        <f>VLOOKUP(B183,'App7 - PopSize_Calcs'!$M$3:$P$40,3,FALSE)</f>
        <v>2119687.3333333335</v>
      </c>
      <c r="G183" s="1011">
        <v>0</v>
      </c>
      <c r="H183" s="1011">
        <v>0</v>
      </c>
      <c r="I183" s="1011">
        <v>0</v>
      </c>
      <c r="J183" s="1010">
        <f t="shared" si="23"/>
        <v>2119687.3333333335</v>
      </c>
      <c r="K183" s="1010">
        <f t="shared" si="19"/>
        <v>738</v>
      </c>
    </row>
    <row r="184" spans="1:11" x14ac:dyDescent="0.2">
      <c r="A184" s="1008" t="s">
        <v>13</v>
      </c>
      <c r="B184" s="1009" t="s">
        <v>196</v>
      </c>
      <c r="C184" s="1009" t="str">
        <f t="shared" si="22"/>
        <v>Ovary_60 to 64</v>
      </c>
      <c r="D184" s="1011">
        <v>764</v>
      </c>
      <c r="E184" s="1012">
        <v>41.6</v>
      </c>
      <c r="F184" s="1011">
        <f>VLOOKUP(B184,'App7 - PopSize_Calcs'!$M$3:$P$40,3,FALSE)</f>
        <v>1837174</v>
      </c>
      <c r="G184" s="1011">
        <v>0</v>
      </c>
      <c r="H184" s="1011">
        <v>0</v>
      </c>
      <c r="I184" s="1011">
        <v>0</v>
      </c>
      <c r="J184" s="1010">
        <f t="shared" si="23"/>
        <v>1837174</v>
      </c>
      <c r="K184" s="1010">
        <f t="shared" si="19"/>
        <v>764</v>
      </c>
    </row>
    <row r="185" spans="1:11" x14ac:dyDescent="0.2">
      <c r="A185" s="1008" t="s">
        <v>13</v>
      </c>
      <c r="B185" s="1009" t="s">
        <v>197</v>
      </c>
      <c r="C185" s="1009" t="str">
        <f t="shared" si="22"/>
        <v>Ovary_65 to 69</v>
      </c>
      <c r="D185" s="1011">
        <v>944</v>
      </c>
      <c r="E185" s="1012">
        <v>52.3</v>
      </c>
      <c r="F185" s="1011">
        <f>VLOOKUP(B185,'App7 - PopSize_Calcs'!$M$3:$P$40,3,FALSE)</f>
        <v>1805190</v>
      </c>
      <c r="G185" s="1011">
        <v>0</v>
      </c>
      <c r="H185" s="1011">
        <v>0</v>
      </c>
      <c r="I185" s="1011">
        <v>0</v>
      </c>
      <c r="J185" s="1010">
        <f t="shared" si="23"/>
        <v>1805190</v>
      </c>
      <c r="K185" s="1010">
        <f t="shared" si="19"/>
        <v>944</v>
      </c>
    </row>
    <row r="186" spans="1:11" x14ac:dyDescent="0.2">
      <c r="A186" s="1008" t="s">
        <v>13</v>
      </c>
      <c r="B186" s="1009" t="s">
        <v>198</v>
      </c>
      <c r="C186" s="1009" t="str">
        <f t="shared" si="22"/>
        <v>Ovary_70 to 74</v>
      </c>
      <c r="D186" s="1011">
        <v>975</v>
      </c>
      <c r="E186" s="1012">
        <v>60.8</v>
      </c>
      <c r="F186" s="1011">
        <f>VLOOKUP(B186,'App7 - PopSize_Calcs'!$M$3:$P$40,3,FALSE)</f>
        <v>1603609.6666666667</v>
      </c>
      <c r="G186" s="1011">
        <v>0</v>
      </c>
      <c r="H186" s="1011">
        <v>0</v>
      </c>
      <c r="I186" s="1011">
        <v>0</v>
      </c>
      <c r="J186" s="1010">
        <f t="shared" si="23"/>
        <v>1603609.6666666667</v>
      </c>
      <c r="K186" s="1010">
        <f t="shared" si="19"/>
        <v>975</v>
      </c>
    </row>
    <row r="187" spans="1:11" x14ac:dyDescent="0.2">
      <c r="A187" s="1008" t="s">
        <v>13</v>
      </c>
      <c r="B187" s="1009" t="s">
        <v>199</v>
      </c>
      <c r="C187" s="1009" t="str">
        <f t="shared" si="22"/>
        <v>Ovary_75 to 79</v>
      </c>
      <c r="D187" s="1011">
        <v>872</v>
      </c>
      <c r="E187" s="1012">
        <v>73.8</v>
      </c>
      <c r="F187" s="1011">
        <f>VLOOKUP(B187,'App7 - PopSize_Calcs'!$M$3:$P$40,3,FALSE)</f>
        <v>1181645.3333333333</v>
      </c>
      <c r="G187" s="1011">
        <v>0</v>
      </c>
      <c r="H187" s="1011">
        <v>0</v>
      </c>
      <c r="I187" s="1011">
        <v>0</v>
      </c>
      <c r="J187" s="1010">
        <f t="shared" si="23"/>
        <v>1181645.3333333333</v>
      </c>
      <c r="K187" s="1010">
        <f t="shared" si="19"/>
        <v>872</v>
      </c>
    </row>
    <row r="188" spans="1:11" x14ac:dyDescent="0.2">
      <c r="A188" s="1008" t="s">
        <v>13</v>
      </c>
      <c r="B188" s="1009" t="s">
        <v>259</v>
      </c>
      <c r="C188" s="1009" t="str">
        <f t="shared" si="22"/>
        <v>Ovary_80 to 84</v>
      </c>
      <c r="D188" s="1011">
        <v>620</v>
      </c>
      <c r="E188" s="1012">
        <v>66.900000000000006</v>
      </c>
      <c r="F188" s="1011">
        <f>VLOOKUP(B188,'App7 - PopSize_Calcs'!$M$3:$P$40,3,FALSE)</f>
        <v>926371.33333333337</v>
      </c>
      <c r="G188" s="1011">
        <v>0</v>
      </c>
      <c r="H188" s="1011">
        <v>0</v>
      </c>
      <c r="I188" s="1011">
        <v>0</v>
      </c>
      <c r="J188" s="1010">
        <f t="shared" si="23"/>
        <v>926371.33333333337</v>
      </c>
      <c r="K188" s="1010">
        <f t="shared" si="19"/>
        <v>620</v>
      </c>
    </row>
    <row r="189" spans="1:11" x14ac:dyDescent="0.2">
      <c r="A189" s="1008" t="s">
        <v>13</v>
      </c>
      <c r="B189" s="1009" t="s">
        <v>260</v>
      </c>
      <c r="C189" s="1009" t="str">
        <f t="shared" si="22"/>
        <v>Ovary_85 to 89</v>
      </c>
      <c r="D189" s="1011">
        <v>398</v>
      </c>
      <c r="E189" s="1012">
        <v>64.400000000000006</v>
      </c>
      <c r="F189" s="1011">
        <f>VLOOKUP(B189,'App7 - PopSize_Calcs'!$M$3:$P$40,3,FALSE)</f>
        <v>618392.33333333337</v>
      </c>
      <c r="G189" s="1011">
        <v>0</v>
      </c>
      <c r="H189" s="1011">
        <v>0</v>
      </c>
      <c r="I189" s="1011">
        <v>0</v>
      </c>
      <c r="J189" s="1010">
        <f t="shared" si="23"/>
        <v>618392.33333333337</v>
      </c>
      <c r="K189" s="1010">
        <f t="shared" si="19"/>
        <v>398</v>
      </c>
    </row>
    <row r="190" spans="1:11" x14ac:dyDescent="0.2">
      <c r="A190" s="1008" t="s">
        <v>13</v>
      </c>
      <c r="B190" s="1009">
        <v>90</v>
      </c>
      <c r="C190" s="1009" t="str">
        <f t="shared" si="22"/>
        <v>Ovary_90</v>
      </c>
      <c r="D190" s="1011">
        <v>214</v>
      </c>
      <c r="E190" s="1012">
        <v>53.4</v>
      </c>
      <c r="F190" s="1011">
        <f>VLOOKUP(B190,'App7 - PopSize_Calcs'!$M$3:$P$40,3,FALSE)</f>
        <v>400463.66666666669</v>
      </c>
      <c r="G190" s="1011">
        <v>0</v>
      </c>
      <c r="H190" s="1011">
        <v>0</v>
      </c>
      <c r="I190" s="1011">
        <v>0</v>
      </c>
      <c r="J190" s="1010">
        <f t="shared" si="23"/>
        <v>400463.66666666669</v>
      </c>
      <c r="K190" s="1010">
        <f t="shared" si="19"/>
        <v>214</v>
      </c>
    </row>
    <row r="191" spans="1:11" x14ac:dyDescent="0.2">
      <c r="A191" s="1008" t="s">
        <v>13</v>
      </c>
      <c r="B191" s="1009" t="s">
        <v>204</v>
      </c>
      <c r="C191" s="1009" t="str">
        <f t="shared" si="22"/>
        <v>Ovary_Total 40-79</v>
      </c>
      <c r="D191" s="1011">
        <f>VLOOKUP("ovary_40 to 44",C:H,2,FALSE)+VLOOKUP("ovary_45 to 49",C:H,2,FALSE)+VLOOKUP("ovary_50 to 54",C:H,2,FALSE)+VLOOKUP("ovary_55 to 59",C:H,2,FALSE)+VLOOKUP("ovary_60 to 64",C:H,2,FALSE)+VLOOKUP("ovary_65 to 69",C:H,2,FALSE)+VLOOKUP("ovary_70 to 74",C:H,2,FALSE)+VLOOKUP("ovary_75 to 79",C:H,2,FALSE)</f>
        <v>5651</v>
      </c>
      <c r="E191" s="1012">
        <f t="shared" ref="E191:E196" si="26">(D191/F191)*100000</f>
        <v>36.978998402462771</v>
      </c>
      <c r="F191" s="1011">
        <f>VLOOKUP(B191,'App7 - PopSize_Calcs'!$M$3:$P$40,3,FALSE)</f>
        <v>15281647</v>
      </c>
      <c r="G191" s="1012">
        <f>VLOOKUP("ovary_40 to 44",C:H,5,FALSE)+VLOOKUP("ovary_45 to 49",C:H,5,FALSE)+VLOOKUP("ovary_50 to 54",C:H,5,FALSE)+VLOOKUP("ovary_55 to 59",C:H,5,FALSE)+VLOOKUP("ovary_60 to 64",C:H,5,FALSE)+VLOOKUP("ovary_65 to 69",C:H,5,FALSE)+VLOOKUP("ovary_70 to 74",C:H,5,FALSE)+VLOOKUP("ovary_75 to 79",C:H,5,FALSE)</f>
        <v>0</v>
      </c>
      <c r="H191" s="1012">
        <v>0</v>
      </c>
      <c r="I191" s="1011">
        <v>0</v>
      </c>
      <c r="J191" s="1010">
        <f t="shared" si="23"/>
        <v>15281647</v>
      </c>
      <c r="K191" s="1010">
        <f t="shared" si="19"/>
        <v>5651</v>
      </c>
    </row>
    <row r="192" spans="1:11" x14ac:dyDescent="0.2">
      <c r="A192" s="1008" t="s">
        <v>13</v>
      </c>
      <c r="B192" s="1008" t="s">
        <v>200</v>
      </c>
      <c r="C192" s="1009" t="str">
        <f t="shared" si="22"/>
        <v>Ovary_Total 40-69</v>
      </c>
      <c r="D192" s="1011">
        <f>VLOOKUP("ovary_40 to 44",C:H,2,FALSE)+VLOOKUP("ovary_45 to 49",C:H,2,FALSE)+VLOOKUP("ovary_50 to 54",C:H,2,FALSE)+VLOOKUP("ovary_55 to 59",C:H,2,FALSE)+VLOOKUP("ovary_60 to 64",C:H,2,FALSE)+VLOOKUP("ovary_65 to 69",C:H,2,FALSE)</f>
        <v>3804</v>
      </c>
      <c r="E192" s="1012">
        <f t="shared" si="26"/>
        <v>30.440786428594748</v>
      </c>
      <c r="F192" s="1011">
        <f>VLOOKUP(B192,'App7 - PopSize_Calcs'!$M$3:$P$40,3,FALSE)</f>
        <v>12496392</v>
      </c>
      <c r="G192" s="1012">
        <f>VLOOKUP("ovary_40 to 44",C:H,5,FALSE)+VLOOKUP("ovary_45 to 49",C:H,5,FALSE)+VLOOKUP("ovary_50 to 54",C:H,5,FALSE)+VLOOKUP("ovary_55 to 59",C:H,5,FALSE)+VLOOKUP("ovary_60 to 64",C:H,5,FALSE)+VLOOKUP("ovary_65 to 69",C:H,5,FALSE)</f>
        <v>0</v>
      </c>
      <c r="H192" s="1015">
        <v>0</v>
      </c>
      <c r="I192" s="1011">
        <v>0</v>
      </c>
      <c r="J192" s="1010">
        <f t="shared" si="23"/>
        <v>12496392</v>
      </c>
      <c r="K192" s="1010">
        <f t="shared" si="19"/>
        <v>3804</v>
      </c>
    </row>
    <row r="193" spans="1:11" x14ac:dyDescent="0.2">
      <c r="A193" s="1008" t="s">
        <v>13</v>
      </c>
      <c r="B193" s="1008" t="s">
        <v>201</v>
      </c>
      <c r="C193" s="1009" t="str">
        <f t="shared" si="22"/>
        <v>Ovary_Total 40-49</v>
      </c>
      <c r="D193" s="1011">
        <f>VLOOKUP("ovary_40 to 44",C:H,2,FALSE)+VLOOKUP("ovary_45 to 49",C:H,2,FALSE)</f>
        <v>718</v>
      </c>
      <c r="E193" s="1012">
        <f t="shared" si="26"/>
        <v>16.431323931422334</v>
      </c>
      <c r="F193" s="1011">
        <f>VLOOKUP(B193,'App7 - PopSize_Calcs'!$M$3:$P$40,3,FALSE)</f>
        <v>4369702.666666667</v>
      </c>
      <c r="G193" s="1012">
        <f>VLOOKUP("ovary_40 to 44",C:H,5,FALSE)+VLOOKUP("ovary_45 to 49",C:H,5,FALSE)</f>
        <v>0</v>
      </c>
      <c r="H193" s="1015">
        <v>0</v>
      </c>
      <c r="I193" s="1011">
        <v>0</v>
      </c>
      <c r="J193" s="1010">
        <f t="shared" si="23"/>
        <v>4369702.666666667</v>
      </c>
      <c r="K193" s="1010">
        <f t="shared" si="19"/>
        <v>718</v>
      </c>
    </row>
    <row r="194" spans="1:11" x14ac:dyDescent="0.2">
      <c r="A194" s="1008" t="s">
        <v>13</v>
      </c>
      <c r="B194" s="1008" t="s">
        <v>202</v>
      </c>
      <c r="C194" s="1009" t="str">
        <f t="shared" si="22"/>
        <v>Ovary_Total 50-59</v>
      </c>
      <c r="D194" s="1011">
        <f>VLOOKUP("ovary_50 to 54",C:H,2,FALSE)+VLOOKUP("ovary_55 to 59",C:H,2,FALSE)</f>
        <v>1378</v>
      </c>
      <c r="E194" s="1012">
        <f t="shared" si="26"/>
        <v>30.729260202352247</v>
      </c>
      <c r="F194" s="1011">
        <f>VLOOKUP(B194,'App7 - PopSize_Calcs'!$M$3:$P$40,3,FALSE)</f>
        <v>4484325.333333334</v>
      </c>
      <c r="G194" s="1012">
        <f>VLOOKUP("ovary_50 to 54",C:H,5,FALSE)+VLOOKUP("ovary_55 to 59",C:H,5,FALSE)</f>
        <v>0</v>
      </c>
      <c r="H194" s="1015">
        <v>0</v>
      </c>
      <c r="I194" s="1011">
        <v>0</v>
      </c>
      <c r="J194" s="1010">
        <f t="shared" si="23"/>
        <v>4484325.333333334</v>
      </c>
      <c r="K194" s="1010">
        <f t="shared" si="19"/>
        <v>1378</v>
      </c>
    </row>
    <row r="195" spans="1:11" x14ac:dyDescent="0.2">
      <c r="A195" s="1008" t="s">
        <v>13</v>
      </c>
      <c r="B195" s="1008" t="s">
        <v>203</v>
      </c>
      <c r="C195" s="1009" t="str">
        <f t="shared" si="22"/>
        <v>Ovary_Total 50-69</v>
      </c>
      <c r="D195" s="1011">
        <f>VLOOKUP("ovary_50 to 54",C:H,2,FALSE)+VLOOKUP("ovary_55 to 59",C:H,2,FALSE)+VLOOKUP("ovary_60 to 64",C:H,2,FALSE)+VLOOKUP("ovary_65 to 69",C:H,2,FALSE)</f>
        <v>3086</v>
      </c>
      <c r="E195" s="1012">
        <f t="shared" si="26"/>
        <v>37.973643059568168</v>
      </c>
      <c r="F195" s="1011">
        <f>VLOOKUP(B195,'App7 - PopSize_Calcs'!$M$3:$P$40,3,FALSE)</f>
        <v>8126689.333333334</v>
      </c>
      <c r="G195" s="1012">
        <f>VLOOKUP("ovary_50 to 54",C:H,5,FALSE)+VLOOKUP("ovary_55 to 59",C:H,5,FALSE)+VLOOKUP("ovary_60 to 64",C:H,5,FALSE)+VLOOKUP("ovary_65 to 69",C:H,5,FALSE)</f>
        <v>0</v>
      </c>
      <c r="H195" s="1015">
        <v>0</v>
      </c>
      <c r="I195" s="1011">
        <v>0</v>
      </c>
      <c r="J195" s="1010">
        <f t="shared" si="23"/>
        <v>8126689.333333334</v>
      </c>
      <c r="K195" s="1010">
        <f t="shared" ref="K195:K258" si="27">SUM(D195,G195)</f>
        <v>3086</v>
      </c>
    </row>
    <row r="196" spans="1:11" x14ac:dyDescent="0.2">
      <c r="A196" s="1008" t="s">
        <v>13</v>
      </c>
      <c r="B196" s="1008" t="s">
        <v>292</v>
      </c>
      <c r="C196" s="1009" t="str">
        <f t="shared" ref="C196" si="28">A196&amp;"_"&amp;B196</f>
        <v>Ovary_Total 60-74</v>
      </c>
      <c r="D196" s="1011">
        <f>VLOOKUP("ovary_60 to 64",C:H,2,FALSE)+VLOOKUP("ovary_65 to 69",C:H,2,FALSE)+VLOOKUP("ovary_70 to 74",C:H,2,FALSE)</f>
        <v>2683</v>
      </c>
      <c r="E196" s="1012">
        <f t="shared" si="26"/>
        <v>51.143985282427074</v>
      </c>
      <c r="F196" s="1011">
        <f>VLOOKUP(B196,'App7 - PopSize_Calcs'!$M$3:$P$40,3,FALSE)</f>
        <v>5245973.666666667</v>
      </c>
      <c r="G196" s="1011">
        <f>VLOOKUP("ovary_60 to 64",C:K,5,FALSE)+VLOOKUP("ovary_65 to 69",C:K,5,FALSE)+VLOOKUP("ovary_70 to 74",C:K,5,FALSE)</f>
        <v>0</v>
      </c>
      <c r="H196" s="1015">
        <f>IFERROR((VLOOKUP("ovary_60 to 64",C:J,5,FALSE)+VLOOKUP("ovary_65 to 69",C:J,5,FALSE)+VLOOKUP("ovary_70 to 74",C:J,5,FALSE))/(VLOOKUP("ovary_60 to 64",C:J,7,FALSE)+VLOOKUP("ovary_65 to 69",C:J,7,FALSE)+VLOOKUP("ovary_70 to 74",C:J,7,FALSE))*100000,0)</f>
        <v>0</v>
      </c>
      <c r="I196" s="1011">
        <v>0</v>
      </c>
      <c r="J196" s="1010">
        <f t="shared" si="23"/>
        <v>5245973.666666667</v>
      </c>
      <c r="K196" s="1010">
        <f t="shared" si="27"/>
        <v>2683</v>
      </c>
    </row>
    <row r="197" spans="1:11" x14ac:dyDescent="0.2">
      <c r="A197" s="1008" t="s">
        <v>13</v>
      </c>
      <c r="B197" s="1008" t="s">
        <v>261</v>
      </c>
      <c r="C197" s="1009" t="str">
        <f t="shared" si="22"/>
        <v>Ovary_Total (All ages)</v>
      </c>
      <c r="D197" s="1013">
        <v>7495</v>
      </c>
      <c r="E197" s="1014">
        <v>22.8</v>
      </c>
      <c r="F197" s="1011">
        <f>VLOOKUP(B197,'App7 - PopSize_Calcs'!$M$3:$P$40,3,FALSE)</f>
        <v>33458051.999999996</v>
      </c>
      <c r="G197" s="1012">
        <v>0</v>
      </c>
      <c r="H197" s="1015">
        <v>0</v>
      </c>
      <c r="I197" s="1011">
        <v>0</v>
      </c>
      <c r="J197" s="1010">
        <f t="shared" si="23"/>
        <v>33458051.999999996</v>
      </c>
      <c r="K197" s="1010">
        <f t="shared" si="27"/>
        <v>7495</v>
      </c>
    </row>
    <row r="198" spans="1:11" x14ac:dyDescent="0.2">
      <c r="A198" s="1008" t="s">
        <v>12</v>
      </c>
      <c r="B198" s="1009" t="s">
        <v>251</v>
      </c>
      <c r="C198" s="1009" t="str">
        <f t="shared" si="22"/>
        <v>Pancreas_0 to 04</v>
      </c>
      <c r="D198" s="1011">
        <v>0</v>
      </c>
      <c r="E198" s="1012">
        <v>0</v>
      </c>
      <c r="F198" s="1011">
        <f>VLOOKUP(B198,'App7 - PopSize_Calcs'!$M$3:$P$40,3,FALSE)</f>
        <v>1930786.3333333333</v>
      </c>
      <c r="G198" s="1011">
        <v>0</v>
      </c>
      <c r="H198" s="1012">
        <v>0</v>
      </c>
      <c r="I198" s="1011">
        <f>VLOOKUP(B198,'App7 - PopSize_Calcs'!$M$3:$P$40,2,FALSE)</f>
        <v>2032241.3333333333</v>
      </c>
      <c r="J198" s="1010">
        <f t="shared" si="23"/>
        <v>3963027.6666666665</v>
      </c>
      <c r="K198" s="1010">
        <f t="shared" si="27"/>
        <v>0</v>
      </c>
    </row>
    <row r="199" spans="1:11" x14ac:dyDescent="0.2">
      <c r="A199" s="1008" t="s">
        <v>12</v>
      </c>
      <c r="B199" s="1009" t="s">
        <v>252</v>
      </c>
      <c r="C199" s="1009" t="str">
        <f t="shared" si="22"/>
        <v>Pancreas_05 to 09</v>
      </c>
      <c r="D199" s="1011">
        <v>0</v>
      </c>
      <c r="E199" s="1012">
        <v>0</v>
      </c>
      <c r="F199" s="1011">
        <f>VLOOKUP(B199,'App7 - PopSize_Calcs'!$M$3:$P$40,3,FALSE)</f>
        <v>1999676.3333333333</v>
      </c>
      <c r="G199" s="1011">
        <v>0</v>
      </c>
      <c r="H199" s="1012">
        <v>0</v>
      </c>
      <c r="I199" s="1011">
        <f>VLOOKUP(B199,'App7 - PopSize_Calcs'!$M$3:$P$40,2,FALSE)</f>
        <v>2096799</v>
      </c>
      <c r="J199" s="1010">
        <f t="shared" si="23"/>
        <v>4096475.333333333</v>
      </c>
      <c r="K199" s="1010">
        <f t="shared" si="27"/>
        <v>0</v>
      </c>
    </row>
    <row r="200" spans="1:11" x14ac:dyDescent="0.2">
      <c r="A200" s="1008" t="s">
        <v>12</v>
      </c>
      <c r="B200" s="1009" t="s">
        <v>253</v>
      </c>
      <c r="C200" s="1009" t="str">
        <f t="shared" si="22"/>
        <v>Pancreas_10 to 14</v>
      </c>
      <c r="D200" s="1011">
        <v>1</v>
      </c>
      <c r="E200" s="1012">
        <v>0</v>
      </c>
      <c r="F200" s="1011">
        <f>VLOOKUP(B200,'App7 - PopSize_Calcs'!$M$3:$P$40,3,FALSE)</f>
        <v>1823411.3333333333</v>
      </c>
      <c r="G200" s="1011">
        <v>0</v>
      </c>
      <c r="H200" s="1012">
        <v>0</v>
      </c>
      <c r="I200" s="1011">
        <f>VLOOKUP(B200,'App7 - PopSize_Calcs'!$M$3:$P$40,2,FALSE)</f>
        <v>1915702.6666666667</v>
      </c>
      <c r="J200" s="1010">
        <f t="shared" si="23"/>
        <v>3739114</v>
      </c>
      <c r="K200" s="1010">
        <f t="shared" si="27"/>
        <v>1</v>
      </c>
    </row>
    <row r="201" spans="1:11" x14ac:dyDescent="0.2">
      <c r="A201" s="1008" t="s">
        <v>12</v>
      </c>
      <c r="B201" s="1009" t="s">
        <v>254</v>
      </c>
      <c r="C201" s="1009" t="str">
        <f t="shared" si="22"/>
        <v>Pancreas_15 to 19</v>
      </c>
      <c r="D201" s="1011">
        <v>2</v>
      </c>
      <c r="E201" s="1012">
        <v>0.1</v>
      </c>
      <c r="F201" s="1011">
        <f>VLOOKUP(B201,'App7 - PopSize_Calcs'!$M$3:$P$40,3,FALSE)</f>
        <v>1808992</v>
      </c>
      <c r="G201" s="1011">
        <v>1</v>
      </c>
      <c r="H201" s="1012">
        <v>0.1</v>
      </c>
      <c r="I201" s="1011">
        <f>VLOOKUP(B201,'App7 - PopSize_Calcs'!$M$3:$P$40,2,FALSE)</f>
        <v>1908478.6666666667</v>
      </c>
      <c r="J201" s="1010">
        <f t="shared" si="23"/>
        <v>3717470.666666667</v>
      </c>
      <c r="K201" s="1010">
        <f t="shared" si="27"/>
        <v>3</v>
      </c>
    </row>
    <row r="202" spans="1:11" x14ac:dyDescent="0.2">
      <c r="A202" s="1008" t="s">
        <v>12</v>
      </c>
      <c r="B202" s="1009" t="s">
        <v>255</v>
      </c>
      <c r="C202" s="1009" t="str">
        <f t="shared" si="22"/>
        <v>Pancreas_20 to 24</v>
      </c>
      <c r="D202" s="1011">
        <v>5</v>
      </c>
      <c r="E202" s="1012">
        <v>0.3</v>
      </c>
      <c r="F202" s="1011">
        <f>VLOOKUP(B202,'App7 - PopSize_Calcs'!$M$3:$P$40,3,FALSE)</f>
        <v>2053200.6666666667</v>
      </c>
      <c r="G202" s="1011">
        <v>2</v>
      </c>
      <c r="H202" s="1012">
        <v>0.1</v>
      </c>
      <c r="I202" s="1011">
        <f>VLOOKUP(B202,'App7 - PopSize_Calcs'!$M$3:$P$40,2,FALSE)</f>
        <v>2161986</v>
      </c>
      <c r="J202" s="1010">
        <f t="shared" si="23"/>
        <v>4215186.666666667</v>
      </c>
      <c r="K202" s="1010">
        <f t="shared" si="27"/>
        <v>7</v>
      </c>
    </row>
    <row r="203" spans="1:11" x14ac:dyDescent="0.2">
      <c r="A203" s="1008" t="s">
        <v>12</v>
      </c>
      <c r="B203" s="1009" t="s">
        <v>256</v>
      </c>
      <c r="C203" s="1009" t="str">
        <f t="shared" si="22"/>
        <v>Pancreas_25 to 29</v>
      </c>
      <c r="D203" s="1011">
        <v>5</v>
      </c>
      <c r="E203" s="1012">
        <v>0.2</v>
      </c>
      <c r="F203" s="1011">
        <f>VLOOKUP(B203,'App7 - PopSize_Calcs'!$M$3:$P$40,3,FALSE)</f>
        <v>2239266</v>
      </c>
      <c r="G203" s="1011">
        <v>7</v>
      </c>
      <c r="H203" s="1012">
        <v>0.3</v>
      </c>
      <c r="I203" s="1011">
        <f>VLOOKUP(B203,'App7 - PopSize_Calcs'!$M$3:$P$40,2,FALSE)</f>
        <v>2287337.6666666665</v>
      </c>
      <c r="J203" s="1010">
        <f t="shared" si="23"/>
        <v>4526603.666666666</v>
      </c>
      <c r="K203" s="1010">
        <f t="shared" si="27"/>
        <v>12</v>
      </c>
    </row>
    <row r="204" spans="1:11" x14ac:dyDescent="0.2">
      <c r="A204" s="1008" t="s">
        <v>12</v>
      </c>
      <c r="B204" s="1009" t="s">
        <v>257</v>
      </c>
      <c r="C204" s="1009" t="str">
        <f t="shared" si="22"/>
        <v>Pancreas_30 to 34</v>
      </c>
      <c r="D204" s="1011">
        <v>13</v>
      </c>
      <c r="E204" s="1012">
        <v>0.6</v>
      </c>
      <c r="F204" s="1011">
        <f>VLOOKUP(B204,'App7 - PopSize_Calcs'!$M$3:$P$40,3,FALSE)</f>
        <v>2222400.3333333335</v>
      </c>
      <c r="G204" s="1011">
        <v>9</v>
      </c>
      <c r="H204" s="1012">
        <v>0.4</v>
      </c>
      <c r="I204" s="1011">
        <f>VLOOKUP(B204,'App7 - PopSize_Calcs'!$M$3:$P$40,2,FALSE)</f>
        <v>2208867.6666666665</v>
      </c>
      <c r="J204" s="1010">
        <f t="shared" si="23"/>
        <v>4431268</v>
      </c>
      <c r="K204" s="1010">
        <f t="shared" si="27"/>
        <v>22</v>
      </c>
    </row>
    <row r="205" spans="1:11" x14ac:dyDescent="0.2">
      <c r="A205" s="1008" t="s">
        <v>12</v>
      </c>
      <c r="B205" s="1009" t="s">
        <v>258</v>
      </c>
      <c r="C205" s="1009" t="str">
        <f t="shared" si="22"/>
        <v>Pancreas_35 to 39</v>
      </c>
      <c r="D205" s="1011">
        <v>16</v>
      </c>
      <c r="E205" s="1012">
        <v>0.7</v>
      </c>
      <c r="F205" s="1011">
        <f>VLOOKUP(B205,'App7 - PopSize_Calcs'!$M$3:$P$40,3,FALSE)</f>
        <v>2153444.6666666665</v>
      </c>
      <c r="G205" s="1011">
        <v>22</v>
      </c>
      <c r="H205" s="1012">
        <v>1</v>
      </c>
      <c r="I205" s="1011">
        <f>VLOOKUP(B205,'App7 - PopSize_Calcs'!$M$3:$P$40,2,FALSE)</f>
        <v>2124546.3333333335</v>
      </c>
      <c r="J205" s="1010">
        <f t="shared" si="23"/>
        <v>4277991</v>
      </c>
      <c r="K205" s="1010">
        <f t="shared" si="27"/>
        <v>38</v>
      </c>
    </row>
    <row r="206" spans="1:11" x14ac:dyDescent="0.2">
      <c r="A206" s="1008" t="s">
        <v>12</v>
      </c>
      <c r="B206" s="1009" t="s">
        <v>192</v>
      </c>
      <c r="C206" s="1009" t="str">
        <f t="shared" si="22"/>
        <v>Pancreas_40 to 44</v>
      </c>
      <c r="D206" s="1011">
        <v>42</v>
      </c>
      <c r="E206" s="1012">
        <v>2</v>
      </c>
      <c r="F206" s="1011">
        <f>VLOOKUP(B206,'App7 - PopSize_Calcs'!$M$3:$P$40,3,FALSE)</f>
        <v>2054223.3333333333</v>
      </c>
      <c r="G206" s="1011">
        <v>52</v>
      </c>
      <c r="H206" s="1012">
        <v>2.6</v>
      </c>
      <c r="I206" s="1011">
        <f>VLOOKUP(B206,'App7 - PopSize_Calcs'!$M$3:$P$40,2,FALSE)</f>
        <v>2021384.6666666667</v>
      </c>
      <c r="J206" s="1010">
        <f t="shared" si="23"/>
        <v>4075608</v>
      </c>
      <c r="K206" s="1010">
        <f t="shared" si="27"/>
        <v>94</v>
      </c>
    </row>
    <row r="207" spans="1:11" x14ac:dyDescent="0.2">
      <c r="A207" s="1008" t="s">
        <v>12</v>
      </c>
      <c r="B207" s="1009" t="s">
        <v>193</v>
      </c>
      <c r="C207" s="1009" t="str">
        <f t="shared" si="22"/>
        <v>Pancreas_45 to 49</v>
      </c>
      <c r="D207" s="1011">
        <v>89</v>
      </c>
      <c r="E207" s="1012">
        <v>3.9</v>
      </c>
      <c r="F207" s="1011">
        <f>VLOOKUP(B207,'App7 - PopSize_Calcs'!$M$3:$P$40,3,FALSE)</f>
        <v>2315479.3333333335</v>
      </c>
      <c r="G207" s="1011">
        <v>126</v>
      </c>
      <c r="H207" s="1012">
        <v>5.6</v>
      </c>
      <c r="I207" s="1011">
        <f>VLOOKUP(B207,'App7 - PopSize_Calcs'!$M$3:$P$40,2,FALSE)</f>
        <v>2251680</v>
      </c>
      <c r="J207" s="1010">
        <f t="shared" si="23"/>
        <v>4567159.333333334</v>
      </c>
      <c r="K207" s="1010">
        <f t="shared" si="27"/>
        <v>215</v>
      </c>
    </row>
    <row r="208" spans="1:11" x14ac:dyDescent="0.2">
      <c r="A208" s="1008" t="s">
        <v>12</v>
      </c>
      <c r="B208" s="1009" t="s">
        <v>262</v>
      </c>
      <c r="C208" s="1009" t="str">
        <f t="shared" si="22"/>
        <v xml:space="preserve">Pancreas_40 to 49 </v>
      </c>
      <c r="D208" s="1011">
        <f>SUM(D206:D207)</f>
        <v>131</v>
      </c>
      <c r="E208" s="1012">
        <f>(D208/F208)*100000</f>
        <v>2.9979156476550499</v>
      </c>
      <c r="F208" s="1011">
        <f>SUM(F206:F207)</f>
        <v>4369702.666666667</v>
      </c>
      <c r="G208" s="1011">
        <f>SUM(G206:G207)</f>
        <v>178</v>
      </c>
      <c r="H208" s="1012">
        <f t="shared" ref="H208" si="29">(G208/I208)*100000</f>
        <v>4.1656285098735539</v>
      </c>
      <c r="I208" s="1011">
        <f>SUM(I206:I207)</f>
        <v>4273064.666666667</v>
      </c>
      <c r="J208" s="1010">
        <f t="shared" si="23"/>
        <v>8642767.333333334</v>
      </c>
      <c r="K208" s="1010">
        <f t="shared" si="27"/>
        <v>309</v>
      </c>
    </row>
    <row r="209" spans="1:11" x14ac:dyDescent="0.2">
      <c r="A209" s="1008" t="s">
        <v>12</v>
      </c>
      <c r="B209" s="1009" t="s">
        <v>194</v>
      </c>
      <c r="C209" s="1009" t="str">
        <f t="shared" si="22"/>
        <v>Pancreas_50 to 54</v>
      </c>
      <c r="D209" s="1011">
        <v>174</v>
      </c>
      <c r="E209" s="1012">
        <v>7.3</v>
      </c>
      <c r="F209" s="1011">
        <f>VLOOKUP(B209,'App7 - PopSize_Calcs'!$M$3:$P$40,3,FALSE)</f>
        <v>2364638</v>
      </c>
      <c r="G209" s="1011">
        <v>235</v>
      </c>
      <c r="H209" s="1012">
        <v>10.199999999999999</v>
      </c>
      <c r="I209" s="1011">
        <f>VLOOKUP(B209,'App7 - PopSize_Calcs'!$M$3:$P$40,2,FALSE)</f>
        <v>2293472.6666666665</v>
      </c>
      <c r="J209" s="1010">
        <f t="shared" si="23"/>
        <v>4658110.666666666</v>
      </c>
      <c r="K209" s="1010">
        <f t="shared" si="27"/>
        <v>409</v>
      </c>
    </row>
    <row r="210" spans="1:11" x14ac:dyDescent="0.2">
      <c r="A210" s="1008" t="s">
        <v>12</v>
      </c>
      <c r="B210" s="1009" t="s">
        <v>195</v>
      </c>
      <c r="C210" s="1009" t="str">
        <f t="shared" si="22"/>
        <v>Pancreas_55 to 59</v>
      </c>
      <c r="D210" s="1011">
        <v>288</v>
      </c>
      <c r="E210" s="1012">
        <v>13.6</v>
      </c>
      <c r="F210" s="1011">
        <f>VLOOKUP(B210,'App7 - PopSize_Calcs'!$M$3:$P$40,3,FALSE)</f>
        <v>2119687.3333333335</v>
      </c>
      <c r="G210" s="1011">
        <v>378</v>
      </c>
      <c r="H210" s="1012">
        <v>18.3</v>
      </c>
      <c r="I210" s="1011">
        <f>VLOOKUP(B210,'App7 - PopSize_Calcs'!$M$3:$P$40,2,FALSE)</f>
        <v>2061918.6666666667</v>
      </c>
      <c r="J210" s="1010">
        <f t="shared" si="23"/>
        <v>4181606</v>
      </c>
      <c r="K210" s="1010">
        <f t="shared" si="27"/>
        <v>666</v>
      </c>
    </row>
    <row r="211" spans="1:11" x14ac:dyDescent="0.2">
      <c r="A211" s="1008" t="s">
        <v>12</v>
      </c>
      <c r="B211" s="1009" t="s">
        <v>230</v>
      </c>
      <c r="C211" s="1009" t="str">
        <f t="shared" si="22"/>
        <v>Pancreas_50 to 59</v>
      </c>
      <c r="D211" s="1011">
        <f>SUM(D209:D210)</f>
        <v>462</v>
      </c>
      <c r="E211" s="1012">
        <f>(D211/F211)*100000</f>
        <v>10.302553130251624</v>
      </c>
      <c r="F211" s="1011">
        <f>SUM(F209:F210)</f>
        <v>4484325.333333334</v>
      </c>
      <c r="G211" s="1011">
        <f>SUM(G209:G210)</f>
        <v>613</v>
      </c>
      <c r="H211" s="1012">
        <f t="shared" ref="H211" si="30">(G211/I211)*100000</f>
        <v>14.074510258320455</v>
      </c>
      <c r="I211" s="1011">
        <f>SUM(I209:I210)</f>
        <v>4355391.333333333</v>
      </c>
      <c r="J211" s="1010">
        <f t="shared" si="23"/>
        <v>8839716.6666666679</v>
      </c>
      <c r="K211" s="1010">
        <f t="shared" si="27"/>
        <v>1075</v>
      </c>
    </row>
    <row r="212" spans="1:11" x14ac:dyDescent="0.2">
      <c r="A212" s="1008" t="s">
        <v>12</v>
      </c>
      <c r="B212" s="1009" t="s">
        <v>196</v>
      </c>
      <c r="C212" s="1009" t="str">
        <f t="shared" si="22"/>
        <v>Pancreas_60 to 64</v>
      </c>
      <c r="D212" s="1011">
        <v>411</v>
      </c>
      <c r="E212" s="1012">
        <v>22.4</v>
      </c>
      <c r="F212" s="1011">
        <f>VLOOKUP(B212,'App7 - PopSize_Calcs'!$M$3:$P$40,3,FALSE)</f>
        <v>1837174</v>
      </c>
      <c r="G212" s="1011">
        <v>515</v>
      </c>
      <c r="H212" s="1012">
        <v>29.2</v>
      </c>
      <c r="I212" s="1011">
        <f>VLOOKUP(B212,'App7 - PopSize_Calcs'!$M$3:$P$40,2,FALSE)</f>
        <v>1764828</v>
      </c>
      <c r="J212" s="1010">
        <f t="shared" si="23"/>
        <v>3602002</v>
      </c>
      <c r="K212" s="1010">
        <f t="shared" si="27"/>
        <v>926</v>
      </c>
    </row>
    <row r="213" spans="1:11" x14ac:dyDescent="0.2">
      <c r="A213" s="1008" t="s">
        <v>12</v>
      </c>
      <c r="B213" s="1009" t="s">
        <v>197</v>
      </c>
      <c r="C213" s="1009" t="str">
        <f t="shared" si="22"/>
        <v>Pancreas_65 to 69</v>
      </c>
      <c r="D213" s="1011">
        <v>616</v>
      </c>
      <c r="E213" s="1012">
        <v>34.1</v>
      </c>
      <c r="F213" s="1011">
        <f>VLOOKUP(B213,'App7 - PopSize_Calcs'!$M$3:$P$40,3,FALSE)</f>
        <v>1805190</v>
      </c>
      <c r="G213" s="1011">
        <v>801</v>
      </c>
      <c r="H213" s="1012">
        <v>47.2</v>
      </c>
      <c r="I213" s="1011">
        <f>VLOOKUP(B213,'App7 - PopSize_Calcs'!$M$3:$P$40,2,FALSE)</f>
        <v>1696993.3333333333</v>
      </c>
      <c r="J213" s="1010">
        <f t="shared" si="23"/>
        <v>3502183.333333333</v>
      </c>
      <c r="K213" s="1010">
        <f t="shared" si="27"/>
        <v>1417</v>
      </c>
    </row>
    <row r="214" spans="1:11" x14ac:dyDescent="0.2">
      <c r="A214" s="1008" t="s">
        <v>12</v>
      </c>
      <c r="B214" s="1009" t="s">
        <v>198</v>
      </c>
      <c r="C214" s="1009" t="str">
        <f t="shared" si="22"/>
        <v>Pancreas_70 to 74</v>
      </c>
      <c r="D214" s="1011">
        <v>782</v>
      </c>
      <c r="E214" s="1012">
        <v>48.8</v>
      </c>
      <c r="F214" s="1011">
        <f>VLOOKUP(B214,'App7 - PopSize_Calcs'!$M$3:$P$40,3,FALSE)</f>
        <v>1603609.6666666667</v>
      </c>
      <c r="G214" s="1011">
        <v>975</v>
      </c>
      <c r="H214" s="1012">
        <v>66.400000000000006</v>
      </c>
      <c r="I214" s="1011">
        <f>VLOOKUP(B214,'App7 - PopSize_Calcs'!$M$3:$P$40,2,FALSE)</f>
        <v>1467965</v>
      </c>
      <c r="J214" s="1010">
        <f t="shared" si="23"/>
        <v>3071574.666666667</v>
      </c>
      <c r="K214" s="1010">
        <f t="shared" si="27"/>
        <v>1757</v>
      </c>
    </row>
    <row r="215" spans="1:11" x14ac:dyDescent="0.2">
      <c r="A215" s="1008" t="s">
        <v>12</v>
      </c>
      <c r="B215" s="1009" t="s">
        <v>199</v>
      </c>
      <c r="C215" s="1009" t="str">
        <f t="shared" si="22"/>
        <v>Pancreas_75 to 79</v>
      </c>
      <c r="D215" s="1011">
        <v>836</v>
      </c>
      <c r="E215" s="1012">
        <v>70.8</v>
      </c>
      <c r="F215" s="1011">
        <f>VLOOKUP(B215,'App7 - PopSize_Calcs'!$M$3:$P$40,3,FALSE)</f>
        <v>1181645.3333333333</v>
      </c>
      <c r="G215" s="1011">
        <v>866</v>
      </c>
      <c r="H215" s="1012">
        <v>86</v>
      </c>
      <c r="I215" s="1011">
        <f>VLOOKUP(B215,'App7 - PopSize_Calcs'!$M$3:$P$40,2,FALSE)</f>
        <v>1007365.3333333334</v>
      </c>
      <c r="J215" s="1010">
        <f t="shared" si="23"/>
        <v>2189010.6666666665</v>
      </c>
      <c r="K215" s="1010">
        <f t="shared" si="27"/>
        <v>1702</v>
      </c>
    </row>
    <row r="216" spans="1:11" x14ac:dyDescent="0.2">
      <c r="A216" s="1008" t="s">
        <v>12</v>
      </c>
      <c r="B216" s="1009" t="s">
        <v>259</v>
      </c>
      <c r="C216" s="1009" t="str">
        <f t="shared" si="22"/>
        <v>Pancreas_80 to 84</v>
      </c>
      <c r="D216" s="1011">
        <v>792</v>
      </c>
      <c r="E216" s="1012">
        <v>85.5</v>
      </c>
      <c r="F216" s="1011">
        <f>VLOOKUP(B216,'App7 - PopSize_Calcs'!$M$3:$P$40,3,FALSE)</f>
        <v>926371.33333333337</v>
      </c>
      <c r="G216" s="1011">
        <v>722</v>
      </c>
      <c r="H216" s="1012">
        <v>101.4</v>
      </c>
      <c r="I216" s="1011">
        <f>VLOOKUP(B216,'App7 - PopSize_Calcs'!$M$3:$P$40,2,FALSE)</f>
        <v>712072</v>
      </c>
      <c r="J216" s="1010">
        <f t="shared" si="23"/>
        <v>1638443.3333333335</v>
      </c>
      <c r="K216" s="1010">
        <f t="shared" si="27"/>
        <v>1514</v>
      </c>
    </row>
    <row r="217" spans="1:11" x14ac:dyDescent="0.2">
      <c r="A217" s="1008" t="s">
        <v>12</v>
      </c>
      <c r="B217" s="1009" t="s">
        <v>260</v>
      </c>
      <c r="C217" s="1009" t="str">
        <f t="shared" ref="C217:C288" si="31">A217&amp;"_"&amp;B217</f>
        <v>Pancreas_85 to 89</v>
      </c>
      <c r="D217" s="1011">
        <v>607</v>
      </c>
      <c r="E217" s="1012">
        <v>98.1</v>
      </c>
      <c r="F217" s="1011">
        <f>VLOOKUP(B217,'App7 - PopSize_Calcs'!$M$3:$P$40,3,FALSE)</f>
        <v>618392.33333333337</v>
      </c>
      <c r="G217" s="1011">
        <v>463</v>
      </c>
      <c r="H217" s="1012">
        <v>118.2</v>
      </c>
      <c r="I217" s="1011">
        <f>VLOOKUP(B217,'App7 - PopSize_Calcs'!$M$3:$P$40,2,FALSE)</f>
        <v>391702</v>
      </c>
      <c r="J217" s="1010">
        <f t="shared" si="23"/>
        <v>1010094.3333333334</v>
      </c>
      <c r="K217" s="1010">
        <f t="shared" si="27"/>
        <v>1070</v>
      </c>
    </row>
    <row r="218" spans="1:11" x14ac:dyDescent="0.2">
      <c r="A218" s="1008" t="s">
        <v>12</v>
      </c>
      <c r="B218" s="1009">
        <v>90</v>
      </c>
      <c r="C218" s="1009" t="str">
        <f t="shared" si="31"/>
        <v>Pancreas_90</v>
      </c>
      <c r="D218" s="1011">
        <v>377</v>
      </c>
      <c r="E218" s="1012">
        <v>94.2</v>
      </c>
      <c r="F218" s="1011">
        <f>VLOOKUP(B218,'App7 - PopSize_Calcs'!$M$3:$P$40,3,FALSE)</f>
        <v>400463.66666666669</v>
      </c>
      <c r="G218" s="1011">
        <v>223</v>
      </c>
      <c r="H218" s="1012">
        <v>125.2</v>
      </c>
      <c r="I218" s="1011">
        <f>VLOOKUP(B218,'App7 - PopSize_Calcs'!$M$3:$P$40,2,FALSE)</f>
        <v>177884.66666666666</v>
      </c>
      <c r="J218" s="1010">
        <f t="shared" ref="J218:J280" si="32">SUM(F218,I218)</f>
        <v>578348.33333333337</v>
      </c>
      <c r="K218" s="1010">
        <f t="shared" si="27"/>
        <v>600</v>
      </c>
    </row>
    <row r="219" spans="1:11" x14ac:dyDescent="0.2">
      <c r="A219" s="1008" t="s">
        <v>12</v>
      </c>
      <c r="B219" s="1009" t="s">
        <v>204</v>
      </c>
      <c r="C219" s="1009" t="str">
        <f t="shared" si="31"/>
        <v>Pancreas_Total 40-79</v>
      </c>
      <c r="D219" s="1011">
        <f>VLOOKUP("pancreas_40 to 44",C:H,2,FALSE)+VLOOKUP("pancreas_45 to 49",C:H,2,FALSE)+VLOOKUP("pancreas_50 to 54",C:H,2,FALSE)+VLOOKUP("pancreas_55 to 59",C:H,2,FALSE)+VLOOKUP("pancreas_60 to 64",C:H,2,FALSE)+VLOOKUP("pancreas_65 to 69",C:H,2,FALSE)+VLOOKUP("pancreas_70 to 74",C:H,2,FALSE)+VLOOKUP("pancreas_75 to 79",C:H,2,FALSE)</f>
        <v>3238</v>
      </c>
      <c r="E219" s="1012">
        <f t="shared" ref="E219:E224" si="33">(D219/F219)*100000</f>
        <v>21.188815577273839</v>
      </c>
      <c r="F219" s="1011">
        <f>VLOOKUP(B219,'App7 - PopSize_Calcs'!$M$3:$P$40,3,FALSE)</f>
        <v>15281647</v>
      </c>
      <c r="G219" s="1012">
        <f>VLOOKUP("pancreas_40 to 44",C:H,5,FALSE)+VLOOKUP("pancreas_45 to 49",C:H,5,FALSE)+VLOOKUP("pancreas_50 to 54",C:H,5,FALSE)+VLOOKUP("pancreas_55 to 59",C:H,5,FALSE)+VLOOKUP("pancreas_60 to 64",C:H,5,FALSE)+VLOOKUP("pancreas_65 to 69",C:H,5,FALSE)+VLOOKUP("pancreas_70 to 74",C:H,5,FALSE)+VLOOKUP("pancreas_75 to 79",C:H,5,FALSE)</f>
        <v>3948</v>
      </c>
      <c r="H219" s="1012">
        <f t="shared" ref="H219:H224" si="34">(G219/I219)*100000</f>
        <v>27.10494536410576</v>
      </c>
      <c r="I219" s="1011">
        <f>VLOOKUP(B219,'App7 - PopSize_Calcs'!$M$3:$P$40,2,FALSE)</f>
        <v>14565607.666666668</v>
      </c>
      <c r="J219" s="1010">
        <f t="shared" si="32"/>
        <v>29847254.666666668</v>
      </c>
      <c r="K219" s="1010">
        <f t="shared" si="27"/>
        <v>7186</v>
      </c>
    </row>
    <row r="220" spans="1:11" x14ac:dyDescent="0.2">
      <c r="A220" s="1008" t="s">
        <v>12</v>
      </c>
      <c r="B220" s="1008" t="s">
        <v>200</v>
      </c>
      <c r="C220" s="1009" t="str">
        <f t="shared" si="31"/>
        <v>Pancreas_Total 40-69</v>
      </c>
      <c r="D220" s="1011">
        <f>VLOOKUP("pancreas_40 to 44",C:H,2,FALSE)+VLOOKUP("pancreas_45 to 49",C:H,2,FALSE)+VLOOKUP("pancreas_50 to 54",C:H,2,FALSE)+VLOOKUP("pancreas_55 to 59",C:H,2,FALSE)+VLOOKUP("pancreas_60 to 64",C:H,2,FALSE)+VLOOKUP("pancreas_65 to 69",C:H,2,FALSE)</f>
        <v>1620</v>
      </c>
      <c r="E220" s="1012">
        <f t="shared" si="33"/>
        <v>12.96374185444887</v>
      </c>
      <c r="F220" s="1011">
        <f>VLOOKUP(B220,'App7 - PopSize_Calcs'!$M$3:$P$40,3,FALSE)</f>
        <v>12496392</v>
      </c>
      <c r="G220" s="1012">
        <f>VLOOKUP("pancreas_40 to 44",C:H,5,FALSE)+VLOOKUP("pancreas_45 to 49",C:H,5,FALSE)+VLOOKUP("pancreas_50 to 54",C:H,5,FALSE)+VLOOKUP("pancreas_55 to 59",C:H,5,FALSE)+VLOOKUP("pancreas_60 to 64",C:H,5,FALSE)+VLOOKUP("pancreas_65 to 69",C:H,5,FALSE)</f>
        <v>2107</v>
      </c>
      <c r="H220" s="1012">
        <f t="shared" si="34"/>
        <v>17.427226372970985</v>
      </c>
      <c r="I220" s="1011">
        <f>VLOOKUP(B220,'App7 - PopSize_Calcs'!$M$3:$P$40,2,FALSE)</f>
        <v>12090277.333333334</v>
      </c>
      <c r="J220" s="1010">
        <f t="shared" si="32"/>
        <v>24586669.333333336</v>
      </c>
      <c r="K220" s="1010">
        <f t="shared" si="27"/>
        <v>3727</v>
      </c>
    </row>
    <row r="221" spans="1:11" x14ac:dyDescent="0.2">
      <c r="A221" s="1008" t="s">
        <v>12</v>
      </c>
      <c r="B221" s="1008" t="s">
        <v>201</v>
      </c>
      <c r="C221" s="1009" t="str">
        <f t="shared" si="31"/>
        <v>Pancreas_Total 40-49</v>
      </c>
      <c r="D221" s="1011">
        <f>VLOOKUP("pancreas_40 to 44",C:H,2,FALSE)+VLOOKUP("pancreas_45 to 49",C:H,2,FALSE)</f>
        <v>131</v>
      </c>
      <c r="E221" s="1012">
        <f t="shared" si="33"/>
        <v>2.9979156476550499</v>
      </c>
      <c r="F221" s="1011">
        <f>VLOOKUP(B221,'App7 - PopSize_Calcs'!$M$3:$P$40,3,FALSE)</f>
        <v>4369702.666666667</v>
      </c>
      <c r="G221" s="1012">
        <f>VLOOKUP("pancreas_40 to 44",C:H,5,FALSE)+VLOOKUP("pancreas_45 to 49",C:H,5,FALSE)</f>
        <v>178</v>
      </c>
      <c r="H221" s="1012">
        <f t="shared" si="34"/>
        <v>4.1656285098735539</v>
      </c>
      <c r="I221" s="1011">
        <f>VLOOKUP(B221,'App7 - PopSize_Calcs'!$M$3:$P$40,2,FALSE)</f>
        <v>4273064.666666667</v>
      </c>
      <c r="J221" s="1010">
        <f t="shared" si="32"/>
        <v>8642767.333333334</v>
      </c>
      <c r="K221" s="1010">
        <f t="shared" si="27"/>
        <v>309</v>
      </c>
    </row>
    <row r="222" spans="1:11" x14ac:dyDescent="0.2">
      <c r="A222" s="1008" t="s">
        <v>12</v>
      </c>
      <c r="B222" s="1008" t="s">
        <v>202</v>
      </c>
      <c r="C222" s="1009" t="str">
        <f t="shared" si="31"/>
        <v>Pancreas_Total 50-59</v>
      </c>
      <c r="D222" s="1011">
        <f>VLOOKUP("pancreas_50 to 54",C:H,2,FALSE)+VLOOKUP("pancreas_55 to 59",C:H,2,FALSE)</f>
        <v>462</v>
      </c>
      <c r="E222" s="1012">
        <f t="shared" si="33"/>
        <v>10.302553130251624</v>
      </c>
      <c r="F222" s="1011">
        <f>VLOOKUP(B222,'App7 - PopSize_Calcs'!$M$3:$P$40,3,FALSE)</f>
        <v>4484325.333333334</v>
      </c>
      <c r="G222" s="1012">
        <f>VLOOKUP("pancreas_50 to 54",C:H,5,FALSE)+VLOOKUP("pancreas_55 to 59",C:H,5,FALSE)</f>
        <v>613</v>
      </c>
      <c r="H222" s="1012">
        <f t="shared" si="34"/>
        <v>14.074510258320455</v>
      </c>
      <c r="I222" s="1011">
        <f>VLOOKUP(B222,'App7 - PopSize_Calcs'!$M$3:$P$40,2,FALSE)</f>
        <v>4355391.333333333</v>
      </c>
      <c r="J222" s="1010">
        <f t="shared" si="32"/>
        <v>8839716.6666666679</v>
      </c>
      <c r="K222" s="1010">
        <f t="shared" si="27"/>
        <v>1075</v>
      </c>
    </row>
    <row r="223" spans="1:11" x14ac:dyDescent="0.2">
      <c r="A223" s="1008" t="s">
        <v>12</v>
      </c>
      <c r="B223" s="1008" t="s">
        <v>203</v>
      </c>
      <c r="C223" s="1009" t="str">
        <f t="shared" si="31"/>
        <v>Pancreas_Total 50-69</v>
      </c>
      <c r="D223" s="1011">
        <f>VLOOKUP("pancreas_50 to 54",C:H,2,FALSE)+VLOOKUP("pancreas_55 to 59",C:H,2,FALSE)+VLOOKUP("pancreas_60 to 64",C:H,2,FALSE)+VLOOKUP("pancreas_65 to 69",C:H,2,FALSE)</f>
        <v>1489</v>
      </c>
      <c r="E223" s="1012">
        <f t="shared" si="33"/>
        <v>18.322344301910888</v>
      </c>
      <c r="F223" s="1011">
        <f>VLOOKUP(B223,'App7 - PopSize_Calcs'!$M$3:$P$40,3,FALSE)</f>
        <v>8126689.333333334</v>
      </c>
      <c r="G223" s="1012">
        <f>VLOOKUP("pancreas_50 to 54",C:H,5,FALSE)+VLOOKUP("pancreas_55 to 59",C:H,5,FALSE)+VLOOKUP("pancreas_60 to 64",C:H,5,FALSE)+VLOOKUP("pancreas_65 to 69",C:H,5,FALSE)</f>
        <v>1929</v>
      </c>
      <c r="H223" s="1012">
        <f t="shared" si="34"/>
        <v>24.676314720532528</v>
      </c>
      <c r="I223" s="1011">
        <f>VLOOKUP(B223,'App7 - PopSize_Calcs'!$M$3:$P$40,2,FALSE)</f>
        <v>7817212.666666666</v>
      </c>
      <c r="J223" s="1010">
        <f t="shared" si="32"/>
        <v>15943902</v>
      </c>
      <c r="K223" s="1010">
        <f t="shared" si="27"/>
        <v>3418</v>
      </c>
    </row>
    <row r="224" spans="1:11" x14ac:dyDescent="0.2">
      <c r="A224" s="1008" t="s">
        <v>12</v>
      </c>
      <c r="B224" s="1008" t="s">
        <v>292</v>
      </c>
      <c r="C224" s="1009" t="str">
        <f t="shared" si="31"/>
        <v>Pancreas_Total 60-74</v>
      </c>
      <c r="D224" s="1011">
        <f>VLOOKUP("pancreas_60 to 64",C:H,2,FALSE)+VLOOKUP("pancreas_65 to 69",C:H,2,FALSE)+VLOOKUP("pancreas_70 to 74",C:H,2,FALSE)</f>
        <v>1809</v>
      </c>
      <c r="E224" s="1012">
        <f t="shared" si="33"/>
        <v>34.483589033138493</v>
      </c>
      <c r="F224" s="1011">
        <f>VLOOKUP(B224,'App7 - PopSize_Calcs'!$M$3:$P$40,3,FALSE)</f>
        <v>5245973.666666667</v>
      </c>
      <c r="G224" s="1011">
        <f>VLOOKUP("pancreas_60 to 64",C:K,5,FALSE)+VLOOKUP("pancreas_65 to 69",C:K,5,FALSE)+VLOOKUP("pancreas_70 to 74",C:K,5,FALSE)</f>
        <v>2291</v>
      </c>
      <c r="H224" s="1012">
        <f t="shared" si="34"/>
        <v>46.472602362279531</v>
      </c>
      <c r="I224" s="1011">
        <f>VLOOKUP(B224,'App7 - PopSize_Calcs'!$M$3:$P$40,2,FALSE)</f>
        <v>4929786.333333333</v>
      </c>
      <c r="J224" s="1010">
        <v>8881256.9603638444</v>
      </c>
      <c r="K224" s="1010">
        <f t="shared" si="27"/>
        <v>4100</v>
      </c>
    </row>
    <row r="225" spans="1:11" x14ac:dyDescent="0.2">
      <c r="A225" s="1008" t="s">
        <v>12</v>
      </c>
      <c r="B225" s="1008" t="s">
        <v>261</v>
      </c>
      <c r="C225" s="1009" t="str">
        <f t="shared" si="31"/>
        <v>Pancreas_Total (All ages)</v>
      </c>
      <c r="D225" s="1013">
        <v>5055</v>
      </c>
      <c r="E225" s="1014">
        <v>15</v>
      </c>
      <c r="F225" s="1011">
        <f>VLOOKUP(B225,'App7 - PopSize_Calcs'!$M$3:$P$40,3,FALSE)</f>
        <v>33458051.999999996</v>
      </c>
      <c r="G225" s="1013">
        <v>5397</v>
      </c>
      <c r="H225" s="1014">
        <v>19.3</v>
      </c>
      <c r="I225" s="1011">
        <f>VLOOKUP(B225,'App7 - PopSize_Calcs'!$M$3:$P$40,2,FALSE)</f>
        <v>32583225.666666668</v>
      </c>
      <c r="J225" s="1010">
        <f t="shared" si="32"/>
        <v>66041277.666666664</v>
      </c>
      <c r="K225" s="1010">
        <f t="shared" si="27"/>
        <v>10452</v>
      </c>
    </row>
    <row r="226" spans="1:11" x14ac:dyDescent="0.2">
      <c r="A226" s="1008" t="s">
        <v>10</v>
      </c>
      <c r="B226" s="1009" t="s">
        <v>251</v>
      </c>
      <c r="C226" s="1009" t="str">
        <f t="shared" si="31"/>
        <v>Prostate_0 to 04</v>
      </c>
      <c r="D226" s="1008">
        <v>0</v>
      </c>
      <c r="E226" s="1008">
        <v>0</v>
      </c>
      <c r="F226" s="1008">
        <v>0</v>
      </c>
      <c r="G226" s="1011">
        <v>1</v>
      </c>
      <c r="H226" s="1012">
        <v>0</v>
      </c>
      <c r="I226" s="1011">
        <f>VLOOKUP(B226,'App7 - PopSize_Calcs'!$M$3:$P$40,2,FALSE)</f>
        <v>2032241.3333333333</v>
      </c>
      <c r="J226" s="1010">
        <f t="shared" si="32"/>
        <v>2032241.3333333333</v>
      </c>
      <c r="K226" s="1010">
        <f t="shared" si="27"/>
        <v>1</v>
      </c>
    </row>
    <row r="227" spans="1:11" x14ac:dyDescent="0.2">
      <c r="A227" s="1008" t="s">
        <v>10</v>
      </c>
      <c r="B227" s="1009" t="s">
        <v>252</v>
      </c>
      <c r="C227" s="1009" t="str">
        <f t="shared" si="31"/>
        <v>Prostate_05 to 09</v>
      </c>
      <c r="D227" s="1008">
        <v>0</v>
      </c>
      <c r="E227" s="1008">
        <v>0</v>
      </c>
      <c r="F227" s="1008">
        <v>0</v>
      </c>
      <c r="G227" s="1011">
        <v>0</v>
      </c>
      <c r="H227" s="1012">
        <v>0</v>
      </c>
      <c r="I227" s="1011">
        <f>VLOOKUP(B227,'App7 - PopSize_Calcs'!$M$3:$P$40,2,FALSE)</f>
        <v>2096799</v>
      </c>
      <c r="J227" s="1010">
        <f t="shared" si="32"/>
        <v>2096799</v>
      </c>
      <c r="K227" s="1010">
        <f t="shared" si="27"/>
        <v>0</v>
      </c>
    </row>
    <row r="228" spans="1:11" x14ac:dyDescent="0.2">
      <c r="A228" s="1008" t="s">
        <v>10</v>
      </c>
      <c r="B228" s="1009" t="s">
        <v>253</v>
      </c>
      <c r="C228" s="1009" t="str">
        <f t="shared" si="31"/>
        <v>Prostate_10 to 14</v>
      </c>
      <c r="D228" s="1008">
        <v>0</v>
      </c>
      <c r="E228" s="1008">
        <v>0</v>
      </c>
      <c r="F228" s="1008">
        <v>0</v>
      </c>
      <c r="G228" s="1011">
        <v>0</v>
      </c>
      <c r="H228" s="1012">
        <v>0</v>
      </c>
      <c r="I228" s="1011">
        <f>VLOOKUP(B228,'App7 - PopSize_Calcs'!$M$3:$P$40,2,FALSE)</f>
        <v>1915702.6666666667</v>
      </c>
      <c r="J228" s="1010">
        <f t="shared" si="32"/>
        <v>1915702.6666666667</v>
      </c>
      <c r="K228" s="1010">
        <f t="shared" si="27"/>
        <v>0</v>
      </c>
    </row>
    <row r="229" spans="1:11" x14ac:dyDescent="0.2">
      <c r="A229" s="1008" t="s">
        <v>10</v>
      </c>
      <c r="B229" s="1009" t="s">
        <v>254</v>
      </c>
      <c r="C229" s="1009" t="str">
        <f t="shared" si="31"/>
        <v>Prostate_15 to 19</v>
      </c>
      <c r="D229" s="1008">
        <v>0</v>
      </c>
      <c r="E229" s="1008">
        <v>0</v>
      </c>
      <c r="F229" s="1008">
        <v>0</v>
      </c>
      <c r="G229" s="1011">
        <v>1</v>
      </c>
      <c r="H229" s="1012">
        <v>0.1</v>
      </c>
      <c r="I229" s="1011">
        <f>VLOOKUP(B229,'App7 - PopSize_Calcs'!$M$3:$P$40,2,FALSE)</f>
        <v>1908478.6666666667</v>
      </c>
      <c r="J229" s="1010">
        <f t="shared" si="32"/>
        <v>1908478.6666666667</v>
      </c>
      <c r="K229" s="1010">
        <f t="shared" si="27"/>
        <v>1</v>
      </c>
    </row>
    <row r="230" spans="1:11" x14ac:dyDescent="0.2">
      <c r="A230" s="1008" t="s">
        <v>10</v>
      </c>
      <c r="B230" s="1009" t="s">
        <v>255</v>
      </c>
      <c r="C230" s="1009" t="str">
        <f t="shared" si="31"/>
        <v>Prostate_20 to 24</v>
      </c>
      <c r="D230" s="1008">
        <v>0</v>
      </c>
      <c r="E230" s="1008">
        <v>0</v>
      </c>
      <c r="F230" s="1008">
        <v>0</v>
      </c>
      <c r="G230" s="1011">
        <v>0</v>
      </c>
      <c r="H230" s="1012">
        <v>0</v>
      </c>
      <c r="I230" s="1011">
        <f>VLOOKUP(B230,'App7 - PopSize_Calcs'!$M$3:$P$40,2,FALSE)</f>
        <v>2161986</v>
      </c>
      <c r="J230" s="1010">
        <f t="shared" si="32"/>
        <v>2161986</v>
      </c>
      <c r="K230" s="1010">
        <f t="shared" si="27"/>
        <v>0</v>
      </c>
    </row>
    <row r="231" spans="1:11" x14ac:dyDescent="0.2">
      <c r="A231" s="1008" t="s">
        <v>10</v>
      </c>
      <c r="B231" s="1009" t="s">
        <v>256</v>
      </c>
      <c r="C231" s="1009" t="str">
        <f t="shared" si="31"/>
        <v>Prostate_25 to 29</v>
      </c>
      <c r="D231" s="1008">
        <v>0</v>
      </c>
      <c r="E231" s="1008">
        <v>0</v>
      </c>
      <c r="F231" s="1008">
        <v>0</v>
      </c>
      <c r="G231" s="1011">
        <v>0</v>
      </c>
      <c r="H231" s="1012">
        <v>0</v>
      </c>
      <c r="I231" s="1011">
        <f>VLOOKUP(B231,'App7 - PopSize_Calcs'!$M$3:$P$40,2,FALSE)</f>
        <v>2287337.6666666665</v>
      </c>
      <c r="J231" s="1010">
        <f t="shared" si="32"/>
        <v>2287337.6666666665</v>
      </c>
      <c r="K231" s="1010">
        <f t="shared" si="27"/>
        <v>0</v>
      </c>
    </row>
    <row r="232" spans="1:11" x14ac:dyDescent="0.2">
      <c r="A232" s="1008" t="s">
        <v>10</v>
      </c>
      <c r="B232" s="1009" t="s">
        <v>257</v>
      </c>
      <c r="C232" s="1009" t="str">
        <f t="shared" si="31"/>
        <v>Prostate_30 to 34</v>
      </c>
      <c r="D232" s="1008">
        <v>0</v>
      </c>
      <c r="E232" s="1008">
        <v>0</v>
      </c>
      <c r="F232" s="1008">
        <v>0</v>
      </c>
      <c r="G232" s="1011">
        <v>1</v>
      </c>
      <c r="H232" s="1012">
        <v>0.1</v>
      </c>
      <c r="I232" s="1011">
        <f>VLOOKUP(B232,'App7 - PopSize_Calcs'!$M$3:$P$40,2,FALSE)</f>
        <v>2208867.6666666665</v>
      </c>
      <c r="J232" s="1010">
        <f t="shared" si="32"/>
        <v>2208867.6666666665</v>
      </c>
      <c r="K232" s="1010">
        <f t="shared" si="27"/>
        <v>1</v>
      </c>
    </row>
    <row r="233" spans="1:11" x14ac:dyDescent="0.2">
      <c r="A233" s="1008" t="s">
        <v>10</v>
      </c>
      <c r="B233" s="1009" t="s">
        <v>258</v>
      </c>
      <c r="C233" s="1009" t="str">
        <f t="shared" si="31"/>
        <v>Prostate_35 to 39</v>
      </c>
      <c r="D233" s="1008">
        <v>0</v>
      </c>
      <c r="E233" s="1008">
        <v>0</v>
      </c>
      <c r="F233" s="1008">
        <v>0</v>
      </c>
      <c r="G233" s="1011">
        <v>8</v>
      </c>
      <c r="H233" s="1012">
        <v>0.4</v>
      </c>
      <c r="I233" s="1011">
        <f>VLOOKUP(B233,'App7 - PopSize_Calcs'!$M$3:$P$40,2,FALSE)</f>
        <v>2124546.3333333335</v>
      </c>
      <c r="J233" s="1010">
        <f t="shared" si="32"/>
        <v>2124546.3333333335</v>
      </c>
      <c r="K233" s="1010">
        <f t="shared" si="27"/>
        <v>8</v>
      </c>
    </row>
    <row r="234" spans="1:11" x14ac:dyDescent="0.2">
      <c r="A234" s="1008" t="s">
        <v>10</v>
      </c>
      <c r="B234" s="1009" t="s">
        <v>192</v>
      </c>
      <c r="C234" s="1009" t="str">
        <f t="shared" si="31"/>
        <v>Prostate_40 to 44</v>
      </c>
      <c r="D234" s="1008">
        <v>0</v>
      </c>
      <c r="E234" s="1008">
        <v>0</v>
      </c>
      <c r="F234" s="1008">
        <v>0</v>
      </c>
      <c r="G234" s="1011">
        <v>88</v>
      </c>
      <c r="H234" s="1012">
        <v>4.3</v>
      </c>
      <c r="I234" s="1011">
        <f>VLOOKUP(B234,'App7 - PopSize_Calcs'!$M$3:$P$40,2,FALSE)</f>
        <v>2021384.6666666667</v>
      </c>
      <c r="J234" s="1010">
        <f t="shared" si="32"/>
        <v>2021384.6666666667</v>
      </c>
      <c r="K234" s="1010">
        <f t="shared" si="27"/>
        <v>88</v>
      </c>
    </row>
    <row r="235" spans="1:11" x14ac:dyDescent="0.2">
      <c r="A235" s="1008" t="s">
        <v>10</v>
      </c>
      <c r="B235" s="1009" t="s">
        <v>193</v>
      </c>
      <c r="C235" s="1009" t="str">
        <f t="shared" si="31"/>
        <v>Prostate_45 to 49</v>
      </c>
      <c r="D235" s="1008">
        <v>0</v>
      </c>
      <c r="E235" s="1008">
        <v>0</v>
      </c>
      <c r="F235" s="1008">
        <v>0</v>
      </c>
      <c r="G235" s="1011">
        <v>461</v>
      </c>
      <c r="H235" s="1012">
        <v>20.5</v>
      </c>
      <c r="I235" s="1011">
        <f>VLOOKUP(B235,'App7 - PopSize_Calcs'!$M$3:$P$40,2,FALSE)</f>
        <v>2251680</v>
      </c>
      <c r="J235" s="1010">
        <f t="shared" si="32"/>
        <v>2251680</v>
      </c>
      <c r="K235" s="1010">
        <f t="shared" si="27"/>
        <v>461</v>
      </c>
    </row>
    <row r="236" spans="1:11" x14ac:dyDescent="0.2">
      <c r="A236" s="1008" t="s">
        <v>10</v>
      </c>
      <c r="B236" s="1009" t="s">
        <v>229</v>
      </c>
      <c r="C236" s="1009" t="str">
        <f t="shared" si="31"/>
        <v>Prostate_40 to 49</v>
      </c>
      <c r="D236" s="1011">
        <f>SUM(D234:D235)</f>
        <v>0</v>
      </c>
      <c r="E236" s="1012">
        <v>0</v>
      </c>
      <c r="F236" s="1012">
        <v>0</v>
      </c>
      <c r="G236" s="1011">
        <f>SUM(G234:G235)</f>
        <v>549</v>
      </c>
      <c r="H236" s="1012">
        <f t="shared" ref="H236" si="35">(G236/I236)*100000</f>
        <v>12.847921640003264</v>
      </c>
      <c r="I236" s="1011">
        <f>SUM(I234:I235)</f>
        <v>4273064.666666667</v>
      </c>
      <c r="J236" s="1010">
        <f t="shared" si="32"/>
        <v>4273064.666666667</v>
      </c>
      <c r="K236" s="1010">
        <f t="shared" si="27"/>
        <v>549</v>
      </c>
    </row>
    <row r="237" spans="1:11" x14ac:dyDescent="0.2">
      <c r="A237" s="1008" t="s">
        <v>10</v>
      </c>
      <c r="B237" s="1009" t="s">
        <v>194</v>
      </c>
      <c r="C237" s="1009" t="str">
        <f t="shared" si="31"/>
        <v>Prostate_50 to 54</v>
      </c>
      <c r="D237" s="1008">
        <v>0</v>
      </c>
      <c r="E237" s="1008">
        <v>0</v>
      </c>
      <c r="F237" s="1008">
        <v>0</v>
      </c>
      <c r="G237" s="1011">
        <v>1737</v>
      </c>
      <c r="H237" s="1012">
        <v>75.7</v>
      </c>
      <c r="I237" s="1011">
        <f>VLOOKUP(B237,'App7 - PopSize_Calcs'!$M$3:$P$40,2,FALSE)</f>
        <v>2293472.6666666665</v>
      </c>
      <c r="J237" s="1010">
        <f t="shared" si="32"/>
        <v>2293472.6666666665</v>
      </c>
      <c r="K237" s="1010">
        <f t="shared" si="27"/>
        <v>1737</v>
      </c>
    </row>
    <row r="238" spans="1:11" x14ac:dyDescent="0.2">
      <c r="A238" s="1008" t="s">
        <v>10</v>
      </c>
      <c r="B238" s="1009" t="s">
        <v>195</v>
      </c>
      <c r="C238" s="1009" t="str">
        <f t="shared" si="31"/>
        <v>Prostate_55 to 59</v>
      </c>
      <c r="D238" s="1008">
        <v>0</v>
      </c>
      <c r="E238" s="1008">
        <v>0</v>
      </c>
      <c r="F238" s="1008">
        <v>0</v>
      </c>
      <c r="G238" s="1011">
        <v>4160</v>
      </c>
      <c r="H238" s="1012">
        <v>201.8</v>
      </c>
      <c r="I238" s="1011">
        <f>VLOOKUP(B238,'App7 - PopSize_Calcs'!$M$3:$P$40,2,FALSE)</f>
        <v>2061918.6666666667</v>
      </c>
      <c r="J238" s="1010">
        <f t="shared" si="32"/>
        <v>2061918.6666666667</v>
      </c>
      <c r="K238" s="1010">
        <f t="shared" si="27"/>
        <v>4160</v>
      </c>
    </row>
    <row r="239" spans="1:11" x14ac:dyDescent="0.2">
      <c r="A239" s="1008" t="s">
        <v>10</v>
      </c>
      <c r="B239" s="1009" t="s">
        <v>230</v>
      </c>
      <c r="C239" s="1009" t="str">
        <f t="shared" si="31"/>
        <v>Prostate_50 to 59</v>
      </c>
      <c r="D239" s="1011">
        <f>SUM(D237:D238)</f>
        <v>0</v>
      </c>
      <c r="E239" s="1012">
        <v>0</v>
      </c>
      <c r="F239" s="1012">
        <v>0</v>
      </c>
      <c r="G239" s="1011">
        <f>SUM(G237:G238)</f>
        <v>5897</v>
      </c>
      <c r="H239" s="1012">
        <f t="shared" ref="H239" si="36">(G239/I239)*100000</f>
        <v>135.39541108208113</v>
      </c>
      <c r="I239" s="1011">
        <f>SUM(I237:I238)</f>
        <v>4355391.333333333</v>
      </c>
      <c r="J239" s="1010">
        <f t="shared" si="32"/>
        <v>4355391.333333333</v>
      </c>
      <c r="K239" s="1010">
        <f t="shared" si="27"/>
        <v>5897</v>
      </c>
    </row>
    <row r="240" spans="1:11" x14ac:dyDescent="0.2">
      <c r="A240" s="1008" t="s">
        <v>10</v>
      </c>
      <c r="B240" s="1009">
        <v>58</v>
      </c>
      <c r="C240" s="1009" t="str">
        <f t="shared" si="31"/>
        <v>Prostate_58</v>
      </c>
      <c r="D240" s="1011">
        <v>0</v>
      </c>
      <c r="E240" s="1012">
        <v>0</v>
      </c>
      <c r="F240" s="1012">
        <v>0</v>
      </c>
      <c r="G240" s="1011">
        <f>H240*I240/100000</f>
        <v>927.5882763333334</v>
      </c>
      <c r="H240" s="1012">
        <f>'App8b - 2YR_Prostate_58_59'!$D$14</f>
        <v>232.66000000000003</v>
      </c>
      <c r="I240" s="1011">
        <f>VLOOKUP(B240,'App7 - PopSize_Calcs'!$M$3:$P$40,2,FALSE)</f>
        <v>398688.33333333331</v>
      </c>
      <c r="J240" s="1010">
        <f t="shared" si="32"/>
        <v>398688.33333333331</v>
      </c>
      <c r="K240" s="1010">
        <f t="shared" si="27"/>
        <v>927.5882763333334</v>
      </c>
    </row>
    <row r="241" spans="1:11" x14ac:dyDescent="0.2">
      <c r="A241" s="1008" t="s">
        <v>10</v>
      </c>
      <c r="B241" s="1009">
        <v>59</v>
      </c>
      <c r="C241" s="1009" t="str">
        <f t="shared" si="31"/>
        <v>Prostate_59</v>
      </c>
      <c r="D241" s="1011">
        <v>0</v>
      </c>
      <c r="E241" s="1012">
        <v>0</v>
      </c>
      <c r="F241" s="1012">
        <v>0</v>
      </c>
      <c r="G241" s="1011">
        <f>H241*I241/100000</f>
        <v>1020.727152</v>
      </c>
      <c r="H241" s="1012">
        <f>'App8b - 2YR_Prostate_58_59'!$D$15</f>
        <v>263.52000000000004</v>
      </c>
      <c r="I241" s="1011">
        <f>VLOOKUP(B241,'App7 - PopSize_Calcs'!$M$3:$P$40,2,FALSE)</f>
        <v>387343.33333333331</v>
      </c>
      <c r="J241" s="1010">
        <f t="shared" si="32"/>
        <v>387343.33333333331</v>
      </c>
      <c r="K241" s="1010">
        <f t="shared" si="27"/>
        <v>1020.727152</v>
      </c>
    </row>
    <row r="242" spans="1:11" x14ac:dyDescent="0.2">
      <c r="A242" s="1008" t="s">
        <v>10</v>
      </c>
      <c r="B242" s="1009" t="s">
        <v>296</v>
      </c>
      <c r="C242" s="1009" t="str">
        <f t="shared" si="31"/>
        <v>Prostate_58 to 59</v>
      </c>
      <c r="D242" s="1011">
        <v>0</v>
      </c>
      <c r="E242" s="1012">
        <v>0</v>
      </c>
      <c r="F242" s="1012">
        <v>0</v>
      </c>
      <c r="G242" s="1011">
        <f>SUM(G240:G241)</f>
        <v>1948.3154283333333</v>
      </c>
      <c r="H242" s="1012">
        <f>G242/I242*100000</f>
        <v>247.86729478668161</v>
      </c>
      <c r="I242" s="1011">
        <f>VLOOKUP(B242,'App7 - PopSize_Calcs'!$M$3:$P$40,2,FALSE)</f>
        <v>786031.66666666663</v>
      </c>
      <c r="J242" s="1010">
        <f t="shared" si="32"/>
        <v>786031.66666666663</v>
      </c>
      <c r="K242" s="1010">
        <f t="shared" si="27"/>
        <v>1948.3154283333333</v>
      </c>
    </row>
    <row r="243" spans="1:11" x14ac:dyDescent="0.2">
      <c r="A243" s="1008" t="s">
        <v>10</v>
      </c>
      <c r="B243" s="1009" t="s">
        <v>196</v>
      </c>
      <c r="C243" s="1009" t="str">
        <f t="shared" si="31"/>
        <v>Prostate_60 to 64</v>
      </c>
      <c r="D243" s="1008">
        <v>0</v>
      </c>
      <c r="E243" s="1008">
        <v>0</v>
      </c>
      <c r="F243" s="1008">
        <v>0</v>
      </c>
      <c r="G243" s="1011">
        <v>6285</v>
      </c>
      <c r="H243" s="1012">
        <v>356.1</v>
      </c>
      <c r="I243" s="1011">
        <f>VLOOKUP(B243,'App7 - PopSize_Calcs'!$M$3:$P$40,2,FALSE)</f>
        <v>1764828</v>
      </c>
      <c r="J243" s="1010">
        <f t="shared" si="32"/>
        <v>1764828</v>
      </c>
      <c r="K243" s="1010">
        <f t="shared" si="27"/>
        <v>6285</v>
      </c>
    </row>
    <row r="244" spans="1:11" x14ac:dyDescent="0.2">
      <c r="A244" s="1008" t="s">
        <v>10</v>
      </c>
      <c r="B244" s="1009" t="s">
        <v>197</v>
      </c>
      <c r="C244" s="1009" t="str">
        <f t="shared" si="31"/>
        <v>Prostate_65 to 69</v>
      </c>
      <c r="D244" s="1008">
        <v>0</v>
      </c>
      <c r="E244" s="1008">
        <v>0</v>
      </c>
      <c r="F244" s="1008">
        <v>0</v>
      </c>
      <c r="G244" s="1011">
        <v>10568</v>
      </c>
      <c r="H244" s="1012">
        <v>622.70000000000005</v>
      </c>
      <c r="I244" s="1011">
        <f>VLOOKUP(B244,'App7 - PopSize_Calcs'!$M$3:$P$40,2,FALSE)</f>
        <v>1696993.3333333333</v>
      </c>
      <c r="J244" s="1010">
        <f t="shared" si="32"/>
        <v>1696993.3333333333</v>
      </c>
      <c r="K244" s="1010">
        <f t="shared" si="27"/>
        <v>10568</v>
      </c>
    </row>
    <row r="245" spans="1:11" x14ac:dyDescent="0.2">
      <c r="A245" s="1008" t="s">
        <v>10</v>
      </c>
      <c r="B245" s="1009" t="s">
        <v>239</v>
      </c>
      <c r="C245" s="1009" t="str">
        <f t="shared" si="31"/>
        <v>Prostate_60 to 69</v>
      </c>
      <c r="D245" s="1008">
        <v>0</v>
      </c>
      <c r="E245" s="1008">
        <v>0</v>
      </c>
      <c r="F245" s="1008">
        <v>0</v>
      </c>
      <c r="G245" s="1011">
        <f>SUM(G243:G244)</f>
        <v>16853</v>
      </c>
      <c r="H245" s="1012">
        <f t="shared" ref="H245" si="37">(G245/I245)*100000</f>
        <v>486.82466185429951</v>
      </c>
      <c r="I245" s="1011">
        <f>SUM(I243:I244)</f>
        <v>3461821.333333333</v>
      </c>
      <c r="J245" s="1010">
        <f t="shared" si="32"/>
        <v>3461821.333333333</v>
      </c>
      <c r="K245" s="1010">
        <f t="shared" si="27"/>
        <v>16853</v>
      </c>
    </row>
    <row r="246" spans="1:11" x14ac:dyDescent="0.2">
      <c r="A246" s="1008" t="s">
        <v>10</v>
      </c>
      <c r="B246" s="1009">
        <v>68</v>
      </c>
      <c r="C246" s="1009" t="str">
        <f t="shared" si="31"/>
        <v>Prostate_68</v>
      </c>
      <c r="D246" s="1008">
        <v>0</v>
      </c>
      <c r="E246" s="1008">
        <v>0</v>
      </c>
      <c r="F246" s="1008">
        <v>0</v>
      </c>
      <c r="G246" s="1011">
        <f>H246*I246/100000</f>
        <v>2228.8324008</v>
      </c>
      <c r="H246" s="1012">
        <f>'App8c - 2YR_Prostate_68_69'!D14</f>
        <v>650.12</v>
      </c>
      <c r="I246" s="1011">
        <f>VLOOKUP(B246,'App7 - PopSize_Calcs'!$M$3:$P$40,2,FALSE)</f>
        <v>342834</v>
      </c>
      <c r="J246" s="1010">
        <f t="shared" si="32"/>
        <v>342834</v>
      </c>
      <c r="K246" s="1010">
        <f t="shared" si="27"/>
        <v>2228.8324008</v>
      </c>
    </row>
    <row r="247" spans="1:11" x14ac:dyDescent="0.2">
      <c r="A247" s="1008" t="s">
        <v>10</v>
      </c>
      <c r="B247" s="1009">
        <v>69</v>
      </c>
      <c r="C247" s="1009" t="str">
        <f t="shared" si="31"/>
        <v>Prostate_69</v>
      </c>
      <c r="D247" s="1008">
        <v>0</v>
      </c>
      <c r="E247" s="1008">
        <v>0</v>
      </c>
      <c r="F247" s="1008">
        <v>0</v>
      </c>
      <c r="G247" s="1011">
        <f>H247*I247/100000</f>
        <v>2438.8210392666665</v>
      </c>
      <c r="H247" s="1012">
        <f>'App8c - 2YR_Prostate_68_69'!D15</f>
        <v>677.54</v>
      </c>
      <c r="I247" s="1011">
        <f>VLOOKUP(B247,'App7 - PopSize_Calcs'!$M$3:$P$40,2,FALSE)</f>
        <v>359952.33333333331</v>
      </c>
      <c r="J247" s="1010">
        <f t="shared" si="32"/>
        <v>359952.33333333331</v>
      </c>
      <c r="K247" s="1010">
        <f t="shared" si="27"/>
        <v>2438.8210392666665</v>
      </c>
    </row>
    <row r="248" spans="1:11" x14ac:dyDescent="0.2">
      <c r="A248" s="1008" t="s">
        <v>10</v>
      </c>
      <c r="B248" s="1009" t="s">
        <v>297</v>
      </c>
      <c r="C248" s="1009" t="str">
        <f t="shared" si="31"/>
        <v>Prostate_68 to 69</v>
      </c>
      <c r="D248" s="1008">
        <v>0</v>
      </c>
      <c r="E248" s="1008">
        <v>0</v>
      </c>
      <c r="F248" s="1008">
        <v>0</v>
      </c>
      <c r="G248" s="1011">
        <f>SUM(G246:G247)</f>
        <v>4667.653440066666</v>
      </c>
      <c r="H248" s="1012">
        <f>G248/I248*100000</f>
        <v>664.16394552350903</v>
      </c>
      <c r="I248" s="1011">
        <f>VLOOKUP(B248,'App7 - PopSize_Calcs'!$M$3:$P$40,2,FALSE)</f>
        <v>702786.33333333326</v>
      </c>
      <c r="J248" s="1010">
        <f t="shared" si="32"/>
        <v>702786.33333333326</v>
      </c>
      <c r="K248" s="1010">
        <f t="shared" si="27"/>
        <v>4667.653440066666</v>
      </c>
    </row>
    <row r="249" spans="1:11" x14ac:dyDescent="0.2">
      <c r="A249" s="1008" t="s">
        <v>10</v>
      </c>
      <c r="B249" s="1009" t="s">
        <v>198</v>
      </c>
      <c r="C249" s="1009" t="str">
        <f t="shared" si="31"/>
        <v>Prostate_70 to 74</v>
      </c>
      <c r="D249" s="1008">
        <v>0</v>
      </c>
      <c r="E249" s="1008">
        <v>0</v>
      </c>
      <c r="F249" s="1008">
        <v>0</v>
      </c>
      <c r="G249" s="1011">
        <v>11153</v>
      </c>
      <c r="H249" s="1012">
        <v>759.8</v>
      </c>
      <c r="I249" s="1011">
        <f>VLOOKUP(B249,'App7 - PopSize_Calcs'!$M$3:$P$40,2,FALSE)</f>
        <v>1467965</v>
      </c>
      <c r="J249" s="1010">
        <f t="shared" si="32"/>
        <v>1467965</v>
      </c>
      <c r="K249" s="1010">
        <f t="shared" si="27"/>
        <v>11153</v>
      </c>
    </row>
    <row r="250" spans="1:11" x14ac:dyDescent="0.2">
      <c r="A250" s="1008" t="s">
        <v>10</v>
      </c>
      <c r="B250" s="1009" t="s">
        <v>199</v>
      </c>
      <c r="C250" s="1009" t="str">
        <f t="shared" si="31"/>
        <v>Prostate_75 to 79</v>
      </c>
      <c r="D250" s="1008">
        <v>0</v>
      </c>
      <c r="E250" s="1008">
        <v>0</v>
      </c>
      <c r="F250" s="1008">
        <v>0</v>
      </c>
      <c r="G250" s="1011">
        <v>8736</v>
      </c>
      <c r="H250" s="1012">
        <v>867.2</v>
      </c>
      <c r="I250" s="1011">
        <f>VLOOKUP(B250,'App7 - PopSize_Calcs'!$M$3:$P$40,2,FALSE)</f>
        <v>1007365.3333333334</v>
      </c>
      <c r="J250" s="1010">
        <f t="shared" si="32"/>
        <v>1007365.3333333334</v>
      </c>
      <c r="K250" s="1010">
        <f t="shared" si="27"/>
        <v>8736</v>
      </c>
    </row>
    <row r="251" spans="1:11" x14ac:dyDescent="0.2">
      <c r="A251" s="1008" t="s">
        <v>10</v>
      </c>
      <c r="B251" s="1009" t="s">
        <v>259</v>
      </c>
      <c r="C251" s="1009" t="str">
        <f t="shared" si="31"/>
        <v>Prostate_80 to 84</v>
      </c>
      <c r="D251" s="1008">
        <v>0</v>
      </c>
      <c r="E251" s="1008">
        <v>0</v>
      </c>
      <c r="F251" s="1008">
        <v>0</v>
      </c>
      <c r="G251" s="1011">
        <v>5010</v>
      </c>
      <c r="H251" s="1012">
        <v>703.6</v>
      </c>
      <c r="I251" s="1011">
        <f>VLOOKUP(B251,'App7 - PopSize_Calcs'!$M$3:$P$40,2,FALSE)</f>
        <v>712072</v>
      </c>
      <c r="J251" s="1010">
        <f t="shared" si="32"/>
        <v>712072</v>
      </c>
      <c r="K251" s="1010">
        <f t="shared" si="27"/>
        <v>5010</v>
      </c>
    </row>
    <row r="252" spans="1:11" x14ac:dyDescent="0.2">
      <c r="A252" s="1008" t="s">
        <v>10</v>
      </c>
      <c r="B252" s="1009" t="s">
        <v>260</v>
      </c>
      <c r="C252" s="1009" t="str">
        <f t="shared" si="31"/>
        <v>Prostate_85 to 89</v>
      </c>
      <c r="D252" s="1008">
        <v>0</v>
      </c>
      <c r="E252" s="1008">
        <v>0</v>
      </c>
      <c r="F252" s="1008">
        <v>0</v>
      </c>
      <c r="G252" s="1011">
        <v>2796</v>
      </c>
      <c r="H252" s="1012">
        <v>713.8</v>
      </c>
      <c r="I252" s="1011">
        <f>VLOOKUP(B252,'App7 - PopSize_Calcs'!$M$3:$P$40,2,FALSE)</f>
        <v>391702</v>
      </c>
      <c r="J252" s="1010">
        <f t="shared" si="32"/>
        <v>391702</v>
      </c>
      <c r="K252" s="1010">
        <f t="shared" si="27"/>
        <v>2796</v>
      </c>
    </row>
    <row r="253" spans="1:11" x14ac:dyDescent="0.2">
      <c r="A253" s="1008" t="s">
        <v>10</v>
      </c>
      <c r="B253" s="1009">
        <v>90</v>
      </c>
      <c r="C253" s="1009" t="str">
        <f t="shared" si="31"/>
        <v>Prostate_90</v>
      </c>
      <c r="D253" s="1008">
        <v>0</v>
      </c>
      <c r="E253" s="1008">
        <v>0</v>
      </c>
      <c r="F253" s="1008">
        <v>0</v>
      </c>
      <c r="G253" s="1011">
        <v>1249</v>
      </c>
      <c r="H253" s="1012">
        <v>702.1</v>
      </c>
      <c r="I253" s="1011">
        <f>VLOOKUP(B253,'App7 - PopSize_Calcs'!$M$3:$P$40,2,FALSE)</f>
        <v>177884.66666666666</v>
      </c>
      <c r="J253" s="1010">
        <f t="shared" si="32"/>
        <v>177884.66666666666</v>
      </c>
      <c r="K253" s="1010">
        <f t="shared" si="27"/>
        <v>1249</v>
      </c>
    </row>
    <row r="254" spans="1:11" x14ac:dyDescent="0.2">
      <c r="A254" s="1008" t="s">
        <v>10</v>
      </c>
      <c r="B254" s="1009" t="s">
        <v>204</v>
      </c>
      <c r="C254" s="1009" t="str">
        <f t="shared" si="31"/>
        <v>Prostate_Total 40-79</v>
      </c>
      <c r="D254" s="1011">
        <f>VLOOKUP("prostate_40 to 44",C:H,2,FALSE)+VLOOKUP("prostate_45 to 49",C:H,2,FALSE)+VLOOKUP("prostate_50 to 54",C:H,2,FALSE)+VLOOKUP("prostate_55 to 59",C:H,2,FALSE)+VLOOKUP("prostate_60 to 64",C:H,2,FALSE)+VLOOKUP("prostate_65 to 69",C:H,2,FALSE)+VLOOKUP("prostate_70 to 74",C:H,2,FALSE)+VLOOKUP("prostate_75 to 79",C:H,2,FALSE)</f>
        <v>0</v>
      </c>
      <c r="E254" s="1012">
        <v>0</v>
      </c>
      <c r="F254" s="1008">
        <v>0</v>
      </c>
      <c r="G254" s="1012">
        <f>VLOOKUP("prostate_40 to 44",C:H,5,FALSE)+VLOOKUP("prostate_45 to 49",C:H,5,FALSE)+VLOOKUP("prostate_50 to 54",C:H,5,FALSE)+VLOOKUP("prostate_55 to 59",C:H,5,FALSE)+VLOOKUP("prostate_60 to 64",C:H,5,FALSE)+VLOOKUP("prostate_65 to 69",C:H,5,FALSE)+VLOOKUP("prostate_70 to 74",C:H,5,FALSE)+VLOOKUP("prostate_75 to 79",C:H,5,FALSE)</f>
        <v>43188</v>
      </c>
      <c r="H254" s="1012">
        <f t="shared" ref="H254:H260" si="38">(G254/I254)*100000</f>
        <v>296.50668196175269</v>
      </c>
      <c r="I254" s="1011">
        <f>VLOOKUP(B254,'App7 - PopSize_Calcs'!$M$3:$P$40,2,FALSE)</f>
        <v>14565607.666666668</v>
      </c>
      <c r="J254" s="1010">
        <f t="shared" si="32"/>
        <v>14565607.666666668</v>
      </c>
      <c r="K254" s="1010">
        <f t="shared" si="27"/>
        <v>43188</v>
      </c>
    </row>
    <row r="255" spans="1:11" x14ac:dyDescent="0.2">
      <c r="A255" s="1008" t="s">
        <v>10</v>
      </c>
      <c r="B255" s="1008" t="s">
        <v>200</v>
      </c>
      <c r="C255" s="1009" t="str">
        <f t="shared" si="31"/>
        <v>Prostate_Total 40-69</v>
      </c>
      <c r="D255" s="1011">
        <f>VLOOKUP("prostate_40 to 44",C:H,2,FALSE)+VLOOKUP("prostate_45 to 49",C:H,2,FALSE)+VLOOKUP("prostate_50 to 54",C:H,2,FALSE)+VLOOKUP("prostate_55 to 59",C:H,2,FALSE)+VLOOKUP("prostate_60 to 64",C:H,2,FALSE)+VLOOKUP("prostate_65 to 69",C:H,2,FALSE)</f>
        <v>0</v>
      </c>
      <c r="E255" s="1012">
        <v>0</v>
      </c>
      <c r="F255" s="1008">
        <v>0</v>
      </c>
      <c r="G255" s="1012">
        <f>VLOOKUP("prostate_40 to 44",C:H,5,FALSE)+VLOOKUP("prostate_45 to 49",C:H,5,FALSE)+VLOOKUP("prostate_50 to 54",C:H,5,FALSE)+VLOOKUP("prostate_55 to 59",C:H,5,FALSE)+VLOOKUP("prostate_60 to 64",C:H,5,FALSE)+VLOOKUP("prostate_65 to 69",C:H,5,FALSE)</f>
        <v>23299</v>
      </c>
      <c r="H255" s="1012">
        <f t="shared" si="38"/>
        <v>192.70856538388753</v>
      </c>
      <c r="I255" s="1011">
        <f>VLOOKUP(B255,'App7 - PopSize_Calcs'!$M$3:$P$40,2,FALSE)</f>
        <v>12090277.333333334</v>
      </c>
      <c r="J255" s="1010">
        <f t="shared" si="32"/>
        <v>12090277.333333334</v>
      </c>
      <c r="K255" s="1010">
        <f t="shared" si="27"/>
        <v>23299</v>
      </c>
    </row>
    <row r="256" spans="1:11" x14ac:dyDescent="0.2">
      <c r="A256" s="1008" t="s">
        <v>10</v>
      </c>
      <c r="B256" s="1008" t="s">
        <v>201</v>
      </c>
      <c r="C256" s="1009" t="str">
        <f t="shared" si="31"/>
        <v>Prostate_Total 40-49</v>
      </c>
      <c r="D256" s="1011">
        <f>VLOOKUP("prostate_40 to 44",C:H,2,FALSE)+VLOOKUP("prostate_45 to 49",C:H,2,FALSE)</f>
        <v>0</v>
      </c>
      <c r="E256" s="1012">
        <v>0</v>
      </c>
      <c r="F256" s="1008">
        <v>0</v>
      </c>
      <c r="G256" s="1012">
        <f>VLOOKUP("prostate_40 to 44",C:H,5,FALSE)+VLOOKUP("prostate_45 to 49",C:H,5,FALSE)</f>
        <v>549</v>
      </c>
      <c r="H256" s="1012">
        <f t="shared" si="38"/>
        <v>12.847921640003264</v>
      </c>
      <c r="I256" s="1011">
        <f>VLOOKUP(B256,'App7 - PopSize_Calcs'!$M$3:$P$40,2,FALSE)</f>
        <v>4273064.666666667</v>
      </c>
      <c r="J256" s="1010">
        <f t="shared" si="32"/>
        <v>4273064.666666667</v>
      </c>
      <c r="K256" s="1010">
        <f t="shared" si="27"/>
        <v>549</v>
      </c>
    </row>
    <row r="257" spans="1:11" x14ac:dyDescent="0.2">
      <c r="A257" s="1008" t="s">
        <v>10</v>
      </c>
      <c r="B257" s="1008" t="s">
        <v>202</v>
      </c>
      <c r="C257" s="1009" t="str">
        <f t="shared" si="31"/>
        <v>Prostate_Total 50-59</v>
      </c>
      <c r="D257" s="1011">
        <f>VLOOKUP("prostate_50 to 54",C:H,2,FALSE)+VLOOKUP("prostate_55 to 59",C:H,2,FALSE)</f>
        <v>0</v>
      </c>
      <c r="E257" s="1012">
        <v>0</v>
      </c>
      <c r="F257" s="1008">
        <v>0</v>
      </c>
      <c r="G257" s="1012">
        <f>VLOOKUP("prostate_50 to 54",C:H,5,FALSE)+VLOOKUP("prostate_55 to 59",C:H,5,FALSE)</f>
        <v>5897</v>
      </c>
      <c r="H257" s="1012">
        <f t="shared" si="38"/>
        <v>135.39541108208113</v>
      </c>
      <c r="I257" s="1011">
        <f>VLOOKUP(B257,'App7 - PopSize_Calcs'!$M$3:$P$40,2,FALSE)</f>
        <v>4355391.333333333</v>
      </c>
      <c r="J257" s="1010">
        <f t="shared" si="32"/>
        <v>4355391.333333333</v>
      </c>
      <c r="K257" s="1010">
        <f t="shared" si="27"/>
        <v>5897</v>
      </c>
    </row>
    <row r="258" spans="1:11" x14ac:dyDescent="0.2">
      <c r="A258" s="1008" t="s">
        <v>10</v>
      </c>
      <c r="B258" s="1008" t="s">
        <v>272</v>
      </c>
      <c r="C258" s="1009" t="str">
        <f t="shared" si="31"/>
        <v>Prostate_Total 60-69</v>
      </c>
      <c r="D258" s="1011">
        <v>0</v>
      </c>
      <c r="E258" s="1012">
        <v>0</v>
      </c>
      <c r="F258" s="1008">
        <v>0</v>
      </c>
      <c r="G258" s="1012">
        <f>VLOOKUP("prostate_60 to 64",C:H,5,FALSE)+VLOOKUP("prostate_65 to 69",C:H,5,FALSE)</f>
        <v>16853</v>
      </c>
      <c r="H258" s="1012">
        <f t="shared" si="38"/>
        <v>486.82466185429951</v>
      </c>
      <c r="I258" s="1011">
        <f>VLOOKUP(B258,'App7 - PopSize_Calcs'!$M$3:$P$40,2,FALSE)</f>
        <v>3461821.333333333</v>
      </c>
      <c r="J258" s="1010">
        <f t="shared" si="32"/>
        <v>3461821.333333333</v>
      </c>
      <c r="K258" s="1010">
        <f t="shared" si="27"/>
        <v>16853</v>
      </c>
    </row>
    <row r="259" spans="1:11" x14ac:dyDescent="0.2">
      <c r="A259" s="1008" t="s">
        <v>10</v>
      </c>
      <c r="B259" s="1008" t="s">
        <v>203</v>
      </c>
      <c r="C259" s="1009" t="str">
        <f t="shared" si="31"/>
        <v>Prostate_Total 50-69</v>
      </c>
      <c r="D259" s="1011">
        <f>VLOOKUP("prostate_50 to 54",C:H,2,FALSE)+VLOOKUP("prostate_55 to 59",C:H,2,FALSE)+VLOOKUP("prostate_60 to 64",C:H,2,FALSE)+VLOOKUP("prostate_65 to 69",C:H,2,FALSE)</f>
        <v>0</v>
      </c>
      <c r="E259" s="1012">
        <v>0</v>
      </c>
      <c r="F259" s="1008">
        <v>0</v>
      </c>
      <c r="G259" s="1012">
        <f>VLOOKUP("prostate_50 to 54",C:H,5,FALSE)+VLOOKUP("prostate_55 to 59",C:H,5,FALSE)+VLOOKUP("prostate_60 to 64",C:H,5,FALSE)+VLOOKUP("prostate_65 to 69",C:H,5,FALSE)</f>
        <v>22750</v>
      </c>
      <c r="H259" s="1012">
        <f t="shared" si="38"/>
        <v>291.02444784453866</v>
      </c>
      <c r="I259" s="1011">
        <f>VLOOKUP(B259,'App7 - PopSize_Calcs'!$M$3:$P$40,2,FALSE)</f>
        <v>7817212.666666666</v>
      </c>
      <c r="J259" s="1010">
        <f t="shared" si="32"/>
        <v>7817212.666666666</v>
      </c>
      <c r="K259" s="1010">
        <f t="shared" ref="K259:K288" si="39">SUM(D259,G259)</f>
        <v>22750</v>
      </c>
    </row>
    <row r="260" spans="1:11" x14ac:dyDescent="0.2">
      <c r="A260" s="1008" t="s">
        <v>10</v>
      </c>
      <c r="B260" s="1008" t="s">
        <v>292</v>
      </c>
      <c r="C260" s="1009" t="str">
        <f t="shared" ref="C260" si="40">A260&amp;"_"&amp;B260</f>
        <v>Prostate_Total 60-74</v>
      </c>
      <c r="D260" s="1011">
        <f>VLOOKUP("prostate_60 to 64",C:H,2,FALSE)+VLOOKUP("prostate_65 to 69",C:H,2,FALSE)+VLOOKUP("prostate_70 to 74",C:H,2,FALSE)</f>
        <v>0</v>
      </c>
      <c r="E260" s="1012">
        <f>IFERROR((VLOOKUP("prostate_60 to 64",C:H,2,FALSE)+VLOOKUP("prostate_65 to 69",C:H,2,FALSE)+VLOOKUP("prostate_70 to 74",C:H,2,FALSE))/(VLOOKUP("prostate_60 to 64",C:H,4,FALSE)+VLOOKUP("prostate_65 to 69",C:H,4,FALSE)+VLOOKUP("prostate_70 to 74",C:H,4,FALSE))*100000,0)</f>
        <v>0</v>
      </c>
      <c r="F260" s="1008">
        <v>0</v>
      </c>
      <c r="G260" s="1011">
        <f>VLOOKUP("prostate_60 to 64",C:K,5,FALSE)+VLOOKUP("prostate_65 to 69",C:K,5,FALSE)+VLOOKUP("prostate_70 to 74",C:K,5,FALSE)</f>
        <v>28006</v>
      </c>
      <c r="H260" s="1012">
        <f t="shared" si="38"/>
        <v>568.09764371802726</v>
      </c>
      <c r="I260" s="1011">
        <f>VLOOKUP(B260,'App7 - PopSize_Calcs'!$M$3:$P$40,2,FALSE)</f>
        <v>4929786.333333333</v>
      </c>
      <c r="J260" s="1010">
        <f t="shared" si="32"/>
        <v>4929786.333333333</v>
      </c>
      <c r="K260" s="1010">
        <f t="shared" si="39"/>
        <v>28006</v>
      </c>
    </row>
    <row r="261" spans="1:11" x14ac:dyDescent="0.2">
      <c r="A261" s="1008" t="s">
        <v>10</v>
      </c>
      <c r="B261" s="1008" t="s">
        <v>261</v>
      </c>
      <c r="C261" s="1009" t="str">
        <f t="shared" si="31"/>
        <v>Prostate_Total (All ages)</v>
      </c>
      <c r="D261" s="1011">
        <f>VLOOKUP("Prostate_0 to 04",C:H,2,FALSE)+VLOOKUP("Prostate_05 to 09",C:H,2,FALSE)+VLOOKUP("Prostate_10 to 14",C:H,2,FALSE)+VLOOKUP("Prostate_15 to 19",C:H,2,FALSE)+VLOOKUP("Prostate_20 to 24",C:H,2,FALSE)+VLOOKUP("Prostate_25 to 29",C:H,2,FALSE)+VLOOKUP("Prostate_30 to 34",C:H,2,FALSE)+VLOOKUP("Prostate_35 to 39",C:H,2,FALSE)+VLOOKUP("Prostate_40 to 44",C:H,2,FALSE)+VLOOKUP("Prostate_45 to 49",C:H,2,FALSE)+VLOOKUP("Prostate_50 to 54",C:H,2,FALSE)+VLOOKUP("Prostate_55 to 59",C:H,2,FALSE)+VLOOKUP("Prostate_60 to 64",C:H,2,FALSE)+VLOOKUP("Prostate_65 to 69",C:H,2,FALSE)+VLOOKUP("Prostate_70 to 74",C:H,2,FALSE)+VLOOKUP("Prostate_75 to 79",C:H,2,FALSE)+VLOOKUP("Prostate_80 to 84",C:H,2,FALSE)+VLOOKUP("Prostate_85 to 89",C:H,2,FALSE)+VLOOKUP("Prostate_90",C:H,2,FALSE)</f>
        <v>0</v>
      </c>
      <c r="E261" s="1012">
        <f>VLOOKUP("Prostate_0 to 04",C:H,3,FALSE)+VLOOKUP("Prostate_05 to 09",C:H,3,FALSE)+VLOOKUP("Prostate_10 to 14",C:H,3,FALSE)+VLOOKUP("Prostate_15 to 19",C:H,3,FALSE)+VLOOKUP("Prostate_20 to 24",C:H,3,FALSE)+VLOOKUP("Prostate_25 to 29",C:H,3,FALSE)+VLOOKUP("Prostate_30 to 34",C:H,3,FALSE)+VLOOKUP("Prostate_35 to 39",C:H,3,FALSE)+VLOOKUP("Prostate_40 to 44",C:H,3,FALSE)+VLOOKUP("Prostate_45 to 49",C:H,3,FALSE)+VLOOKUP("Prostate_50 to 54",C:H,3,FALSE)+VLOOKUP("Prostate_55 to 59",C:H,3,FALSE)+VLOOKUP("Prostate_60 to 64",C:H,3,FALSE)+VLOOKUP("Prostate_65 to 69",C:H,3,FALSE)+VLOOKUP("Prostate_70 to 74",C:H,3,FALSE)+VLOOKUP("Prostate_75 to 79",C:H,3,FALSE)+VLOOKUP("Prostate_80 to 84",C:H,3,FALSE)+VLOOKUP("Prostate_85 to 89",C:H,3,FALSE)+VLOOKUP("Prostate_90",C:H,3,FALSE)</f>
        <v>0</v>
      </c>
      <c r="F261" s="1008">
        <v>0</v>
      </c>
      <c r="G261" s="1013">
        <v>52254</v>
      </c>
      <c r="H261" s="1014">
        <v>183.8</v>
      </c>
      <c r="I261" s="1011">
        <f>VLOOKUP(B261,'App7 - PopSize_Calcs'!$M$3:$P$40,2,FALSE)</f>
        <v>32583225.666666668</v>
      </c>
      <c r="J261" s="1010">
        <f t="shared" si="32"/>
        <v>32583225.666666668</v>
      </c>
      <c r="K261" s="1010">
        <f t="shared" si="39"/>
        <v>52254</v>
      </c>
    </row>
    <row r="262" spans="1:11" x14ac:dyDescent="0.2">
      <c r="A262" s="1008" t="s">
        <v>17</v>
      </c>
      <c r="B262" s="1009" t="s">
        <v>251</v>
      </c>
      <c r="C262" s="1009" t="str">
        <f t="shared" si="31"/>
        <v>Testis_0 to 04</v>
      </c>
      <c r="D262" s="1008">
        <v>0</v>
      </c>
      <c r="E262" s="1008">
        <v>0</v>
      </c>
      <c r="F262" s="1008">
        <v>0</v>
      </c>
      <c r="G262" s="1011">
        <v>7</v>
      </c>
      <c r="H262" s="1012">
        <v>0.4</v>
      </c>
      <c r="I262" s="1011">
        <f>VLOOKUP(B262,'App7 - PopSize_Calcs'!$M$3:$P$40,2,FALSE)</f>
        <v>2032241.3333333333</v>
      </c>
      <c r="J262" s="1010">
        <f t="shared" si="32"/>
        <v>2032241.3333333333</v>
      </c>
      <c r="K262" s="1010">
        <f t="shared" si="39"/>
        <v>7</v>
      </c>
    </row>
    <row r="263" spans="1:11" x14ac:dyDescent="0.2">
      <c r="A263" s="1008" t="s">
        <v>17</v>
      </c>
      <c r="B263" s="1009" t="s">
        <v>252</v>
      </c>
      <c r="C263" s="1009" t="str">
        <f t="shared" si="31"/>
        <v>Testis_05 to 09</v>
      </c>
      <c r="D263" s="1008">
        <v>0</v>
      </c>
      <c r="E263" s="1008">
        <v>0</v>
      </c>
      <c r="F263" s="1008">
        <v>0</v>
      </c>
      <c r="G263" s="1011">
        <v>1</v>
      </c>
      <c r="H263" s="1012">
        <v>0.1</v>
      </c>
      <c r="I263" s="1011">
        <f>VLOOKUP(B263,'App7 - PopSize_Calcs'!$M$3:$P$40,2,FALSE)</f>
        <v>2096799</v>
      </c>
      <c r="J263" s="1010">
        <f t="shared" si="32"/>
        <v>2096799</v>
      </c>
      <c r="K263" s="1010">
        <f t="shared" si="39"/>
        <v>1</v>
      </c>
    </row>
    <row r="264" spans="1:11" x14ac:dyDescent="0.2">
      <c r="A264" s="1008" t="s">
        <v>17</v>
      </c>
      <c r="B264" s="1009" t="s">
        <v>253</v>
      </c>
      <c r="C264" s="1009" t="str">
        <f t="shared" si="31"/>
        <v>Testis_10 to 14</v>
      </c>
      <c r="D264" s="1008">
        <v>0</v>
      </c>
      <c r="E264" s="1008">
        <v>0</v>
      </c>
      <c r="F264" s="1008">
        <v>0</v>
      </c>
      <c r="G264" s="1011">
        <v>5</v>
      </c>
      <c r="H264" s="1012">
        <v>0.3</v>
      </c>
      <c r="I264" s="1011">
        <f>VLOOKUP(B264,'App7 - PopSize_Calcs'!$M$3:$P$40,2,FALSE)</f>
        <v>1915702.6666666667</v>
      </c>
      <c r="J264" s="1010">
        <f t="shared" si="32"/>
        <v>1915702.6666666667</v>
      </c>
      <c r="K264" s="1010">
        <f t="shared" si="39"/>
        <v>5</v>
      </c>
    </row>
    <row r="265" spans="1:11" x14ac:dyDescent="0.2">
      <c r="A265" s="1008" t="s">
        <v>17</v>
      </c>
      <c r="B265" s="1009" t="s">
        <v>254</v>
      </c>
      <c r="C265" s="1009" t="str">
        <f t="shared" si="31"/>
        <v>Testis_15 to 19</v>
      </c>
      <c r="D265" s="1008">
        <v>0</v>
      </c>
      <c r="E265" s="1008">
        <v>0</v>
      </c>
      <c r="F265" s="1008">
        <v>0</v>
      </c>
      <c r="G265" s="1011">
        <v>49</v>
      </c>
      <c r="H265" s="1012">
        <v>2.6</v>
      </c>
      <c r="I265" s="1011">
        <f>VLOOKUP(B265,'App7 - PopSize_Calcs'!$M$3:$P$40,2,FALSE)</f>
        <v>1908478.6666666667</v>
      </c>
      <c r="J265" s="1010">
        <f t="shared" si="32"/>
        <v>1908478.6666666667</v>
      </c>
      <c r="K265" s="1010">
        <f t="shared" si="39"/>
        <v>49</v>
      </c>
    </row>
    <row r="266" spans="1:11" x14ac:dyDescent="0.2">
      <c r="A266" s="1008" t="s">
        <v>17</v>
      </c>
      <c r="B266" s="1009" t="s">
        <v>255</v>
      </c>
      <c r="C266" s="1009" t="str">
        <f t="shared" si="31"/>
        <v>Testis_20 to 24</v>
      </c>
      <c r="D266" s="1008">
        <v>0</v>
      </c>
      <c r="E266" s="1008">
        <v>0</v>
      </c>
      <c r="F266" s="1008">
        <v>0</v>
      </c>
      <c r="G266" s="1011">
        <v>200</v>
      </c>
      <c r="H266" s="1012">
        <v>9.3000000000000007</v>
      </c>
      <c r="I266" s="1011">
        <f>VLOOKUP(B266,'App7 - PopSize_Calcs'!$M$3:$P$40,2,FALSE)</f>
        <v>2161986</v>
      </c>
      <c r="J266" s="1010">
        <f t="shared" si="32"/>
        <v>2161986</v>
      </c>
      <c r="K266" s="1010">
        <f t="shared" si="39"/>
        <v>200</v>
      </c>
    </row>
    <row r="267" spans="1:11" x14ac:dyDescent="0.2">
      <c r="A267" s="1008" t="s">
        <v>17</v>
      </c>
      <c r="B267" s="1009" t="s">
        <v>256</v>
      </c>
      <c r="C267" s="1009" t="str">
        <f t="shared" si="31"/>
        <v>Testis_25 to 29</v>
      </c>
      <c r="D267" s="1008">
        <v>0</v>
      </c>
      <c r="E267" s="1008">
        <v>0</v>
      </c>
      <c r="F267" s="1008">
        <v>0</v>
      </c>
      <c r="G267" s="1011">
        <v>356</v>
      </c>
      <c r="H267" s="1012">
        <v>15.5</v>
      </c>
      <c r="I267" s="1011">
        <f>VLOOKUP(B267,'App7 - PopSize_Calcs'!$M$3:$P$40,2,FALSE)</f>
        <v>2287337.6666666665</v>
      </c>
      <c r="J267" s="1010">
        <f t="shared" si="32"/>
        <v>2287337.6666666665</v>
      </c>
      <c r="K267" s="1010">
        <f t="shared" si="39"/>
        <v>356</v>
      </c>
    </row>
    <row r="268" spans="1:11" x14ac:dyDescent="0.2">
      <c r="A268" s="1008" t="s">
        <v>17</v>
      </c>
      <c r="B268" s="1009" t="s">
        <v>257</v>
      </c>
      <c r="C268" s="1009" t="str">
        <f t="shared" si="31"/>
        <v>Testis_30 to 34</v>
      </c>
      <c r="D268" s="1008">
        <v>0</v>
      </c>
      <c r="E268" s="1008">
        <v>0</v>
      </c>
      <c r="F268" s="1008">
        <v>0</v>
      </c>
      <c r="G268" s="1011">
        <v>451</v>
      </c>
      <c r="H268" s="1012">
        <v>20.399999999999999</v>
      </c>
      <c r="I268" s="1011">
        <f>VLOOKUP(B268,'App7 - PopSize_Calcs'!$M$3:$P$40,2,FALSE)</f>
        <v>2208867.6666666665</v>
      </c>
      <c r="J268" s="1010">
        <f t="shared" si="32"/>
        <v>2208867.6666666665</v>
      </c>
      <c r="K268" s="1010">
        <f t="shared" si="39"/>
        <v>451</v>
      </c>
    </row>
    <row r="269" spans="1:11" x14ac:dyDescent="0.2">
      <c r="A269" s="1008" t="s">
        <v>17</v>
      </c>
      <c r="B269" s="1009" t="s">
        <v>258</v>
      </c>
      <c r="C269" s="1009" t="str">
        <f t="shared" si="31"/>
        <v>Testis_35 to 39</v>
      </c>
      <c r="D269" s="1008">
        <v>0</v>
      </c>
      <c r="E269" s="1008">
        <v>0</v>
      </c>
      <c r="F269" s="1008">
        <v>0</v>
      </c>
      <c r="G269" s="1011">
        <v>399</v>
      </c>
      <c r="H269" s="1012">
        <v>18.8</v>
      </c>
      <c r="I269" s="1011">
        <f>VLOOKUP(B269,'App7 - PopSize_Calcs'!$M$3:$P$40,2,FALSE)</f>
        <v>2124546.3333333335</v>
      </c>
      <c r="J269" s="1010">
        <f t="shared" si="32"/>
        <v>2124546.3333333335</v>
      </c>
      <c r="K269" s="1010">
        <f t="shared" si="39"/>
        <v>399</v>
      </c>
    </row>
    <row r="270" spans="1:11" x14ac:dyDescent="0.2">
      <c r="A270" s="1008" t="s">
        <v>17</v>
      </c>
      <c r="B270" s="1009" t="s">
        <v>192</v>
      </c>
      <c r="C270" s="1009" t="str">
        <f t="shared" si="31"/>
        <v>Testis_40 to 44</v>
      </c>
      <c r="D270" s="1008">
        <v>0</v>
      </c>
      <c r="E270" s="1008">
        <v>0</v>
      </c>
      <c r="F270" s="1008">
        <v>0</v>
      </c>
      <c r="G270" s="1011">
        <v>248</v>
      </c>
      <c r="H270" s="1012">
        <v>12.3</v>
      </c>
      <c r="I270" s="1011">
        <f>VLOOKUP(B270,'App7 - PopSize_Calcs'!$M$3:$P$40,2,FALSE)</f>
        <v>2021384.6666666667</v>
      </c>
      <c r="J270" s="1010">
        <f t="shared" si="32"/>
        <v>2021384.6666666667</v>
      </c>
      <c r="K270" s="1010">
        <f t="shared" si="39"/>
        <v>248</v>
      </c>
    </row>
    <row r="271" spans="1:11" x14ac:dyDescent="0.2">
      <c r="A271" s="1008" t="s">
        <v>17</v>
      </c>
      <c r="B271" s="1009" t="s">
        <v>193</v>
      </c>
      <c r="C271" s="1009" t="str">
        <f t="shared" si="31"/>
        <v>Testis_45 to 49</v>
      </c>
      <c r="D271" s="1008">
        <v>0</v>
      </c>
      <c r="E271" s="1008">
        <v>0</v>
      </c>
      <c r="F271" s="1008">
        <v>0</v>
      </c>
      <c r="G271" s="1011">
        <v>211</v>
      </c>
      <c r="H271" s="1012">
        <v>9.4</v>
      </c>
      <c r="I271" s="1011">
        <f>VLOOKUP(B271,'App7 - PopSize_Calcs'!$M$3:$P$40,2,FALSE)</f>
        <v>2251680</v>
      </c>
      <c r="J271" s="1010">
        <f t="shared" si="32"/>
        <v>2251680</v>
      </c>
      <c r="K271" s="1010">
        <f t="shared" si="39"/>
        <v>211</v>
      </c>
    </row>
    <row r="272" spans="1:11" x14ac:dyDescent="0.2">
      <c r="A272" s="1008" t="s">
        <v>17</v>
      </c>
      <c r="B272" s="1009" t="s">
        <v>194</v>
      </c>
      <c r="C272" s="1009" t="str">
        <f t="shared" si="31"/>
        <v>Testis_50 to 54</v>
      </c>
      <c r="D272" s="1008">
        <v>0</v>
      </c>
      <c r="E272" s="1008">
        <v>0</v>
      </c>
      <c r="F272" s="1008">
        <v>0</v>
      </c>
      <c r="G272" s="1011">
        <v>160</v>
      </c>
      <c r="H272" s="1012">
        <v>7</v>
      </c>
      <c r="I272" s="1011">
        <f>VLOOKUP(B272,'App7 - PopSize_Calcs'!$M$3:$P$40,2,FALSE)</f>
        <v>2293472.6666666665</v>
      </c>
      <c r="J272" s="1010">
        <f t="shared" si="32"/>
        <v>2293472.6666666665</v>
      </c>
      <c r="K272" s="1010">
        <f t="shared" si="39"/>
        <v>160</v>
      </c>
    </row>
    <row r="273" spans="1:11" x14ac:dyDescent="0.2">
      <c r="A273" s="1008" t="s">
        <v>17</v>
      </c>
      <c r="B273" s="1009" t="s">
        <v>195</v>
      </c>
      <c r="C273" s="1009" t="str">
        <f t="shared" si="31"/>
        <v>Testis_55 to 59</v>
      </c>
      <c r="D273" s="1008">
        <v>0</v>
      </c>
      <c r="E273" s="1008">
        <v>0</v>
      </c>
      <c r="F273" s="1008">
        <v>0</v>
      </c>
      <c r="G273" s="1011">
        <v>108</v>
      </c>
      <c r="H273" s="1012">
        <v>5.2</v>
      </c>
      <c r="I273" s="1011">
        <f>VLOOKUP(B273,'App7 - PopSize_Calcs'!$M$3:$P$40,2,FALSE)</f>
        <v>2061918.6666666667</v>
      </c>
      <c r="J273" s="1010">
        <f t="shared" si="32"/>
        <v>2061918.6666666667</v>
      </c>
      <c r="K273" s="1010">
        <f t="shared" si="39"/>
        <v>108</v>
      </c>
    </row>
    <row r="274" spans="1:11" x14ac:dyDescent="0.2">
      <c r="A274" s="1008" t="s">
        <v>17</v>
      </c>
      <c r="B274" s="1009" t="s">
        <v>196</v>
      </c>
      <c r="C274" s="1009" t="str">
        <f t="shared" si="31"/>
        <v>Testis_60 to 64</v>
      </c>
      <c r="D274" s="1008">
        <v>0</v>
      </c>
      <c r="E274" s="1008">
        <v>0</v>
      </c>
      <c r="F274" s="1008">
        <v>0</v>
      </c>
      <c r="G274" s="1011">
        <v>52</v>
      </c>
      <c r="H274" s="1012">
        <v>3</v>
      </c>
      <c r="I274" s="1011">
        <f>VLOOKUP(B274,'App7 - PopSize_Calcs'!$M$3:$P$40,2,FALSE)</f>
        <v>1764828</v>
      </c>
      <c r="J274" s="1010">
        <f t="shared" si="32"/>
        <v>1764828</v>
      </c>
      <c r="K274" s="1010">
        <f t="shared" si="39"/>
        <v>52</v>
      </c>
    </row>
    <row r="275" spans="1:11" x14ac:dyDescent="0.2">
      <c r="A275" s="1008" t="s">
        <v>17</v>
      </c>
      <c r="B275" s="1009" t="s">
        <v>197</v>
      </c>
      <c r="C275" s="1009" t="str">
        <f t="shared" si="31"/>
        <v>Testis_65 to 69</v>
      </c>
      <c r="D275" s="1008">
        <v>0</v>
      </c>
      <c r="E275" s="1008">
        <v>0</v>
      </c>
      <c r="F275" s="1008">
        <v>0</v>
      </c>
      <c r="G275" s="1011">
        <v>41</v>
      </c>
      <c r="H275" s="1012">
        <v>2.4</v>
      </c>
      <c r="I275" s="1011">
        <f>VLOOKUP(B275,'App7 - PopSize_Calcs'!$M$3:$P$40,2,FALSE)</f>
        <v>1696993.3333333333</v>
      </c>
      <c r="J275" s="1010">
        <f t="shared" si="32"/>
        <v>1696993.3333333333</v>
      </c>
      <c r="K275" s="1010">
        <f t="shared" si="39"/>
        <v>41</v>
      </c>
    </row>
    <row r="276" spans="1:11" x14ac:dyDescent="0.2">
      <c r="A276" s="1008" t="s">
        <v>17</v>
      </c>
      <c r="B276" s="1009" t="s">
        <v>198</v>
      </c>
      <c r="C276" s="1009" t="str">
        <f t="shared" si="31"/>
        <v>Testis_70 to 74</v>
      </c>
      <c r="D276" s="1008">
        <v>0</v>
      </c>
      <c r="E276" s="1008">
        <v>0</v>
      </c>
      <c r="F276" s="1008">
        <v>0</v>
      </c>
      <c r="G276" s="1011">
        <v>35</v>
      </c>
      <c r="H276" s="1012">
        <v>2.4</v>
      </c>
      <c r="I276" s="1011">
        <f>VLOOKUP(B276,'App7 - PopSize_Calcs'!$M$3:$P$40,2,FALSE)</f>
        <v>1467965</v>
      </c>
      <c r="J276" s="1010">
        <f t="shared" si="32"/>
        <v>1467965</v>
      </c>
      <c r="K276" s="1010">
        <f t="shared" si="39"/>
        <v>35</v>
      </c>
    </row>
    <row r="277" spans="1:11" x14ac:dyDescent="0.2">
      <c r="A277" s="1008" t="s">
        <v>17</v>
      </c>
      <c r="B277" s="1009" t="s">
        <v>199</v>
      </c>
      <c r="C277" s="1009" t="str">
        <f t="shared" si="31"/>
        <v>Testis_75 to 79</v>
      </c>
      <c r="D277" s="1008">
        <v>0</v>
      </c>
      <c r="E277" s="1008">
        <v>0</v>
      </c>
      <c r="F277" s="1008">
        <v>0</v>
      </c>
      <c r="G277" s="1011">
        <v>14</v>
      </c>
      <c r="H277" s="1012">
        <v>1.4</v>
      </c>
      <c r="I277" s="1011">
        <f>VLOOKUP(B277,'App7 - PopSize_Calcs'!$M$3:$P$40,2,FALSE)</f>
        <v>1007365.3333333334</v>
      </c>
      <c r="J277" s="1010">
        <f t="shared" si="32"/>
        <v>1007365.3333333334</v>
      </c>
      <c r="K277" s="1010">
        <f t="shared" si="39"/>
        <v>14</v>
      </c>
    </row>
    <row r="278" spans="1:11" x14ac:dyDescent="0.2">
      <c r="A278" s="1008" t="s">
        <v>17</v>
      </c>
      <c r="B278" s="1009" t="s">
        <v>259</v>
      </c>
      <c r="C278" s="1009" t="str">
        <f t="shared" si="31"/>
        <v>Testis_80 to 84</v>
      </c>
      <c r="D278" s="1008">
        <v>0</v>
      </c>
      <c r="E278" s="1008">
        <v>0</v>
      </c>
      <c r="F278" s="1008">
        <v>0</v>
      </c>
      <c r="G278" s="1011">
        <v>8</v>
      </c>
      <c r="H278" s="1012">
        <v>1.1000000000000001</v>
      </c>
      <c r="I278" s="1011">
        <f>VLOOKUP(B278,'App7 - PopSize_Calcs'!$M$3:$P$40,2,FALSE)</f>
        <v>712072</v>
      </c>
      <c r="J278" s="1010">
        <f t="shared" si="32"/>
        <v>712072</v>
      </c>
      <c r="K278" s="1010">
        <f t="shared" si="39"/>
        <v>8</v>
      </c>
    </row>
    <row r="279" spans="1:11" x14ac:dyDescent="0.2">
      <c r="A279" s="1008" t="s">
        <v>17</v>
      </c>
      <c r="B279" s="1009" t="s">
        <v>260</v>
      </c>
      <c r="C279" s="1009" t="str">
        <f t="shared" si="31"/>
        <v>Testis_85 to 89</v>
      </c>
      <c r="D279" s="1008">
        <v>0</v>
      </c>
      <c r="E279" s="1008">
        <v>0</v>
      </c>
      <c r="F279" s="1008">
        <v>0</v>
      </c>
      <c r="G279" s="1011">
        <v>4</v>
      </c>
      <c r="H279" s="1012">
        <v>0.9</v>
      </c>
      <c r="I279" s="1011">
        <f>VLOOKUP(B279,'App7 - PopSize_Calcs'!$M$3:$P$40,2,FALSE)</f>
        <v>391702</v>
      </c>
      <c r="J279" s="1010">
        <f t="shared" si="32"/>
        <v>391702</v>
      </c>
      <c r="K279" s="1010">
        <f t="shared" si="39"/>
        <v>4</v>
      </c>
    </row>
    <row r="280" spans="1:11" x14ac:dyDescent="0.2">
      <c r="A280" s="1008" t="s">
        <v>17</v>
      </c>
      <c r="B280" s="1009">
        <v>90</v>
      </c>
      <c r="C280" s="1009" t="str">
        <f t="shared" si="31"/>
        <v>Testis_90</v>
      </c>
      <c r="D280" s="1008">
        <v>0</v>
      </c>
      <c r="E280" s="1008">
        <v>0</v>
      </c>
      <c r="F280" s="1008">
        <v>0</v>
      </c>
      <c r="G280" s="1011">
        <v>4</v>
      </c>
      <c r="H280" s="1012">
        <v>2.1</v>
      </c>
      <c r="I280" s="1011">
        <f>VLOOKUP(B280,'App7 - PopSize_Calcs'!$M$3:$P$40,2,FALSE)</f>
        <v>177884.66666666666</v>
      </c>
      <c r="J280" s="1010">
        <f t="shared" si="32"/>
        <v>177884.66666666666</v>
      </c>
      <c r="K280" s="1010">
        <f t="shared" si="39"/>
        <v>4</v>
      </c>
    </row>
    <row r="281" spans="1:11" x14ac:dyDescent="0.2">
      <c r="A281" s="1008" t="s">
        <v>17</v>
      </c>
      <c r="B281" s="1009" t="s">
        <v>204</v>
      </c>
      <c r="C281" s="1009" t="str">
        <f t="shared" si="31"/>
        <v>Testis_Total 40-79</v>
      </c>
      <c r="D281" s="1011">
        <f>VLOOKUP("testis_40 to 44",C:H,2,FALSE)+VLOOKUP("testis_45 to 49",C:H,2,FALSE)+VLOOKUP("testis_50 to 54",C:H,2,FALSE)+VLOOKUP("testis_55 to 59",C:H,2,FALSE)+VLOOKUP("testis_60 to 64",C:H,2,FALSE)+VLOOKUP("testis_65 to 69",C:H,2,FALSE)+VLOOKUP("testis_70 to 74",C:H,2,FALSE)+VLOOKUP("testis_75 to 79",C:H,2,FALSE)</f>
        <v>0</v>
      </c>
      <c r="E281" s="1012">
        <v>0</v>
      </c>
      <c r="F281" s="1008">
        <v>0</v>
      </c>
      <c r="G281" s="1012">
        <f>VLOOKUP("testis_40 to 44",C:H,5,FALSE)+VLOOKUP("testis_45 to 49",C:H,5,FALSE)+VLOOKUP("testis_50 to 54",C:H,5,FALSE)+VLOOKUP("testis_55 to 59",C:H,5,FALSE)+VLOOKUP("testis_60 to 64",C:H,5,FALSE)+VLOOKUP("testis_65 to 69",C:H,5,FALSE)+VLOOKUP("testis_70 to 74",C:H,5,FALSE)+VLOOKUP("testis_75 to 79",C:H,5,FALSE)</f>
        <v>869</v>
      </c>
      <c r="H281" s="1012">
        <f t="shared" ref="H281:H287" si="41">(G281/I281)*100000</f>
        <v>5.966108794682853</v>
      </c>
      <c r="I281" s="1011">
        <f>VLOOKUP(B281,'App7 - PopSize_Calcs'!$M$3:$P$40,2,FALSE)</f>
        <v>14565607.666666668</v>
      </c>
      <c r="J281" s="1010">
        <f>SUM(F281,I281)</f>
        <v>14565607.666666668</v>
      </c>
      <c r="K281" s="1010">
        <f t="shared" si="39"/>
        <v>869</v>
      </c>
    </row>
    <row r="282" spans="1:11" x14ac:dyDescent="0.2">
      <c r="A282" s="1008" t="s">
        <v>17</v>
      </c>
      <c r="B282" s="1009" t="s">
        <v>206</v>
      </c>
      <c r="C282" s="1009" t="str">
        <f t="shared" si="31"/>
        <v>Testis_Total 20-39</v>
      </c>
      <c r="D282" s="1011">
        <f>VLOOKUP("testis_20 to 24",C:H,2,FALSE)+VLOOKUP("testis_25 to 29",C:H,2,FALSE)+VLOOKUP("testis_30 to 34",C:H,2,FALSE)+VLOOKUP("testis_35 to 39",C:H,2,FALSE)</f>
        <v>0</v>
      </c>
      <c r="E282" s="1012">
        <v>0</v>
      </c>
      <c r="F282" s="1008">
        <v>0</v>
      </c>
      <c r="G282" s="1012">
        <f>VLOOKUP("testis_20 to 24",C:H,5,FALSE)+VLOOKUP("testis_25 to 29",C:H,5,FALSE)+VLOOKUP("testis_30 to 34",C:H,5,FALSE)+VLOOKUP("testis_35 to 39",C:H,5,FALSE)</f>
        <v>1406</v>
      </c>
      <c r="H282" s="1012">
        <f t="shared" si="41"/>
        <v>16.008675806590755</v>
      </c>
      <c r="I282" s="1011">
        <f>VLOOKUP(B282,'App7 - PopSize_Calcs'!$M$3:$P$40,2,FALSE)</f>
        <v>8782737.666666666</v>
      </c>
      <c r="J282" s="1010">
        <f t="shared" ref="J282:J288" si="42">SUM(F282,I282)</f>
        <v>8782737.666666666</v>
      </c>
      <c r="K282" s="1010">
        <f t="shared" si="39"/>
        <v>1406</v>
      </c>
    </row>
    <row r="283" spans="1:11" x14ac:dyDescent="0.2">
      <c r="A283" s="1008" t="s">
        <v>17</v>
      </c>
      <c r="B283" s="1008" t="s">
        <v>200</v>
      </c>
      <c r="C283" s="1009" t="str">
        <f t="shared" si="31"/>
        <v>Testis_Total 40-69</v>
      </c>
      <c r="D283" s="1011">
        <f>VLOOKUP("testis_40 to 44",C:H,2,FALSE)+VLOOKUP("testis_45 to 49",C:H,2,FALSE)+VLOOKUP("testis_50 to 54",C:H,2,FALSE)+VLOOKUP("testis_55 to 59",C:H,2,FALSE)+VLOOKUP("testis_60 to 64",C:H,2,FALSE)+VLOOKUP("testis_65 to 69",C:H,2,FALSE)</f>
        <v>0</v>
      </c>
      <c r="E283" s="1012">
        <v>0</v>
      </c>
      <c r="F283" s="1008">
        <v>0</v>
      </c>
      <c r="G283" s="1012">
        <f>VLOOKUP("testis_40 to 44",C:H,5,FALSE)+VLOOKUP("testis_45 to 49",C:H,5,FALSE)+VLOOKUP("testis_50 to 54",C:H,5,FALSE)+VLOOKUP("testis_55 to 59",C:H,5,FALSE)+VLOOKUP("testis_60 to 64",C:H,5,FALSE)+VLOOKUP("testis_65 to 69",C:H,5,FALSE)</f>
        <v>820</v>
      </c>
      <c r="H283" s="1012">
        <f t="shared" si="41"/>
        <v>6.782309267126819</v>
      </c>
      <c r="I283" s="1011">
        <f>VLOOKUP(B283,'App7 - PopSize_Calcs'!$M$3:$P$40,2,FALSE)</f>
        <v>12090277.333333334</v>
      </c>
      <c r="J283" s="1010">
        <f t="shared" si="42"/>
        <v>12090277.333333334</v>
      </c>
      <c r="K283" s="1010">
        <f t="shared" si="39"/>
        <v>820</v>
      </c>
    </row>
    <row r="284" spans="1:11" x14ac:dyDescent="0.2">
      <c r="A284" s="1008" t="s">
        <v>17</v>
      </c>
      <c r="B284" s="1008" t="s">
        <v>201</v>
      </c>
      <c r="C284" s="1009" t="str">
        <f t="shared" si="31"/>
        <v>Testis_Total 40-49</v>
      </c>
      <c r="D284" s="1011">
        <f>VLOOKUP("testis_40 to 44",C:H,2,FALSE)+VLOOKUP("testis_45 to 49",C:H,2,FALSE)</f>
        <v>0</v>
      </c>
      <c r="E284" s="1012">
        <v>0</v>
      </c>
      <c r="F284" s="1008">
        <v>0</v>
      </c>
      <c r="G284" s="1012">
        <f>VLOOKUP("testis_40 to 44",C:H,5,FALSE)+VLOOKUP("testis_45 to 49",C:H,5,FALSE)</f>
        <v>459</v>
      </c>
      <c r="H284" s="1012">
        <f t="shared" si="41"/>
        <v>10.741704977707645</v>
      </c>
      <c r="I284" s="1011">
        <f>VLOOKUP(B284,'App7 - PopSize_Calcs'!$M$3:$P$40,2,FALSE)</f>
        <v>4273064.666666667</v>
      </c>
      <c r="J284" s="1010">
        <f t="shared" si="42"/>
        <v>4273064.666666667</v>
      </c>
      <c r="K284" s="1010">
        <f t="shared" si="39"/>
        <v>459</v>
      </c>
    </row>
    <row r="285" spans="1:11" x14ac:dyDescent="0.2">
      <c r="A285" s="1008" t="s">
        <v>17</v>
      </c>
      <c r="B285" s="1008" t="s">
        <v>202</v>
      </c>
      <c r="C285" s="1009" t="str">
        <f t="shared" si="31"/>
        <v>Testis_Total 50-59</v>
      </c>
      <c r="D285" s="1011">
        <f>VLOOKUP("testis_50 to 54",C:H,2,FALSE)+VLOOKUP("testis_55 to 59",C:H,2,FALSE)</f>
        <v>0</v>
      </c>
      <c r="E285" s="1012">
        <v>0</v>
      </c>
      <c r="F285" s="1008">
        <v>0</v>
      </c>
      <c r="G285" s="1012">
        <f>VLOOKUP("testis_50 to 54",C:H,5,FALSE)+VLOOKUP("testis_55 to 59",C:H,5,FALSE)</f>
        <v>268</v>
      </c>
      <c r="H285" s="1012">
        <f t="shared" si="41"/>
        <v>6.1532932287600035</v>
      </c>
      <c r="I285" s="1011">
        <f>VLOOKUP(B285,'App7 - PopSize_Calcs'!$M$3:$P$40,2,FALSE)</f>
        <v>4355391.333333333</v>
      </c>
      <c r="J285" s="1010">
        <f t="shared" si="42"/>
        <v>4355391.333333333</v>
      </c>
      <c r="K285" s="1010">
        <f t="shared" si="39"/>
        <v>268</v>
      </c>
    </row>
    <row r="286" spans="1:11" x14ac:dyDescent="0.2">
      <c r="A286" s="1008" t="s">
        <v>17</v>
      </c>
      <c r="B286" s="1008" t="s">
        <v>203</v>
      </c>
      <c r="C286" s="1009" t="str">
        <f t="shared" si="31"/>
        <v>Testis_Total 50-69</v>
      </c>
      <c r="D286" s="1011">
        <f>VLOOKUP("testis_50 to 54",C:H,2,FALSE)+VLOOKUP("testis_55 to 59",C:H,2,FALSE)+VLOOKUP("testis_60 to 64",C:H,2,FALSE)+VLOOKUP("testis_65 to 69",C:H,2,FALSE)</f>
        <v>0</v>
      </c>
      <c r="E286" s="1012">
        <v>0</v>
      </c>
      <c r="F286" s="1008">
        <v>0</v>
      </c>
      <c r="G286" s="1012">
        <f>VLOOKUP("testis_50 to 54",C:H,5,FALSE)+VLOOKUP("testis_55 to 59",C:H,5,FALSE)+VLOOKUP("testis_60 to 64",C:H,5,FALSE)+VLOOKUP("testis_65 to 69",C:H,5,FALSE)</f>
        <v>361</v>
      </c>
      <c r="H286" s="1012">
        <f t="shared" si="41"/>
        <v>4.6180143152474038</v>
      </c>
      <c r="I286" s="1011">
        <f>VLOOKUP(B286,'App7 - PopSize_Calcs'!$M$3:$P$40,2,FALSE)</f>
        <v>7817212.666666666</v>
      </c>
      <c r="J286" s="1010">
        <f t="shared" si="42"/>
        <v>7817212.666666666</v>
      </c>
      <c r="K286" s="1010">
        <f t="shared" si="39"/>
        <v>361</v>
      </c>
    </row>
    <row r="287" spans="1:11" x14ac:dyDescent="0.2">
      <c r="A287" s="1008" t="s">
        <v>17</v>
      </c>
      <c r="B287" s="1008" t="s">
        <v>292</v>
      </c>
      <c r="C287" s="1009" t="str">
        <f t="shared" si="31"/>
        <v>Testis_Total 60-74</v>
      </c>
      <c r="D287" s="1011">
        <f>VLOOKUP("testis_60 to 64",C:H,2,FALSE)+VLOOKUP("testis_65 to 69",C:H,2,FALSE)+VLOOKUP("testis_70 to 74",C:H,2,FALSE)</f>
        <v>0</v>
      </c>
      <c r="E287" s="1012">
        <f>IFERROR((VLOOKUP("testis_60 to 64",C:H,2,FALSE)+VLOOKUP("testis_65 to 69",C:H,2,FALSE)+VLOOKUP("testis_70 to 74",C:H,2,FALSE))/(VLOOKUP("testis_60 to 64",C:H,4,FALSE)+VLOOKUP("testis_65 to 69",C:H,4,FALSE)+VLOOKUP("testis_70 to 74",C:H,4,FALSE))*100000,0)</f>
        <v>0</v>
      </c>
      <c r="F287" s="1008">
        <v>0</v>
      </c>
      <c r="G287" s="1011">
        <f>VLOOKUP("testis_60 to 64",C:K,5,FALSE)+VLOOKUP("testis_65 to 69",C:K,5,FALSE)+VLOOKUP("testis_70 to 74",C:K,5,FALSE)</f>
        <v>128</v>
      </c>
      <c r="H287" s="1012">
        <f t="shared" si="41"/>
        <v>2.5964614152648537</v>
      </c>
      <c r="I287" s="1011">
        <f>VLOOKUP(B287,'App7 - PopSize_Calcs'!$M$3:$P$40,2,FALSE)</f>
        <v>4929786.333333333</v>
      </c>
      <c r="J287" s="1010">
        <f t="shared" si="42"/>
        <v>4929786.333333333</v>
      </c>
      <c r="K287" s="1010">
        <f t="shared" si="39"/>
        <v>128</v>
      </c>
    </row>
    <row r="288" spans="1:11" x14ac:dyDescent="0.2">
      <c r="A288" s="1008" t="s">
        <v>17</v>
      </c>
      <c r="B288" s="1008" t="s">
        <v>261</v>
      </c>
      <c r="C288" s="1009" t="str">
        <f t="shared" si="31"/>
        <v>Testis_Total (All ages)</v>
      </c>
      <c r="D288" s="1011">
        <f>VLOOKUP("Testis_0 to 04",C:H,2,FALSE)+VLOOKUP("Testis_05 to 09",C:H,2,FALSE)+VLOOKUP("Testis_10 to 14",C:H,2,FALSE)+VLOOKUP("Testis_15 to 19",C:H,2,FALSE)+VLOOKUP("Testis_20 to 24",C:H,2,FALSE)+VLOOKUP("Testis_25 to 29",C:H,2,FALSE)+VLOOKUP("Testis_30 to 34",C:H,2,FALSE)+VLOOKUP("Testis_35 to 39",C:H,2,FALSE)+VLOOKUP("Testis_40 to 44",C:H,2,FALSE)+VLOOKUP("Testis_45 to 49",C:H,2,FALSE)+VLOOKUP("Testis_50 to 54",C:H,2,FALSE)+VLOOKUP("Testis_55 to 59",C:H,2,FALSE)+VLOOKUP("Testis_60 to 64",C:H,2,FALSE)+VLOOKUP("Testis_65 to 69",C:H,2,FALSE)+VLOOKUP("Testis_70 to 74",C:H,2,FALSE)+VLOOKUP("Testis_75 to 79",C:H,2,FALSE)+VLOOKUP("Testis_80 to 84",C:H,2,FALSE)+VLOOKUP("Testis_85 to 89",C:H,2,FALSE)+VLOOKUP("Testis_90",C:H,2,FALSE)</f>
        <v>0</v>
      </c>
      <c r="E288" s="1012">
        <f>VLOOKUP("Testis_0 to 04",C:H,3,FALSE)+VLOOKUP("Testis_05 to 09",C:H,3,FALSE)+VLOOKUP("Testis_10 to 14",C:H,3,FALSE)+VLOOKUP("Testis_15 to 19",C:H,3,FALSE)+VLOOKUP("Testis_20 to 24",C:H,3,FALSE)+VLOOKUP("Testis_25 to 29",C:H,3,FALSE)+VLOOKUP("Testis_30 to 34",C:H,3,FALSE)+VLOOKUP("Testis_35 to 39",C:H,3,FALSE)+VLOOKUP("Testis_40 to 44",C:H,3,FALSE)+VLOOKUP("Testis_45 to 49",C:H,3,FALSE)+VLOOKUP("Testis_50 to 54",C:H,3,FALSE)+VLOOKUP("Testis_55 to 59",C:H,3,FALSE)+VLOOKUP("Testis_60 to 64",C:H,3,FALSE)+VLOOKUP("Testis_65 to 69",C:H,3,FALSE)+VLOOKUP("Testis_70 to 74",C:H,3,FALSE)+VLOOKUP("Testis_75 to 79",C:H,3,FALSE)+VLOOKUP("Testis_80 to 84",C:H,3,FALSE)+VLOOKUP("Testis_85 to 89",C:H,3,FALSE)+VLOOKUP("Testis_90",C:H,3,FALSE)</f>
        <v>0</v>
      </c>
      <c r="F288" s="1008">
        <v>0</v>
      </c>
      <c r="G288" s="1013">
        <v>2354</v>
      </c>
      <c r="H288" s="1014">
        <v>7.2</v>
      </c>
      <c r="I288" s="1011">
        <f>VLOOKUP(B288,'App7 - PopSize_Calcs'!$M$3:$P$40,2,FALSE)</f>
        <v>32583225.666666668</v>
      </c>
      <c r="J288" s="1010">
        <f t="shared" si="42"/>
        <v>32583225.666666668</v>
      </c>
      <c r="K288" s="1010">
        <f t="shared" si="39"/>
        <v>2354</v>
      </c>
    </row>
  </sheetData>
  <autoFilter ref="A1:I288" xr:uid="{C1C7A376-C998-4A15-91B3-46C5009381EB}"/>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84BE3-B3B3-44E4-B27A-586B5FB983D9}">
  <sheetPr>
    <tabColor theme="2"/>
  </sheetPr>
  <dimension ref="B2:T76"/>
  <sheetViews>
    <sheetView topLeftCell="A40" workbookViewId="0">
      <selection activeCell="J64" sqref="J64"/>
    </sheetView>
  </sheetViews>
  <sheetFormatPr baseColWidth="10" defaultColWidth="8.83203125" defaultRowHeight="16" x14ac:dyDescent="0.2"/>
  <cols>
    <col min="1" max="1" width="3.83203125" customWidth="1"/>
    <col min="2" max="4" width="12.6640625" customWidth="1"/>
    <col min="5" max="5" width="4.33203125" customWidth="1"/>
    <col min="6" max="8" width="12.6640625" customWidth="1"/>
    <col min="11" max="11" width="15.6640625" customWidth="1"/>
    <col min="12" max="12" width="11.83203125" customWidth="1"/>
    <col min="19" max="19" width="16.5" customWidth="1"/>
  </cols>
  <sheetData>
    <row r="2" spans="2:20" x14ac:dyDescent="0.2">
      <c r="B2" s="1" t="s">
        <v>264</v>
      </c>
    </row>
    <row r="4" spans="2:20" ht="17" thickBot="1" x14ac:dyDescent="0.25">
      <c r="B4" s="1" t="s">
        <v>231</v>
      </c>
      <c r="I4" s="1" t="s">
        <v>232</v>
      </c>
      <c r="P4" s="1" t="s">
        <v>233</v>
      </c>
    </row>
    <row r="5" spans="2:20" ht="17" x14ac:dyDescent="0.2">
      <c r="B5" s="57" t="s">
        <v>8</v>
      </c>
      <c r="C5" s="58" t="s">
        <v>224</v>
      </c>
      <c r="D5" s="59" t="s">
        <v>234</v>
      </c>
      <c r="E5" s="59" t="str">
        <f>B5&amp;C5&amp;D5</f>
        <v>Breast2WW30 to 39</v>
      </c>
      <c r="F5" s="415">
        <v>1400</v>
      </c>
      <c r="G5" s="410">
        <f>F5/SUM(F5:F8)</f>
        <v>0.81300813008130079</v>
      </c>
      <c r="H5" s="56"/>
      <c r="I5" s="48" t="s">
        <v>8</v>
      </c>
      <c r="J5" s="49">
        <v>1</v>
      </c>
      <c r="K5" s="66" t="s">
        <v>224</v>
      </c>
      <c r="L5" s="69" t="str">
        <f>I5&amp;K5&amp;J5</f>
        <v>Breast2WW1</v>
      </c>
      <c r="M5" s="402">
        <v>7746</v>
      </c>
      <c r="N5" s="396">
        <f>M5/SUM(M5:M8)</f>
        <v>0.31340022657387928</v>
      </c>
      <c r="P5" s="1515" t="s">
        <v>8</v>
      </c>
      <c r="Q5" s="1515" t="s">
        <v>229</v>
      </c>
      <c r="R5" s="34" t="s">
        <v>235</v>
      </c>
      <c r="S5" s="34" t="str">
        <f>P5&amp;Q5&amp;R5</f>
        <v>Breast40 to 491</v>
      </c>
      <c r="T5" s="420">
        <v>0.98233270645141602</v>
      </c>
    </row>
    <row r="6" spans="2:20" ht="17" x14ac:dyDescent="0.2">
      <c r="B6" s="60" t="s">
        <v>8</v>
      </c>
      <c r="C6" s="61" t="s">
        <v>225</v>
      </c>
      <c r="D6" s="62" t="s">
        <v>234</v>
      </c>
      <c r="E6" s="62" t="str">
        <f t="shared" ref="E6:E69" si="0">B6&amp;C6&amp;D6</f>
        <v>BreastScreening30 to 39</v>
      </c>
      <c r="F6" s="416">
        <v>6</v>
      </c>
      <c r="G6" s="411">
        <f>F6/SUM(F5:F8)</f>
        <v>3.4843205574912892E-3</v>
      </c>
      <c r="H6" s="56"/>
      <c r="I6" s="51" t="s">
        <v>8</v>
      </c>
      <c r="J6" s="33">
        <v>2</v>
      </c>
      <c r="K6" s="67" t="s">
        <v>224</v>
      </c>
      <c r="L6" s="70" t="str">
        <f t="shared" ref="L6:L36" si="1">I6&amp;K6&amp;J6</f>
        <v>Breast2WW2</v>
      </c>
      <c r="M6" s="403">
        <v>12724</v>
      </c>
      <c r="N6" s="397">
        <f>M6/SUM(M5:M8)</f>
        <v>0.51480822139504778</v>
      </c>
      <c r="P6" s="1516" t="s">
        <v>8</v>
      </c>
      <c r="Q6" s="1516" t="s">
        <v>229</v>
      </c>
      <c r="R6" s="34" t="s">
        <v>236</v>
      </c>
      <c r="S6" s="34" t="str">
        <f t="shared" ref="S6:S8" si="2">P6&amp;Q6&amp;R6</f>
        <v>Breast40 to 492</v>
      </c>
      <c r="T6" s="420">
        <v>0.93544936180114746</v>
      </c>
    </row>
    <row r="7" spans="2:20" ht="17" x14ac:dyDescent="0.2">
      <c r="B7" s="60" t="s">
        <v>8</v>
      </c>
      <c r="C7" s="61" t="s">
        <v>226</v>
      </c>
      <c r="D7" s="62" t="s">
        <v>234</v>
      </c>
      <c r="E7" s="62" t="str">
        <f t="shared" si="0"/>
        <v>BreastEmergency30 to 39</v>
      </c>
      <c r="F7" s="416">
        <v>25</v>
      </c>
      <c r="G7" s="411">
        <f>F7/SUM(F5:F8)</f>
        <v>1.4518002322880372E-2</v>
      </c>
      <c r="H7" s="56"/>
      <c r="I7" s="51" t="s">
        <v>8</v>
      </c>
      <c r="J7" s="33">
        <v>3</v>
      </c>
      <c r="K7" s="67" t="s">
        <v>224</v>
      </c>
      <c r="L7" s="70" t="str">
        <f t="shared" si="1"/>
        <v>Breast2WW3</v>
      </c>
      <c r="M7" s="403">
        <v>3034</v>
      </c>
      <c r="N7" s="397">
        <f>M7/SUM(M5:M8)</f>
        <v>0.12275449101796407</v>
      </c>
      <c r="P7" s="1516" t="s">
        <v>8</v>
      </c>
      <c r="Q7" s="1516" t="s">
        <v>229</v>
      </c>
      <c r="R7" s="34" t="s">
        <v>237</v>
      </c>
      <c r="S7" s="34" t="str">
        <f t="shared" si="2"/>
        <v>Breast40 to 493</v>
      </c>
      <c r="T7" s="420">
        <v>0.83167678117752075</v>
      </c>
    </row>
    <row r="8" spans="2:20" ht="18" thickBot="1" x14ac:dyDescent="0.25">
      <c r="B8" s="63" t="s">
        <v>8</v>
      </c>
      <c r="C8" s="64" t="s">
        <v>227</v>
      </c>
      <c r="D8" s="65" t="s">
        <v>234</v>
      </c>
      <c r="E8" s="65" t="str">
        <f t="shared" si="0"/>
        <v>BreastRoutine30 to 39</v>
      </c>
      <c r="F8" s="417">
        <v>291</v>
      </c>
      <c r="G8" s="412">
        <f>F8/SUM(F5:F8)</f>
        <v>0.16898954703832753</v>
      </c>
      <c r="H8" s="56"/>
      <c r="I8" s="52" t="s">
        <v>8</v>
      </c>
      <c r="J8" s="53">
        <v>4</v>
      </c>
      <c r="K8" s="68" t="s">
        <v>224</v>
      </c>
      <c r="L8" s="71" t="str">
        <f t="shared" si="1"/>
        <v>Breast2WW4</v>
      </c>
      <c r="M8" s="404">
        <v>1212</v>
      </c>
      <c r="N8" s="398">
        <f>M8/SUM(M5:M8)</f>
        <v>4.9037061013108917E-2</v>
      </c>
      <c r="P8" s="1517" t="s">
        <v>8</v>
      </c>
      <c r="Q8" s="1517" t="s">
        <v>229</v>
      </c>
      <c r="R8" s="34" t="s">
        <v>238</v>
      </c>
      <c r="S8" s="34" t="str">
        <f t="shared" si="2"/>
        <v>Breast40 to 494</v>
      </c>
      <c r="T8" s="420">
        <v>0.46057593822479248</v>
      </c>
    </row>
    <row r="9" spans="2:20" ht="17" x14ac:dyDescent="0.2">
      <c r="B9" s="57" t="s">
        <v>8</v>
      </c>
      <c r="C9" s="58" t="s">
        <v>224</v>
      </c>
      <c r="D9" s="59" t="s">
        <v>229</v>
      </c>
      <c r="E9" s="59" t="str">
        <f t="shared" si="0"/>
        <v>Breast2WW40 to 49</v>
      </c>
      <c r="F9" s="418">
        <v>4453</v>
      </c>
      <c r="G9" s="413">
        <f>F9/SUM(F9:F12)</f>
        <v>0.73023942276156117</v>
      </c>
      <c r="H9" s="56"/>
      <c r="I9" s="48" t="s">
        <v>8</v>
      </c>
      <c r="J9" s="49">
        <v>1</v>
      </c>
      <c r="K9" s="50" t="s">
        <v>225</v>
      </c>
      <c r="L9" s="69" t="str">
        <f>I9&amp;K9&amp;J9</f>
        <v>BreastScreening1</v>
      </c>
      <c r="M9" s="405">
        <v>10601</v>
      </c>
      <c r="N9" s="396">
        <f>M9/SUM(M9:M12)</f>
        <v>0.68033628545757929</v>
      </c>
      <c r="P9" s="1515" t="s">
        <v>8</v>
      </c>
      <c r="Q9" s="1515" t="s">
        <v>230</v>
      </c>
      <c r="R9" s="34" t="s">
        <v>235</v>
      </c>
      <c r="S9" s="34" t="str">
        <f>P9&amp;Q9&amp;R9</f>
        <v>Breast50 to 591</v>
      </c>
      <c r="T9" s="420">
        <v>0.9898107647895813</v>
      </c>
    </row>
    <row r="10" spans="2:20" ht="17" x14ac:dyDescent="0.2">
      <c r="B10" s="60" t="s">
        <v>8</v>
      </c>
      <c r="C10" s="61" t="s">
        <v>225</v>
      </c>
      <c r="D10" s="62" t="s">
        <v>229</v>
      </c>
      <c r="E10" s="62" t="str">
        <f t="shared" si="0"/>
        <v>BreastScreening40 to 49</v>
      </c>
      <c r="F10" s="416">
        <v>648</v>
      </c>
      <c r="G10" s="411">
        <f>F10/SUM(F9:F12)</f>
        <v>0.10626434896687438</v>
      </c>
      <c r="H10" s="56"/>
      <c r="I10" s="51" t="s">
        <v>8</v>
      </c>
      <c r="J10" s="33">
        <v>2</v>
      </c>
      <c r="K10" s="32" t="s">
        <v>225</v>
      </c>
      <c r="L10" s="70" t="str">
        <f t="shared" si="1"/>
        <v>BreastScreening2</v>
      </c>
      <c r="M10" s="406">
        <v>4255</v>
      </c>
      <c r="N10" s="397">
        <f>M10/SUM(M9:M12)</f>
        <v>0.2730714927480426</v>
      </c>
      <c r="P10" s="1516" t="s">
        <v>8</v>
      </c>
      <c r="Q10" s="1516" t="s">
        <v>230</v>
      </c>
      <c r="R10" s="34" t="s">
        <v>236</v>
      </c>
      <c r="S10" s="34" t="str">
        <f t="shared" ref="S10:S12" si="3">P10&amp;Q10&amp;R10</f>
        <v>Breast50 to 592</v>
      </c>
      <c r="T10" s="420">
        <v>0.93764173984527588</v>
      </c>
    </row>
    <row r="11" spans="2:20" ht="17" x14ac:dyDescent="0.2">
      <c r="B11" s="60" t="s">
        <v>8</v>
      </c>
      <c r="C11" s="61" t="s">
        <v>226</v>
      </c>
      <c r="D11" s="62" t="s">
        <v>229</v>
      </c>
      <c r="E11" s="62" t="str">
        <f t="shared" si="0"/>
        <v>BreastEmergency40 to 49</v>
      </c>
      <c r="F11" s="416">
        <v>98</v>
      </c>
      <c r="G11" s="411">
        <f>F11/SUM(F9:F12)</f>
        <v>1.6070842899311249E-2</v>
      </c>
      <c r="H11" s="56"/>
      <c r="I11" s="51" t="s">
        <v>8</v>
      </c>
      <c r="J11" s="33">
        <v>3</v>
      </c>
      <c r="K11" s="32" t="s">
        <v>225</v>
      </c>
      <c r="L11" s="70" t="str">
        <f t="shared" si="1"/>
        <v>BreastScreening3</v>
      </c>
      <c r="M11" s="406">
        <v>602</v>
      </c>
      <c r="N11" s="399">
        <f>M11/SUM(M9:M11)</f>
        <v>3.8944235994307158E-2</v>
      </c>
      <c r="P11" s="1516" t="s">
        <v>8</v>
      </c>
      <c r="Q11" s="1516" t="s">
        <v>230</v>
      </c>
      <c r="R11" s="34" t="s">
        <v>237</v>
      </c>
      <c r="S11" s="34" t="str">
        <f t="shared" si="3"/>
        <v>Breast50 to 593</v>
      </c>
      <c r="T11" s="420">
        <v>0.80225890874862671</v>
      </c>
    </row>
    <row r="12" spans="2:20" ht="18" thickBot="1" x14ac:dyDescent="0.25">
      <c r="B12" s="63" t="s">
        <v>8</v>
      </c>
      <c r="C12" s="64" t="s">
        <v>227</v>
      </c>
      <c r="D12" s="65" t="s">
        <v>229</v>
      </c>
      <c r="E12" s="65" t="str">
        <f t="shared" si="0"/>
        <v>BreastRoutine40 to 49</v>
      </c>
      <c r="F12" s="417">
        <v>899</v>
      </c>
      <c r="G12" s="412">
        <f>F12/SUM(F9:F12)</f>
        <v>0.14742538537225319</v>
      </c>
      <c r="H12" s="56"/>
      <c r="I12" s="52" t="s">
        <v>8</v>
      </c>
      <c r="J12" s="53">
        <v>4</v>
      </c>
      <c r="K12" s="54" t="s">
        <v>225</v>
      </c>
      <c r="L12" s="71" t="str">
        <f t="shared" si="1"/>
        <v>BreastScreening4</v>
      </c>
      <c r="M12" s="407">
        <v>124</v>
      </c>
      <c r="N12" s="400">
        <f>M12/SUM(M9:M12)</f>
        <v>7.9579001411885508E-3</v>
      </c>
      <c r="P12" s="1517" t="s">
        <v>8</v>
      </c>
      <c r="Q12" s="1517" t="s">
        <v>230</v>
      </c>
      <c r="R12" s="34" t="s">
        <v>238</v>
      </c>
      <c r="S12" s="34" t="str">
        <f t="shared" si="3"/>
        <v>Breast50 to 594</v>
      </c>
      <c r="T12" s="420">
        <v>0.36871775984764099</v>
      </c>
    </row>
    <row r="13" spans="2:20" ht="17" x14ac:dyDescent="0.2">
      <c r="B13" s="57" t="s">
        <v>8</v>
      </c>
      <c r="C13" s="58" t="s">
        <v>224</v>
      </c>
      <c r="D13" s="59" t="s">
        <v>230</v>
      </c>
      <c r="E13" s="59" t="str">
        <f t="shared" si="0"/>
        <v>Breast2WW50 to 59</v>
      </c>
      <c r="F13" s="415">
        <v>4321</v>
      </c>
      <c r="G13" s="410">
        <f>F13/SUM(F13:F16)</f>
        <v>0.41472310202514634</v>
      </c>
      <c r="H13" s="56"/>
      <c r="I13" s="48" t="s">
        <v>8</v>
      </c>
      <c r="J13" s="49">
        <v>1</v>
      </c>
      <c r="K13" s="50" t="s">
        <v>226</v>
      </c>
      <c r="L13" s="69" t="str">
        <f>I13&amp;K13&amp;J13</f>
        <v>BreastEmergency1</v>
      </c>
      <c r="M13" s="405">
        <v>340</v>
      </c>
      <c r="N13" s="401">
        <f>M13/SUM($M$13:$M$16)</f>
        <v>0.19687319050376376</v>
      </c>
      <c r="P13" s="392" t="s">
        <v>8</v>
      </c>
      <c r="Q13" s="392" t="s">
        <v>239</v>
      </c>
      <c r="R13" s="34" t="s">
        <v>235</v>
      </c>
      <c r="S13" s="34" t="str">
        <f>P13&amp;Q13&amp;R13</f>
        <v>Breast60 to 691</v>
      </c>
      <c r="T13" s="420">
        <v>0.99446845054626465</v>
      </c>
    </row>
    <row r="14" spans="2:20" ht="17" x14ac:dyDescent="0.2">
      <c r="B14" s="60" t="s">
        <v>8</v>
      </c>
      <c r="C14" s="61" t="s">
        <v>225</v>
      </c>
      <c r="D14" s="62" t="s">
        <v>230</v>
      </c>
      <c r="E14" s="62" t="str">
        <f t="shared" si="0"/>
        <v>BreastScreening50 to 59</v>
      </c>
      <c r="F14" s="416">
        <v>5083</v>
      </c>
      <c r="G14" s="411">
        <f>F14/SUM(F13:F16)</f>
        <v>0.48785871964679911</v>
      </c>
      <c r="H14" s="56"/>
      <c r="I14" s="51" t="s">
        <v>8</v>
      </c>
      <c r="J14" s="33">
        <v>2</v>
      </c>
      <c r="K14" s="32" t="s">
        <v>226</v>
      </c>
      <c r="L14" s="70" t="str">
        <f t="shared" si="1"/>
        <v>BreastEmergency2</v>
      </c>
      <c r="M14" s="406">
        <v>448</v>
      </c>
      <c r="N14" s="399">
        <f t="shared" ref="N14:N16" si="4">M14/SUM($M$13:$M$16)</f>
        <v>0.25940938042848871</v>
      </c>
      <c r="P14" s="392" t="s">
        <v>8</v>
      </c>
      <c r="Q14" s="392" t="s">
        <v>239</v>
      </c>
      <c r="R14" s="34" t="s">
        <v>236</v>
      </c>
      <c r="S14" s="34" t="str">
        <f t="shared" ref="S14:S16" si="5">P14&amp;Q14&amp;R14</f>
        <v>Breast60 to 692</v>
      </c>
      <c r="T14" s="420">
        <v>0.93819636106491089</v>
      </c>
    </row>
    <row r="15" spans="2:20" ht="17" x14ac:dyDescent="0.2">
      <c r="B15" s="60" t="s">
        <v>8</v>
      </c>
      <c r="C15" s="61" t="s">
        <v>226</v>
      </c>
      <c r="D15" s="62" t="s">
        <v>230</v>
      </c>
      <c r="E15" s="62" t="str">
        <f t="shared" si="0"/>
        <v>BreastEmergency50 to 59</v>
      </c>
      <c r="F15" s="416">
        <v>139</v>
      </c>
      <c r="G15" s="411">
        <f>F15/SUM(F13:F16)</f>
        <v>1.3341011613398599E-2</v>
      </c>
      <c r="H15" s="56"/>
      <c r="I15" s="51" t="s">
        <v>8</v>
      </c>
      <c r="J15" s="33">
        <v>3</v>
      </c>
      <c r="K15" s="32" t="s">
        <v>226</v>
      </c>
      <c r="L15" s="70" t="str">
        <f t="shared" si="1"/>
        <v>BreastEmergency3</v>
      </c>
      <c r="M15" s="406">
        <v>152</v>
      </c>
      <c r="N15" s="399">
        <f t="shared" si="4"/>
        <v>8.8013896931094376E-2</v>
      </c>
      <c r="P15" s="392" t="s">
        <v>8</v>
      </c>
      <c r="Q15" s="392" t="s">
        <v>239</v>
      </c>
      <c r="R15" s="34" t="s">
        <v>237</v>
      </c>
      <c r="S15" s="34" t="str">
        <f t="shared" si="5"/>
        <v>Breast60 to 693</v>
      </c>
      <c r="T15" s="420">
        <v>0.78955751657485962</v>
      </c>
    </row>
    <row r="16" spans="2:20" ht="18" thickBot="1" x14ac:dyDescent="0.25">
      <c r="B16" s="63" t="s">
        <v>8</v>
      </c>
      <c r="C16" s="64" t="s">
        <v>227</v>
      </c>
      <c r="D16" s="65" t="s">
        <v>230</v>
      </c>
      <c r="E16" s="65" t="str">
        <f t="shared" si="0"/>
        <v>BreastRoutine50 to 59</v>
      </c>
      <c r="F16" s="417">
        <v>876</v>
      </c>
      <c r="G16" s="412">
        <f>F16/SUM(F13:F16)</f>
        <v>8.4077166714655913E-2</v>
      </c>
      <c r="H16" s="56"/>
      <c r="I16" s="52" t="s">
        <v>8</v>
      </c>
      <c r="J16" s="53">
        <v>4</v>
      </c>
      <c r="K16" s="54" t="s">
        <v>226</v>
      </c>
      <c r="L16" s="71" t="str">
        <f t="shared" si="1"/>
        <v>BreastEmergency4</v>
      </c>
      <c r="M16" s="407">
        <v>787</v>
      </c>
      <c r="N16" s="398">
        <f t="shared" si="4"/>
        <v>0.45570353213665316</v>
      </c>
      <c r="P16" s="392" t="s">
        <v>8</v>
      </c>
      <c r="Q16" s="392" t="s">
        <v>239</v>
      </c>
      <c r="R16" s="34" t="s">
        <v>238</v>
      </c>
      <c r="S16" s="34" t="str">
        <f t="shared" si="5"/>
        <v>Breast60 to 694</v>
      </c>
      <c r="T16" s="420">
        <v>0.30088061094284058</v>
      </c>
    </row>
    <row r="17" spans="2:20" ht="17" x14ac:dyDescent="0.2">
      <c r="B17" s="57" t="s">
        <v>8</v>
      </c>
      <c r="C17" s="58" t="s">
        <v>224</v>
      </c>
      <c r="D17" s="59" t="s">
        <v>239</v>
      </c>
      <c r="E17" s="59" t="str">
        <f t="shared" si="0"/>
        <v>Breast2WW60 to 69</v>
      </c>
      <c r="F17" s="415">
        <v>3795</v>
      </c>
      <c r="G17" s="410">
        <f>F17/SUM(F17:F20)</f>
        <v>0.34487459105779716</v>
      </c>
      <c r="H17" s="56"/>
      <c r="I17" s="48" t="s">
        <v>8</v>
      </c>
      <c r="J17" s="49">
        <v>1</v>
      </c>
      <c r="K17" s="50" t="s">
        <v>227</v>
      </c>
      <c r="L17" s="69" t="str">
        <f>I17&amp;K17&amp;J17</f>
        <v>BreastRoutine1</v>
      </c>
      <c r="M17" s="405">
        <v>2013</v>
      </c>
      <c r="N17" s="401">
        <f>M17/SUM($M$17:$M$20)</f>
        <v>0.43467933491686461</v>
      </c>
      <c r="P17" s="1515" t="s">
        <v>11</v>
      </c>
      <c r="Q17" s="1515" t="s">
        <v>229</v>
      </c>
      <c r="R17" s="34" t="s">
        <v>235</v>
      </c>
      <c r="S17" s="34" t="str">
        <f>P17&amp;Q17&amp;R17</f>
        <v>Colorectal40 to 491</v>
      </c>
      <c r="T17" s="420">
        <v>0.96529251337051392</v>
      </c>
    </row>
    <row r="18" spans="2:20" ht="17" x14ac:dyDescent="0.2">
      <c r="B18" s="60" t="s">
        <v>8</v>
      </c>
      <c r="C18" s="61" t="s">
        <v>225</v>
      </c>
      <c r="D18" s="62" t="s">
        <v>239</v>
      </c>
      <c r="E18" s="62" t="str">
        <f t="shared" si="0"/>
        <v>BreastScreening60 to 69</v>
      </c>
      <c r="F18" s="416">
        <v>6270</v>
      </c>
      <c r="G18" s="411">
        <f>F18/SUM(F17:F20)</f>
        <v>0.56979280261723009</v>
      </c>
      <c r="H18" s="56"/>
      <c r="I18" s="51" t="s">
        <v>8</v>
      </c>
      <c r="J18" s="33">
        <v>2</v>
      </c>
      <c r="K18" s="32" t="s">
        <v>227</v>
      </c>
      <c r="L18" s="70" t="str">
        <f t="shared" si="1"/>
        <v>BreastRoutine2</v>
      </c>
      <c r="M18" s="406">
        <v>1727</v>
      </c>
      <c r="N18" s="399">
        <f t="shared" ref="N18:N20" si="6">M18/SUM($M$17:$M$20)</f>
        <v>0.37292161520190026</v>
      </c>
      <c r="P18" s="1516" t="s">
        <v>11</v>
      </c>
      <c r="Q18" s="1516" t="s">
        <v>229</v>
      </c>
      <c r="R18" s="34" t="s">
        <v>236</v>
      </c>
      <c r="S18" s="34" t="str">
        <f t="shared" ref="S18:S20" si="7">P18&amp;Q18&amp;R18</f>
        <v>Colorectal40 to 492</v>
      </c>
      <c r="T18" s="420">
        <v>0.88029187917709351</v>
      </c>
    </row>
    <row r="19" spans="2:20" ht="17" x14ac:dyDescent="0.2">
      <c r="B19" s="60" t="s">
        <v>8</v>
      </c>
      <c r="C19" s="61" t="s">
        <v>226</v>
      </c>
      <c r="D19" s="62" t="s">
        <v>239</v>
      </c>
      <c r="E19" s="62" t="str">
        <f t="shared" si="0"/>
        <v>BreastEmergency60 to 69</v>
      </c>
      <c r="F19" s="416">
        <v>186</v>
      </c>
      <c r="G19" s="411">
        <f>F19/SUM(F17:F20)</f>
        <v>1.6902944383860415E-2</v>
      </c>
      <c r="H19" s="56"/>
      <c r="I19" s="51" t="s">
        <v>8</v>
      </c>
      <c r="J19" s="33">
        <v>3</v>
      </c>
      <c r="K19" s="32" t="s">
        <v>227</v>
      </c>
      <c r="L19" s="70" t="str">
        <f t="shared" si="1"/>
        <v>BreastRoutine3</v>
      </c>
      <c r="M19" s="406">
        <v>408</v>
      </c>
      <c r="N19" s="399">
        <f t="shared" si="6"/>
        <v>8.8101921831137978E-2</v>
      </c>
      <c r="P19" s="1516" t="s">
        <v>11</v>
      </c>
      <c r="Q19" s="1516" t="s">
        <v>229</v>
      </c>
      <c r="R19" s="34" t="s">
        <v>237</v>
      </c>
      <c r="S19" s="34" t="str">
        <f t="shared" si="7"/>
        <v>Colorectal40 to 493</v>
      </c>
      <c r="T19" s="420">
        <v>0.73593348264694214</v>
      </c>
    </row>
    <row r="20" spans="2:20" ht="18" thickBot="1" x14ac:dyDescent="0.25">
      <c r="B20" s="63" t="s">
        <v>8</v>
      </c>
      <c r="C20" s="64" t="s">
        <v>227</v>
      </c>
      <c r="D20" s="65" t="s">
        <v>239</v>
      </c>
      <c r="E20" s="65" t="str">
        <f t="shared" si="0"/>
        <v>BreastRoutine60 to 69</v>
      </c>
      <c r="F20" s="417">
        <v>753</v>
      </c>
      <c r="G20" s="412">
        <f>F20/SUM(F17:F20)</f>
        <v>6.842966194111233E-2</v>
      </c>
      <c r="H20" s="56"/>
      <c r="I20" s="52" t="s">
        <v>8</v>
      </c>
      <c r="J20" s="53">
        <v>4</v>
      </c>
      <c r="K20" s="54" t="s">
        <v>227</v>
      </c>
      <c r="L20" s="71" t="str">
        <f t="shared" si="1"/>
        <v>BreastRoutine4</v>
      </c>
      <c r="M20" s="407">
        <v>483</v>
      </c>
      <c r="N20" s="398">
        <f t="shared" si="6"/>
        <v>0.10429712805009717</v>
      </c>
      <c r="P20" s="1517" t="s">
        <v>11</v>
      </c>
      <c r="Q20" s="1517" t="s">
        <v>229</v>
      </c>
      <c r="R20" s="34" t="s">
        <v>238</v>
      </c>
      <c r="S20" s="34" t="str">
        <f t="shared" si="7"/>
        <v>Colorectal40 to 494</v>
      </c>
      <c r="T20" s="420">
        <v>0.17493145167827606</v>
      </c>
    </row>
    <row r="21" spans="2:20" ht="17" x14ac:dyDescent="0.2">
      <c r="B21" s="57" t="s">
        <v>8</v>
      </c>
      <c r="C21" s="58" t="s">
        <v>224</v>
      </c>
      <c r="D21" s="59" t="s">
        <v>240</v>
      </c>
      <c r="E21" s="59" t="str">
        <f t="shared" si="0"/>
        <v>Breast2WW70 to 79</v>
      </c>
      <c r="F21" s="415">
        <v>5376</v>
      </c>
      <c r="G21" s="410">
        <f>F21/SUM(F21:F24)</f>
        <v>0.53529821766404462</v>
      </c>
      <c r="H21" s="56"/>
      <c r="I21" s="48" t="s">
        <v>11</v>
      </c>
      <c r="J21" s="49">
        <v>1</v>
      </c>
      <c r="K21" s="50" t="s">
        <v>224</v>
      </c>
      <c r="L21" s="69" t="str">
        <f>I21&amp;K21&amp;J21</f>
        <v>Colorectal2WW1</v>
      </c>
      <c r="M21" s="405">
        <v>2240</v>
      </c>
      <c r="N21" s="401">
        <f>M21/SUM($M$21:$M$24)</f>
        <v>0.17096626469241338</v>
      </c>
      <c r="P21" s="372" t="s">
        <v>11</v>
      </c>
      <c r="Q21" s="372" t="s">
        <v>230</v>
      </c>
      <c r="R21" s="34" t="s">
        <v>235</v>
      </c>
      <c r="S21" s="34" t="str">
        <f>P21&amp;Q21&amp;R21</f>
        <v>Colorectal50 to 591</v>
      </c>
      <c r="T21" s="420">
        <v>0.96242409944534302</v>
      </c>
    </row>
    <row r="22" spans="2:20" ht="17" x14ac:dyDescent="0.2">
      <c r="B22" s="60" t="s">
        <v>8</v>
      </c>
      <c r="C22" s="61" t="s">
        <v>225</v>
      </c>
      <c r="D22" s="62" t="s">
        <v>240</v>
      </c>
      <c r="E22" s="62" t="str">
        <f t="shared" si="0"/>
        <v>BreastScreening70 to 79</v>
      </c>
      <c r="F22" s="416">
        <v>3286</v>
      </c>
      <c r="G22" s="411">
        <f>F22/SUM(F21:F24)</f>
        <v>0.32719306979986063</v>
      </c>
      <c r="H22" s="56"/>
      <c r="I22" s="51" t="s">
        <v>11</v>
      </c>
      <c r="J22" s="33">
        <v>2</v>
      </c>
      <c r="K22" s="32" t="s">
        <v>224</v>
      </c>
      <c r="L22" s="70" t="str">
        <f t="shared" si="1"/>
        <v>Colorectal2WW2</v>
      </c>
      <c r="M22" s="406">
        <v>3660</v>
      </c>
      <c r="N22" s="399">
        <f t="shared" ref="N22:N24" si="8">M22/SUM($M$21:$M$24)</f>
        <v>0.27934666463135399</v>
      </c>
      <c r="P22" s="373" t="s">
        <v>11</v>
      </c>
      <c r="Q22" s="373" t="s">
        <v>230</v>
      </c>
      <c r="R22" s="34" t="s">
        <v>236</v>
      </c>
      <c r="S22" s="34" t="str">
        <f t="shared" ref="S22:S24" si="9">P22&amp;Q22&amp;R22</f>
        <v>Colorectal50 to 592</v>
      </c>
      <c r="T22" s="420">
        <v>0.88919657468795776</v>
      </c>
    </row>
    <row r="23" spans="2:20" ht="17" x14ac:dyDescent="0.2">
      <c r="B23" s="60" t="s">
        <v>8</v>
      </c>
      <c r="C23" s="61" t="s">
        <v>226</v>
      </c>
      <c r="D23" s="62" t="s">
        <v>240</v>
      </c>
      <c r="E23" s="62" t="str">
        <f t="shared" si="0"/>
        <v>BreastEmergency70 to 79</v>
      </c>
      <c r="F23" s="416">
        <v>400</v>
      </c>
      <c r="G23" s="411">
        <f>F23/SUM(F21:F24)</f>
        <v>3.9828736433336655E-2</v>
      </c>
      <c r="H23" s="56"/>
      <c r="I23" s="51" t="s">
        <v>11</v>
      </c>
      <c r="J23" s="33">
        <v>3</v>
      </c>
      <c r="K23" s="32" t="s">
        <v>224</v>
      </c>
      <c r="L23" s="70" t="str">
        <f t="shared" si="1"/>
        <v>Colorectal2WW3</v>
      </c>
      <c r="M23" s="406">
        <v>4270</v>
      </c>
      <c r="N23" s="399">
        <f t="shared" si="8"/>
        <v>0.32590444206991298</v>
      </c>
      <c r="P23" s="373" t="s">
        <v>11</v>
      </c>
      <c r="Q23" s="373" t="s">
        <v>230</v>
      </c>
      <c r="R23" s="34" t="s">
        <v>237</v>
      </c>
      <c r="S23" s="34" t="str">
        <f t="shared" si="9"/>
        <v>Colorectal50 to 593</v>
      </c>
      <c r="T23" s="420">
        <v>0.75013333559036255</v>
      </c>
    </row>
    <row r="24" spans="2:20" ht="18" thickBot="1" x14ac:dyDescent="0.25">
      <c r="B24" s="63" t="s">
        <v>8</v>
      </c>
      <c r="C24" s="64" t="s">
        <v>227</v>
      </c>
      <c r="D24" s="65" t="s">
        <v>240</v>
      </c>
      <c r="E24" s="65" t="str">
        <f t="shared" si="0"/>
        <v>BreastRoutine70 to 79</v>
      </c>
      <c r="F24" s="417">
        <v>981</v>
      </c>
      <c r="G24" s="412">
        <f>F24/SUM(F21:F24)</f>
        <v>9.7679976102758137E-2</v>
      </c>
      <c r="H24" s="56"/>
      <c r="I24" s="52" t="s">
        <v>11</v>
      </c>
      <c r="J24" s="53">
        <v>4</v>
      </c>
      <c r="K24" s="54" t="s">
        <v>224</v>
      </c>
      <c r="L24" s="71" t="str">
        <f t="shared" si="1"/>
        <v>Colorectal2WW4</v>
      </c>
      <c r="M24" s="407">
        <v>2932</v>
      </c>
      <c r="N24" s="398">
        <f t="shared" si="8"/>
        <v>0.22378262860631964</v>
      </c>
      <c r="P24" s="374" t="s">
        <v>11</v>
      </c>
      <c r="Q24" s="374" t="s">
        <v>230</v>
      </c>
      <c r="R24" s="34" t="s">
        <v>238</v>
      </c>
      <c r="S24" s="34" t="str">
        <f t="shared" si="9"/>
        <v>Colorectal50 to 594</v>
      </c>
      <c r="T24" s="420">
        <v>0.14925670623779297</v>
      </c>
    </row>
    <row r="25" spans="2:20" ht="17" x14ac:dyDescent="0.2">
      <c r="B25" s="57" t="s">
        <v>8</v>
      </c>
      <c r="C25" s="58" t="s">
        <v>224</v>
      </c>
      <c r="D25" s="59" t="s">
        <v>241</v>
      </c>
      <c r="E25" s="59" t="str">
        <f t="shared" si="0"/>
        <v>Breast2WW80+</v>
      </c>
      <c r="F25" s="415">
        <v>5372</v>
      </c>
      <c r="G25" s="410">
        <f>F25/SUM(F25:F28)</f>
        <v>0.72890094979647213</v>
      </c>
      <c r="H25" s="56"/>
      <c r="I25" s="48" t="s">
        <v>11</v>
      </c>
      <c r="J25" s="49">
        <v>1</v>
      </c>
      <c r="K25" s="50" t="s">
        <v>225</v>
      </c>
      <c r="L25" s="69" t="str">
        <f t="shared" si="1"/>
        <v>ColorectalScreening1</v>
      </c>
      <c r="M25" s="405">
        <v>1309</v>
      </c>
      <c r="N25" s="401">
        <f>M25/SUM(M25:M28)</f>
        <v>0.37843307314252672</v>
      </c>
      <c r="P25" s="392" t="s">
        <v>11</v>
      </c>
      <c r="Q25" s="391" t="s">
        <v>239</v>
      </c>
      <c r="R25" s="34" t="s">
        <v>235</v>
      </c>
      <c r="S25" s="34" t="str">
        <f>P25&amp;Q25&amp;R25</f>
        <v>Colorectal60 to 691</v>
      </c>
      <c r="T25" s="420">
        <v>0.95608574151992798</v>
      </c>
    </row>
    <row r="26" spans="2:20" ht="17" x14ac:dyDescent="0.2">
      <c r="B26" s="60" t="s">
        <v>8</v>
      </c>
      <c r="C26" s="61" t="s">
        <v>225</v>
      </c>
      <c r="D26" s="62" t="s">
        <v>241</v>
      </c>
      <c r="E26" s="62" t="str">
        <f t="shared" si="0"/>
        <v>BreastScreening80+</v>
      </c>
      <c r="F26" s="416">
        <v>289</v>
      </c>
      <c r="G26" s="411">
        <f>F26/SUM(F25:F28)</f>
        <v>3.921302578018996E-2</v>
      </c>
      <c r="H26" s="56"/>
      <c r="I26" s="51" t="s">
        <v>11</v>
      </c>
      <c r="J26" s="33">
        <v>2</v>
      </c>
      <c r="K26" s="32" t="s">
        <v>225</v>
      </c>
      <c r="L26" s="70" t="str">
        <f t="shared" si="1"/>
        <v>ColorectalScreening2</v>
      </c>
      <c r="M26" s="406">
        <v>855</v>
      </c>
      <c r="N26" s="399">
        <f>M26/SUM(M25:M28)</f>
        <v>0.24718126626192541</v>
      </c>
      <c r="P26" s="392" t="s">
        <v>11</v>
      </c>
      <c r="Q26" s="391" t="s">
        <v>239</v>
      </c>
      <c r="R26" s="34" t="s">
        <v>236</v>
      </c>
      <c r="S26" s="34" t="str">
        <f t="shared" ref="S26:S28" si="10">P26&amp;Q26&amp;R26</f>
        <v>Colorectal60 to 692</v>
      </c>
      <c r="T26" s="420">
        <v>0.86722546815872192</v>
      </c>
    </row>
    <row r="27" spans="2:20" ht="17" x14ac:dyDescent="0.2">
      <c r="B27" s="60" t="s">
        <v>8</v>
      </c>
      <c r="C27" s="61" t="s">
        <v>226</v>
      </c>
      <c r="D27" s="62" t="s">
        <v>241</v>
      </c>
      <c r="E27" s="62" t="str">
        <f t="shared" si="0"/>
        <v>BreastEmergency80+</v>
      </c>
      <c r="F27" s="416">
        <v>878</v>
      </c>
      <c r="G27" s="411">
        <f>F27/SUM(F25:F28)</f>
        <v>0.11913161465400271</v>
      </c>
      <c r="H27" s="56"/>
      <c r="I27" s="51" t="s">
        <v>11</v>
      </c>
      <c r="J27" s="33">
        <v>3</v>
      </c>
      <c r="K27" s="32" t="s">
        <v>225</v>
      </c>
      <c r="L27" s="70" t="str">
        <f t="shared" si="1"/>
        <v>ColorectalScreening3</v>
      </c>
      <c r="M27" s="406">
        <v>1027</v>
      </c>
      <c r="N27" s="399">
        <f>M27/SUM(M25:M28)</f>
        <v>0.29690662041052329</v>
      </c>
      <c r="P27" s="392" t="s">
        <v>11</v>
      </c>
      <c r="Q27" s="391" t="s">
        <v>239</v>
      </c>
      <c r="R27" s="34" t="s">
        <v>237</v>
      </c>
      <c r="S27" s="34" t="str">
        <f t="shared" si="10"/>
        <v>Colorectal60 to 693</v>
      </c>
      <c r="T27" s="420">
        <v>0.72687673568725586</v>
      </c>
    </row>
    <row r="28" spans="2:20" ht="18" thickBot="1" x14ac:dyDescent="0.25">
      <c r="B28" s="63" t="s">
        <v>8</v>
      </c>
      <c r="C28" s="64" t="s">
        <v>227</v>
      </c>
      <c r="D28" s="65" t="s">
        <v>241</v>
      </c>
      <c r="E28" s="65" t="str">
        <f t="shared" si="0"/>
        <v>BreastRoutine80+</v>
      </c>
      <c r="F28" s="417">
        <v>831</v>
      </c>
      <c r="G28" s="412">
        <f>F28/SUM(F25:F28)</f>
        <v>0.11275440976933514</v>
      </c>
      <c r="H28" s="56"/>
      <c r="I28" s="52" t="s">
        <v>11</v>
      </c>
      <c r="J28" s="53">
        <v>4</v>
      </c>
      <c r="K28" s="54" t="s">
        <v>225</v>
      </c>
      <c r="L28" s="71" t="str">
        <f t="shared" si="1"/>
        <v>ColorectalScreening4</v>
      </c>
      <c r="M28" s="407">
        <v>268</v>
      </c>
      <c r="N28" s="398">
        <f>M28/SUM(M25:M28)</f>
        <v>7.7479040185024578E-2</v>
      </c>
      <c r="P28" s="392" t="s">
        <v>11</v>
      </c>
      <c r="Q28" s="391" t="s">
        <v>239</v>
      </c>
      <c r="R28" s="34" t="s">
        <v>238</v>
      </c>
      <c r="S28" s="34" t="str">
        <f t="shared" si="10"/>
        <v>Colorectal60 to 694</v>
      </c>
      <c r="T28" s="420">
        <v>0.13455800712108612</v>
      </c>
    </row>
    <row r="29" spans="2:20" ht="17" x14ac:dyDescent="0.2">
      <c r="B29" s="57" t="s">
        <v>11</v>
      </c>
      <c r="C29" s="58" t="s">
        <v>224</v>
      </c>
      <c r="D29" s="59" t="s">
        <v>234</v>
      </c>
      <c r="E29" s="59" t="str">
        <f t="shared" si="0"/>
        <v>Colorectal2WW30 to 39</v>
      </c>
      <c r="F29" s="415">
        <v>144</v>
      </c>
      <c r="G29" s="410">
        <f>F29/SUM(F29:F32)</f>
        <v>0.21951219512195122</v>
      </c>
      <c r="H29" s="56"/>
      <c r="I29" s="48" t="s">
        <v>11</v>
      </c>
      <c r="J29" s="49">
        <v>1</v>
      </c>
      <c r="K29" s="50" t="s">
        <v>226</v>
      </c>
      <c r="L29" s="69" t="str">
        <f t="shared" si="1"/>
        <v>ColorectalEmergency1</v>
      </c>
      <c r="M29" s="405">
        <v>483</v>
      </c>
      <c r="N29" s="401">
        <f>M29/SUM($M$29:$M$32)</f>
        <v>6.0663149962321028E-2</v>
      </c>
      <c r="P29" s="392" t="s">
        <v>10</v>
      </c>
      <c r="Q29" s="391" t="s">
        <v>229</v>
      </c>
      <c r="R29" s="34" t="s">
        <v>235</v>
      </c>
      <c r="S29" s="34" t="str">
        <f>P29&amp;Q29&amp;R29</f>
        <v>Prostate40 to 491</v>
      </c>
      <c r="T29" s="421">
        <v>0.98</v>
      </c>
    </row>
    <row r="30" spans="2:20" ht="17" x14ac:dyDescent="0.2">
      <c r="B30" s="60" t="s">
        <v>11</v>
      </c>
      <c r="C30" s="61" t="s">
        <v>225</v>
      </c>
      <c r="D30" s="62" t="s">
        <v>234</v>
      </c>
      <c r="E30" s="62" t="str">
        <f t="shared" si="0"/>
        <v>ColorectalScreening30 to 39</v>
      </c>
      <c r="F30" s="416">
        <v>0</v>
      </c>
      <c r="G30" s="411">
        <f>F30/SUM(F29:F32)</f>
        <v>0</v>
      </c>
      <c r="H30" s="56"/>
      <c r="I30" s="51" t="s">
        <v>11</v>
      </c>
      <c r="J30" s="33">
        <v>2</v>
      </c>
      <c r="K30" s="32" t="s">
        <v>226</v>
      </c>
      <c r="L30" s="70" t="str">
        <f t="shared" si="1"/>
        <v>ColorectalEmergency2</v>
      </c>
      <c r="M30" s="406">
        <v>1800</v>
      </c>
      <c r="N30" s="399">
        <f t="shared" ref="N30:N32" si="11">M30/SUM($M$29:$M$32)</f>
        <v>0.22607385079125847</v>
      </c>
      <c r="P30" s="392" t="s">
        <v>10</v>
      </c>
      <c r="Q30" s="391" t="s">
        <v>229</v>
      </c>
      <c r="R30" s="34" t="s">
        <v>236</v>
      </c>
      <c r="S30" s="34" t="str">
        <f t="shared" ref="S30:S39" si="12">P30&amp;Q30&amp;R30</f>
        <v>Prostate40 to 492</v>
      </c>
      <c r="T30" s="421">
        <v>1</v>
      </c>
    </row>
    <row r="31" spans="2:20" ht="17" x14ac:dyDescent="0.2">
      <c r="B31" s="60" t="s">
        <v>11</v>
      </c>
      <c r="C31" s="61" t="s">
        <v>226</v>
      </c>
      <c r="D31" s="62" t="s">
        <v>234</v>
      </c>
      <c r="E31" s="62" t="str">
        <f t="shared" si="0"/>
        <v>ColorectalEmergency30 to 39</v>
      </c>
      <c r="F31" s="416">
        <v>196</v>
      </c>
      <c r="G31" s="411">
        <f>F31/SUM(F29:F32)</f>
        <v>0.29878048780487804</v>
      </c>
      <c r="H31" s="56"/>
      <c r="I31" s="51" t="s">
        <v>11</v>
      </c>
      <c r="J31" s="33">
        <v>3</v>
      </c>
      <c r="K31" s="32" t="s">
        <v>226</v>
      </c>
      <c r="L31" s="70" t="str">
        <f t="shared" si="1"/>
        <v>ColorectalEmergency3</v>
      </c>
      <c r="M31" s="406">
        <v>2205</v>
      </c>
      <c r="N31" s="399">
        <f t="shared" si="11"/>
        <v>0.27694046721929161</v>
      </c>
      <c r="P31" s="392" t="s">
        <v>10</v>
      </c>
      <c r="Q31" s="391" t="s">
        <v>229</v>
      </c>
      <c r="R31" s="34" t="s">
        <v>237</v>
      </c>
      <c r="S31" s="34" t="str">
        <f t="shared" si="12"/>
        <v>Prostate40 to 493</v>
      </c>
      <c r="T31" s="421">
        <v>0.97</v>
      </c>
    </row>
    <row r="32" spans="2:20" ht="18" thickBot="1" x14ac:dyDescent="0.25">
      <c r="B32" s="63" t="s">
        <v>11</v>
      </c>
      <c r="C32" s="64" t="s">
        <v>227</v>
      </c>
      <c r="D32" s="65" t="s">
        <v>234</v>
      </c>
      <c r="E32" s="65" t="str">
        <f t="shared" si="0"/>
        <v>ColorectalRoutine30 to 39</v>
      </c>
      <c r="F32" s="417">
        <v>316</v>
      </c>
      <c r="G32" s="412">
        <f>F32/SUM(F29:F32)</f>
        <v>0.48170731707317072</v>
      </c>
      <c r="H32" s="56"/>
      <c r="I32" s="52" t="s">
        <v>11</v>
      </c>
      <c r="J32" s="53">
        <v>4</v>
      </c>
      <c r="K32" s="54" t="s">
        <v>226</v>
      </c>
      <c r="L32" s="71" t="str">
        <f t="shared" si="1"/>
        <v>ColorectalEmergency4</v>
      </c>
      <c r="M32" s="407">
        <v>3474</v>
      </c>
      <c r="N32" s="398">
        <f t="shared" si="11"/>
        <v>0.43632253202712884</v>
      </c>
      <c r="P32" s="392" t="s">
        <v>10</v>
      </c>
      <c r="Q32" s="391" t="s">
        <v>229</v>
      </c>
      <c r="R32" s="34" t="s">
        <v>238</v>
      </c>
      <c r="S32" s="34" t="str">
        <f t="shared" si="12"/>
        <v>Prostate40 to 494</v>
      </c>
      <c r="T32" s="421">
        <v>0.55000000000000004</v>
      </c>
    </row>
    <row r="33" spans="2:20" ht="17" x14ac:dyDescent="0.2">
      <c r="B33" s="57" t="s">
        <v>11</v>
      </c>
      <c r="C33" s="58" t="s">
        <v>224</v>
      </c>
      <c r="D33" s="59" t="s">
        <v>229</v>
      </c>
      <c r="E33" s="59" t="str">
        <f t="shared" si="0"/>
        <v>Colorectal2WW40 to 49</v>
      </c>
      <c r="F33" s="415">
        <v>455</v>
      </c>
      <c r="G33" s="410">
        <f>F33/SUM(F33:F36)</f>
        <v>0.34107946026986508</v>
      </c>
      <c r="H33" s="56"/>
      <c r="I33" s="48" t="s">
        <v>11</v>
      </c>
      <c r="J33" s="49">
        <v>1</v>
      </c>
      <c r="K33" s="50" t="s">
        <v>227</v>
      </c>
      <c r="L33" s="69" t="str">
        <f t="shared" si="1"/>
        <v>ColorectalRoutine1</v>
      </c>
      <c r="M33" s="405">
        <v>2510</v>
      </c>
      <c r="N33" s="401">
        <f>M33/SUM($M$33:$M$36)</f>
        <v>0.23820821865806208</v>
      </c>
      <c r="P33" s="392" t="s">
        <v>10</v>
      </c>
      <c r="Q33" s="391" t="s">
        <v>230</v>
      </c>
      <c r="R33" s="34" t="s">
        <v>235</v>
      </c>
      <c r="S33" s="34" t="str">
        <f>P33&amp;Q33&amp;R33</f>
        <v>Prostate50 to 591</v>
      </c>
      <c r="T33" s="421">
        <v>1</v>
      </c>
    </row>
    <row r="34" spans="2:20" ht="17" x14ac:dyDescent="0.2">
      <c r="B34" s="60" t="s">
        <v>11</v>
      </c>
      <c r="C34" s="61" t="s">
        <v>225</v>
      </c>
      <c r="D34" s="62" t="s">
        <v>229</v>
      </c>
      <c r="E34" s="62" t="str">
        <f t="shared" si="0"/>
        <v>ColorectalScreening40 to 49</v>
      </c>
      <c r="F34" s="416">
        <v>0</v>
      </c>
      <c r="G34" s="411">
        <f t="shared" ref="G34" si="13">F34/SUM(F33:F36)</f>
        <v>0</v>
      </c>
      <c r="H34" s="56"/>
      <c r="I34" s="51" t="s">
        <v>11</v>
      </c>
      <c r="J34" s="33">
        <v>2</v>
      </c>
      <c r="K34" s="32" t="s">
        <v>227</v>
      </c>
      <c r="L34" s="70" t="str">
        <f t="shared" si="1"/>
        <v>ColorectalRoutine2</v>
      </c>
      <c r="M34" s="406">
        <v>2594</v>
      </c>
      <c r="N34" s="399">
        <f t="shared" ref="N34:N36" si="14">M34/SUM($M$33:$M$36)</f>
        <v>0.24618012717092153</v>
      </c>
      <c r="P34" s="392" t="s">
        <v>10</v>
      </c>
      <c r="Q34" s="391" t="s">
        <v>230</v>
      </c>
      <c r="R34" s="34" t="s">
        <v>236</v>
      </c>
      <c r="S34" s="34" t="str">
        <f t="shared" ref="S34:S36" si="15">P34&amp;Q34&amp;R34</f>
        <v>Prostate50 to 592</v>
      </c>
      <c r="T34" s="421">
        <v>1</v>
      </c>
    </row>
    <row r="35" spans="2:20" ht="17" x14ac:dyDescent="0.2">
      <c r="B35" s="60" t="s">
        <v>11</v>
      </c>
      <c r="C35" s="61" t="s">
        <v>226</v>
      </c>
      <c r="D35" s="62" t="s">
        <v>229</v>
      </c>
      <c r="E35" s="62" t="str">
        <f t="shared" si="0"/>
        <v>ColorectalEmergency40 to 49</v>
      </c>
      <c r="F35" s="416">
        <v>326</v>
      </c>
      <c r="G35" s="411">
        <f t="shared" ref="G35" si="16">F35/SUM(F33:F36)</f>
        <v>0.24437781109445278</v>
      </c>
      <c r="H35" s="56"/>
      <c r="I35" s="51" t="s">
        <v>11</v>
      </c>
      <c r="J35" s="33">
        <v>3</v>
      </c>
      <c r="K35" s="32" t="s">
        <v>227</v>
      </c>
      <c r="L35" s="70" t="str">
        <f t="shared" si="1"/>
        <v>ColorectalRoutine3</v>
      </c>
      <c r="M35" s="406">
        <v>3097</v>
      </c>
      <c r="N35" s="399">
        <f t="shared" si="14"/>
        <v>0.29391667457530607</v>
      </c>
      <c r="P35" s="392" t="s">
        <v>10</v>
      </c>
      <c r="Q35" s="391" t="s">
        <v>230</v>
      </c>
      <c r="R35" s="34" t="s">
        <v>237</v>
      </c>
      <c r="S35" s="34" t="str">
        <f t="shared" si="15"/>
        <v>Prostate50 to 593</v>
      </c>
      <c r="T35" s="421">
        <v>0.98</v>
      </c>
    </row>
    <row r="36" spans="2:20" ht="18" thickBot="1" x14ac:dyDescent="0.25">
      <c r="B36" s="63" t="s">
        <v>11</v>
      </c>
      <c r="C36" s="64" t="s">
        <v>227</v>
      </c>
      <c r="D36" s="65" t="s">
        <v>229</v>
      </c>
      <c r="E36" s="65" t="str">
        <f t="shared" si="0"/>
        <v>ColorectalRoutine40 to 49</v>
      </c>
      <c r="F36" s="417">
        <v>553</v>
      </c>
      <c r="G36" s="412">
        <f t="shared" ref="G36" si="17">F36/SUM(F33:F36)</f>
        <v>0.41454272863568215</v>
      </c>
      <c r="H36" s="56"/>
      <c r="I36" s="52" t="s">
        <v>11</v>
      </c>
      <c r="J36" s="53">
        <v>4</v>
      </c>
      <c r="K36" s="54" t="s">
        <v>227</v>
      </c>
      <c r="L36" s="381" t="str">
        <f t="shared" si="1"/>
        <v>ColorectalRoutine4</v>
      </c>
      <c r="M36" s="408">
        <v>2336</v>
      </c>
      <c r="N36" s="397">
        <f t="shared" si="14"/>
        <v>0.22169497959571036</v>
      </c>
      <c r="P36" s="392" t="s">
        <v>10</v>
      </c>
      <c r="Q36" s="391" t="s">
        <v>230</v>
      </c>
      <c r="R36" s="34" t="s">
        <v>238</v>
      </c>
      <c r="S36" s="34" t="str">
        <f t="shared" si="15"/>
        <v>Prostate50 to 594</v>
      </c>
      <c r="T36" s="421">
        <v>0.53</v>
      </c>
    </row>
    <row r="37" spans="2:20" ht="17" x14ac:dyDescent="0.2">
      <c r="B37" s="57" t="s">
        <v>11</v>
      </c>
      <c r="C37" s="58" t="s">
        <v>224</v>
      </c>
      <c r="D37" s="59" t="s">
        <v>230</v>
      </c>
      <c r="E37" s="59" t="str">
        <f t="shared" si="0"/>
        <v>Colorectal2WW50 to 59</v>
      </c>
      <c r="F37" s="415">
        <v>1699</v>
      </c>
      <c r="G37" s="410">
        <f t="shared" ref="G37" si="18">F37/SUM(F37:F40)</f>
        <v>0.403562945368171</v>
      </c>
      <c r="H37" s="56"/>
      <c r="I37" s="379" t="s">
        <v>10</v>
      </c>
      <c r="J37" s="49">
        <v>1</v>
      </c>
      <c r="K37" s="66" t="s">
        <v>224</v>
      </c>
      <c r="L37" s="382" t="str">
        <f t="shared" ref="L37:L52" si="19">I37&amp;K37&amp;J37</f>
        <v>Prostate2WW1</v>
      </c>
      <c r="M37" s="409">
        <v>10113</v>
      </c>
      <c r="N37" s="422">
        <f>M37/SUM($M$37:$M$40)</f>
        <v>0.35499157540016851</v>
      </c>
      <c r="P37" s="392" t="s">
        <v>10</v>
      </c>
      <c r="Q37" s="391" t="s">
        <v>239</v>
      </c>
      <c r="R37" s="34" t="s">
        <v>235</v>
      </c>
      <c r="S37" s="34" t="str">
        <f t="shared" si="12"/>
        <v>Prostate60 to 691</v>
      </c>
      <c r="T37" s="421">
        <v>1.01</v>
      </c>
    </row>
    <row r="38" spans="2:20" ht="17" x14ac:dyDescent="0.2">
      <c r="B38" s="60" t="s">
        <v>11</v>
      </c>
      <c r="C38" s="61" t="s">
        <v>225</v>
      </c>
      <c r="D38" s="62" t="s">
        <v>230</v>
      </c>
      <c r="E38" s="62" t="str">
        <f t="shared" si="0"/>
        <v>ColorectalScreening50 to 59</v>
      </c>
      <c r="F38" s="416">
        <v>301</v>
      </c>
      <c r="G38" s="411">
        <f t="shared" ref="G38" si="20">F38/SUM(F37:F40)</f>
        <v>7.1496437054631823E-2</v>
      </c>
      <c r="H38" s="56"/>
      <c r="I38" s="378" t="s">
        <v>10</v>
      </c>
      <c r="J38" s="33">
        <v>2</v>
      </c>
      <c r="K38" s="67" t="s">
        <v>224</v>
      </c>
      <c r="L38" s="383" t="str">
        <f t="shared" si="19"/>
        <v>Prostate2WW2</v>
      </c>
      <c r="M38" s="12">
        <v>4305</v>
      </c>
      <c r="N38" s="423">
        <f>M38/SUM($M$37:$M$40)</f>
        <v>0.15111625947767482</v>
      </c>
      <c r="P38" s="392" t="s">
        <v>10</v>
      </c>
      <c r="Q38" s="391" t="s">
        <v>239</v>
      </c>
      <c r="R38" s="34" t="s">
        <v>236</v>
      </c>
      <c r="S38" s="34" t="str">
        <f t="shared" si="12"/>
        <v>Prostate60 to 692</v>
      </c>
      <c r="T38" s="421">
        <v>1</v>
      </c>
    </row>
    <row r="39" spans="2:20" ht="17" x14ac:dyDescent="0.2">
      <c r="B39" s="60" t="s">
        <v>11</v>
      </c>
      <c r="C39" s="61" t="s">
        <v>226</v>
      </c>
      <c r="D39" s="62" t="s">
        <v>230</v>
      </c>
      <c r="E39" s="62" t="str">
        <f t="shared" si="0"/>
        <v>ColorectalEmergency50 to 59</v>
      </c>
      <c r="F39" s="416">
        <v>841</v>
      </c>
      <c r="G39" s="411">
        <f t="shared" ref="G39" si="21">F39/SUM(F37:F40)</f>
        <v>0.1997624703087886</v>
      </c>
      <c r="H39" s="56"/>
      <c r="I39" s="378" t="s">
        <v>10</v>
      </c>
      <c r="J39" s="33">
        <v>3</v>
      </c>
      <c r="K39" s="67" t="s">
        <v>224</v>
      </c>
      <c r="L39" s="383" t="str">
        <f t="shared" si="19"/>
        <v>Prostate2WW3</v>
      </c>
      <c r="M39" s="12">
        <v>8550</v>
      </c>
      <c r="N39" s="423">
        <f>M39/SUM($M$37:$M$40)</f>
        <v>0.30012636899747264</v>
      </c>
      <c r="P39" s="392" t="s">
        <v>10</v>
      </c>
      <c r="Q39" s="391" t="s">
        <v>239</v>
      </c>
      <c r="R39" s="34" t="s">
        <v>237</v>
      </c>
      <c r="S39" s="34" t="str">
        <f t="shared" si="12"/>
        <v>Prostate60 to 693</v>
      </c>
      <c r="T39" s="421">
        <v>0.99</v>
      </c>
    </row>
    <row r="40" spans="2:20" ht="18" thickBot="1" x14ac:dyDescent="0.25">
      <c r="B40" s="63" t="s">
        <v>11</v>
      </c>
      <c r="C40" s="64" t="s">
        <v>227</v>
      </c>
      <c r="D40" s="65" t="s">
        <v>230</v>
      </c>
      <c r="E40" s="65" t="str">
        <f t="shared" si="0"/>
        <v>ColorectalRoutine50 to 59</v>
      </c>
      <c r="F40" s="417">
        <v>1369</v>
      </c>
      <c r="G40" s="412">
        <f t="shared" ref="G40" si="22">F40/SUM(F37:F40)</f>
        <v>0.32517814726840855</v>
      </c>
      <c r="H40" s="56"/>
      <c r="I40" s="380" t="s">
        <v>10</v>
      </c>
      <c r="J40" s="53">
        <v>4</v>
      </c>
      <c r="K40" s="68" t="s">
        <v>224</v>
      </c>
      <c r="L40" s="384" t="str">
        <f t="shared" si="19"/>
        <v>Prostate2WW4</v>
      </c>
      <c r="M40" s="371">
        <v>5520</v>
      </c>
      <c r="N40" s="424">
        <f>M40/SUM($M$37:$M$40)</f>
        <v>0.19376579612468409</v>
      </c>
      <c r="P40" s="392" t="s">
        <v>10</v>
      </c>
      <c r="Q40" s="391" t="s">
        <v>239</v>
      </c>
      <c r="R40" s="34" t="s">
        <v>238</v>
      </c>
      <c r="S40" s="34" t="str">
        <f>P40&amp;Q40&amp;R40</f>
        <v>Prostate60 to 694</v>
      </c>
      <c r="T40" s="421">
        <v>0.56999999999999995</v>
      </c>
    </row>
    <row r="41" spans="2:20" ht="17" x14ac:dyDescent="0.2">
      <c r="B41" s="57" t="s">
        <v>11</v>
      </c>
      <c r="C41" s="58" t="s">
        <v>224</v>
      </c>
      <c r="D41" s="59" t="s">
        <v>239</v>
      </c>
      <c r="E41" s="59" t="str">
        <f t="shared" si="0"/>
        <v>Colorectal2WW60 to 69</v>
      </c>
      <c r="F41" s="415">
        <v>2762</v>
      </c>
      <c r="G41" s="410">
        <f t="shared" ref="G41" si="23">F41/SUM(F41:F44)</f>
        <v>0.35184713375796178</v>
      </c>
      <c r="H41" s="56"/>
      <c r="I41" s="379" t="s">
        <v>10</v>
      </c>
      <c r="J41" s="49">
        <v>1</v>
      </c>
      <c r="K41" s="66" t="s">
        <v>225</v>
      </c>
      <c r="L41" s="382" t="str">
        <f t="shared" si="19"/>
        <v>ProstateScreening1</v>
      </c>
      <c r="M41" s="409">
        <v>0</v>
      </c>
      <c r="N41" s="422">
        <v>0.59433962264150897</v>
      </c>
    </row>
    <row r="42" spans="2:20" ht="17" x14ac:dyDescent="0.2">
      <c r="B42" s="60" t="s">
        <v>11</v>
      </c>
      <c r="C42" s="61" t="s">
        <v>225</v>
      </c>
      <c r="D42" s="62" t="s">
        <v>239</v>
      </c>
      <c r="E42" s="62" t="str">
        <f t="shared" si="0"/>
        <v>ColorectalScreening60 to 69</v>
      </c>
      <c r="F42" s="416">
        <v>1805</v>
      </c>
      <c r="G42" s="411">
        <f t="shared" ref="G42" si="24">F42/SUM(F41:F44)</f>
        <v>0.22993630573248408</v>
      </c>
      <c r="H42" s="56"/>
      <c r="I42" s="378" t="s">
        <v>10</v>
      </c>
      <c r="J42" s="33">
        <v>2</v>
      </c>
      <c r="K42" s="67" t="s">
        <v>225</v>
      </c>
      <c r="L42" s="383" t="str">
        <f t="shared" si="19"/>
        <v>ProstateScreening2</v>
      </c>
      <c r="M42" s="12">
        <v>0</v>
      </c>
      <c r="N42" s="423">
        <v>0.28501451378809867</v>
      </c>
    </row>
    <row r="43" spans="2:20" ht="17" x14ac:dyDescent="0.2">
      <c r="B43" s="60" t="s">
        <v>11</v>
      </c>
      <c r="C43" s="61" t="s">
        <v>226</v>
      </c>
      <c r="D43" s="62" t="s">
        <v>239</v>
      </c>
      <c r="E43" s="62" t="str">
        <f t="shared" si="0"/>
        <v>ColorectalEmergency60 to 69</v>
      </c>
      <c r="F43" s="416">
        <v>1272</v>
      </c>
      <c r="G43" s="411">
        <f t="shared" ref="G43" si="25">F43/SUM(F41:F44)</f>
        <v>0.16203821656050954</v>
      </c>
      <c r="H43" s="56"/>
      <c r="I43" s="378" t="s">
        <v>10</v>
      </c>
      <c r="J43" s="33">
        <v>3</v>
      </c>
      <c r="K43" s="67" t="s">
        <v>225</v>
      </c>
      <c r="L43" s="383" t="str">
        <f t="shared" si="19"/>
        <v>ProstateScreening3</v>
      </c>
      <c r="M43" s="12">
        <v>0</v>
      </c>
      <c r="N43" s="423">
        <v>8.2728592162554432E-2</v>
      </c>
    </row>
    <row r="44" spans="2:20" ht="18" thickBot="1" x14ac:dyDescent="0.25">
      <c r="B44" s="63" t="s">
        <v>11</v>
      </c>
      <c r="C44" s="64" t="s">
        <v>227</v>
      </c>
      <c r="D44" s="65" t="s">
        <v>239</v>
      </c>
      <c r="E44" s="65" t="str">
        <f t="shared" si="0"/>
        <v>ColorectalRoutine60 to 69</v>
      </c>
      <c r="F44" s="417">
        <v>2011</v>
      </c>
      <c r="G44" s="412">
        <f t="shared" ref="G44" si="26">F44/SUM(F41:F44)</f>
        <v>0.2561783439490446</v>
      </c>
      <c r="H44" s="56"/>
      <c r="I44" s="380" t="s">
        <v>10</v>
      </c>
      <c r="J44" s="53">
        <v>4</v>
      </c>
      <c r="K44" s="68" t="s">
        <v>225</v>
      </c>
      <c r="L44" s="384" t="str">
        <f t="shared" si="19"/>
        <v>ProstateScreening4</v>
      </c>
      <c r="M44" s="371">
        <v>0</v>
      </c>
      <c r="N44" s="424">
        <v>3.7917271407837447E-2</v>
      </c>
    </row>
    <row r="45" spans="2:20" ht="17" x14ac:dyDescent="0.2">
      <c r="B45" s="57" t="s">
        <v>11</v>
      </c>
      <c r="C45" s="58" t="s">
        <v>224</v>
      </c>
      <c r="D45" s="59" t="s">
        <v>240</v>
      </c>
      <c r="E45" s="59" t="str">
        <f t="shared" si="0"/>
        <v>Colorectal2WW70 to 79</v>
      </c>
      <c r="F45" s="415">
        <v>4247</v>
      </c>
      <c r="G45" s="410">
        <f t="shared" ref="G45" si="27">F45/SUM(F45:F48)</f>
        <v>0.39536399180785703</v>
      </c>
      <c r="H45" s="56"/>
      <c r="I45" s="379" t="s">
        <v>10</v>
      </c>
      <c r="J45" s="49">
        <v>1</v>
      </c>
      <c r="K45" s="66" t="s">
        <v>226</v>
      </c>
      <c r="L45" s="382" t="str">
        <f t="shared" si="19"/>
        <v>ProstateEmergency1</v>
      </c>
      <c r="M45" s="409">
        <v>563</v>
      </c>
      <c r="N45" s="422">
        <f>M45/SUM(M45:M48)</f>
        <v>0.18630046326935804</v>
      </c>
    </row>
    <row r="46" spans="2:20" ht="17" x14ac:dyDescent="0.2">
      <c r="B46" s="60" t="s">
        <v>11</v>
      </c>
      <c r="C46" s="61" t="s">
        <v>225</v>
      </c>
      <c r="D46" s="62" t="s">
        <v>240</v>
      </c>
      <c r="E46" s="62" t="str">
        <f t="shared" si="0"/>
        <v>ColorectalScreening70 to 79</v>
      </c>
      <c r="F46" s="416">
        <v>1292</v>
      </c>
      <c r="G46" s="411">
        <f t="shared" ref="G46" si="28">F46/SUM(F45:F48)</f>
        <v>0.12027555390057718</v>
      </c>
      <c r="H46" s="56"/>
      <c r="I46" s="378" t="s">
        <v>10</v>
      </c>
      <c r="J46" s="33">
        <v>2</v>
      </c>
      <c r="K46" s="67" t="s">
        <v>226</v>
      </c>
      <c r="L46" s="383" t="str">
        <f t="shared" si="19"/>
        <v>ProstateEmergency2</v>
      </c>
      <c r="M46" s="12">
        <v>126</v>
      </c>
      <c r="N46" s="423">
        <f>M46/SUM(M45:M48)</f>
        <v>4.1694242223692918E-2</v>
      </c>
    </row>
    <row r="47" spans="2:20" ht="17" x14ac:dyDescent="0.2">
      <c r="B47" s="60" t="s">
        <v>11</v>
      </c>
      <c r="C47" s="61" t="s">
        <v>226</v>
      </c>
      <c r="D47" s="62" t="s">
        <v>240</v>
      </c>
      <c r="E47" s="62" t="str">
        <f t="shared" si="0"/>
        <v>ColorectalEmergency70 to 79</v>
      </c>
      <c r="F47" s="416">
        <v>2040</v>
      </c>
      <c r="G47" s="411">
        <f t="shared" ref="G47" si="29">F47/SUM(F45:F48)</f>
        <v>0.18990876931670081</v>
      </c>
      <c r="H47" s="56"/>
      <c r="I47" s="378" t="s">
        <v>10</v>
      </c>
      <c r="J47" s="33">
        <v>3</v>
      </c>
      <c r="K47" s="67" t="s">
        <v>226</v>
      </c>
      <c r="L47" s="383" t="str">
        <f t="shared" si="19"/>
        <v>ProstateEmergency3</v>
      </c>
      <c r="M47" s="12">
        <v>376</v>
      </c>
      <c r="N47" s="423">
        <f>M47/SUM(M45:M48)</f>
        <v>0.12442091330244871</v>
      </c>
    </row>
    <row r="48" spans="2:20" ht="18" thickBot="1" x14ac:dyDescent="0.25">
      <c r="B48" s="63" t="s">
        <v>11</v>
      </c>
      <c r="C48" s="64" t="s">
        <v>227</v>
      </c>
      <c r="D48" s="65" t="s">
        <v>240</v>
      </c>
      <c r="E48" s="65" t="str">
        <f t="shared" si="0"/>
        <v>ColorectalRoutine70 to 79</v>
      </c>
      <c r="F48" s="417">
        <v>3163</v>
      </c>
      <c r="G48" s="412">
        <f t="shared" ref="G48" si="30">F48/SUM(F45:F48)</f>
        <v>0.29445168497486501</v>
      </c>
      <c r="H48" s="56"/>
      <c r="I48" s="380" t="s">
        <v>10</v>
      </c>
      <c r="J48" s="53">
        <v>4</v>
      </c>
      <c r="K48" s="68" t="s">
        <v>226</v>
      </c>
      <c r="L48" s="384" t="str">
        <f t="shared" si="19"/>
        <v>ProstateEmergency4</v>
      </c>
      <c r="M48" s="371">
        <v>1957</v>
      </c>
      <c r="N48" s="424">
        <f>M48/SUM(M45:M48)</f>
        <v>0.64758438120450035</v>
      </c>
    </row>
    <row r="49" spans="2:19" ht="17" x14ac:dyDescent="0.2">
      <c r="B49" s="57" t="s">
        <v>11</v>
      </c>
      <c r="C49" s="58" t="s">
        <v>224</v>
      </c>
      <c r="D49" s="59" t="s">
        <v>241</v>
      </c>
      <c r="E49" s="59" t="str">
        <f t="shared" si="0"/>
        <v>Colorectal2WW80+</v>
      </c>
      <c r="F49" s="415">
        <v>3795</v>
      </c>
      <c r="G49" s="410">
        <f>F49/SUM(F49:F52)</f>
        <v>0.369666861484512</v>
      </c>
      <c r="H49" s="56"/>
      <c r="I49" s="378" t="s">
        <v>10</v>
      </c>
      <c r="J49" s="385">
        <v>1</v>
      </c>
      <c r="K49" s="386" t="s">
        <v>227</v>
      </c>
      <c r="L49" s="387" t="str">
        <f t="shared" si="19"/>
        <v>ProstateRoutine1</v>
      </c>
      <c r="M49" s="10">
        <v>8154</v>
      </c>
      <c r="N49" s="425">
        <f>M49/SUM(M49:M52)</f>
        <v>0.49568389057750761</v>
      </c>
    </row>
    <row r="50" spans="2:19" ht="17" x14ac:dyDescent="0.2">
      <c r="B50" s="60" t="s">
        <v>11</v>
      </c>
      <c r="C50" s="61" t="s">
        <v>225</v>
      </c>
      <c r="D50" s="62" t="s">
        <v>241</v>
      </c>
      <c r="E50" s="62" t="str">
        <f t="shared" si="0"/>
        <v>ColorectalScreening80+</v>
      </c>
      <c r="F50" s="416">
        <v>59</v>
      </c>
      <c r="G50" s="411">
        <f>F50/SUM(F49:F52)</f>
        <v>5.7471264367816091E-3</v>
      </c>
      <c r="H50" s="56"/>
      <c r="I50" s="378" t="s">
        <v>10</v>
      </c>
      <c r="J50" s="33">
        <v>2</v>
      </c>
      <c r="K50" s="67" t="s">
        <v>227</v>
      </c>
      <c r="L50" s="383" t="str">
        <f t="shared" si="19"/>
        <v>ProstateRoutine2</v>
      </c>
      <c r="M50" s="12">
        <v>2749</v>
      </c>
      <c r="N50" s="423">
        <f>M50/SUM(M49:M52)</f>
        <v>0.16711246200607902</v>
      </c>
    </row>
    <row r="51" spans="2:19" ht="17" x14ac:dyDescent="0.2">
      <c r="B51" s="60" t="s">
        <v>11</v>
      </c>
      <c r="C51" s="61" t="s">
        <v>226</v>
      </c>
      <c r="D51" s="62" t="s">
        <v>241</v>
      </c>
      <c r="E51" s="62" t="str">
        <f t="shared" si="0"/>
        <v>ColorectalEmergency80+</v>
      </c>
      <c r="F51" s="416">
        <v>3288</v>
      </c>
      <c r="G51" s="411">
        <f t="shared" ref="G51" si="31">F51/SUM(F49:F52)</f>
        <v>0.32028053769725306</v>
      </c>
      <c r="H51" s="56"/>
      <c r="I51" s="378" t="s">
        <v>10</v>
      </c>
      <c r="J51" s="33">
        <v>3</v>
      </c>
      <c r="K51" s="67" t="s">
        <v>227</v>
      </c>
      <c r="L51" s="383" t="str">
        <f t="shared" si="19"/>
        <v>ProstateRoutine3</v>
      </c>
      <c r="M51" s="12">
        <v>3743</v>
      </c>
      <c r="N51" s="423">
        <f>M51/SUM(M49:M52)</f>
        <v>0.22753799392097265</v>
      </c>
    </row>
    <row r="52" spans="2:19" ht="18" thickBot="1" x14ac:dyDescent="0.25">
      <c r="B52" s="388" t="s">
        <v>11</v>
      </c>
      <c r="C52" s="389" t="s">
        <v>227</v>
      </c>
      <c r="D52" s="390" t="s">
        <v>241</v>
      </c>
      <c r="E52" s="390" t="str">
        <f t="shared" si="0"/>
        <v>ColorectalRoutine80+</v>
      </c>
      <c r="F52" s="419">
        <v>3124</v>
      </c>
      <c r="G52" s="414">
        <f t="shared" ref="G52" si="32">F52/SUM(F49:F52)</f>
        <v>0.30430547438145333</v>
      </c>
      <c r="H52" s="56"/>
      <c r="I52" s="380" t="s">
        <v>10</v>
      </c>
      <c r="J52" s="53">
        <v>4</v>
      </c>
      <c r="K52" s="68" t="s">
        <v>227</v>
      </c>
      <c r="L52" s="384" t="str">
        <f t="shared" si="19"/>
        <v>ProstateRoutine4</v>
      </c>
      <c r="M52" s="371">
        <v>1804</v>
      </c>
      <c r="N52" s="424">
        <f>M52/SUM(M49:M52)</f>
        <v>0.10966565349544073</v>
      </c>
    </row>
    <row r="53" spans="2:19" ht="17" x14ac:dyDescent="0.2">
      <c r="B53" s="376" t="s">
        <v>10</v>
      </c>
      <c r="C53" s="58" t="s">
        <v>224</v>
      </c>
      <c r="D53" s="59" t="s">
        <v>234</v>
      </c>
      <c r="E53" s="59" t="str">
        <f t="shared" si="0"/>
        <v>Prostate2WW30 to 39</v>
      </c>
      <c r="F53" s="415">
        <v>1</v>
      </c>
      <c r="G53" s="393">
        <f>F53/(SUM(F53:F56))</f>
        <v>0.1111111111111111</v>
      </c>
    </row>
    <row r="54" spans="2:19" ht="17" x14ac:dyDescent="0.2">
      <c r="B54" s="375" t="s">
        <v>10</v>
      </c>
      <c r="C54" s="61" t="s">
        <v>225</v>
      </c>
      <c r="D54" s="62" t="s">
        <v>234</v>
      </c>
      <c r="E54" s="62" t="str">
        <f t="shared" si="0"/>
        <v>ProstateScreening30 to 39</v>
      </c>
      <c r="F54" s="416">
        <v>0</v>
      </c>
      <c r="G54" s="394">
        <f>F54/(SUM(F53:F56))</f>
        <v>0</v>
      </c>
    </row>
    <row r="55" spans="2:19" ht="17" x14ac:dyDescent="0.2">
      <c r="B55" s="375" t="s">
        <v>10</v>
      </c>
      <c r="C55" s="61" t="s">
        <v>226</v>
      </c>
      <c r="D55" s="62" t="s">
        <v>234</v>
      </c>
      <c r="E55" s="62" t="str">
        <f t="shared" si="0"/>
        <v>ProstateEmergency30 to 39</v>
      </c>
      <c r="F55" s="416">
        <v>2</v>
      </c>
      <c r="G55" s="394">
        <f>F55/SUM(F53:F56)</f>
        <v>0.22222222222222221</v>
      </c>
      <c r="I55" s="447" t="s">
        <v>286</v>
      </c>
    </row>
    <row r="56" spans="2:19" ht="18" thickBot="1" x14ac:dyDescent="0.25">
      <c r="B56" s="377" t="s">
        <v>10</v>
      </c>
      <c r="C56" s="64" t="s">
        <v>227</v>
      </c>
      <c r="D56" s="65" t="s">
        <v>234</v>
      </c>
      <c r="E56" s="65" t="str">
        <f t="shared" si="0"/>
        <v>ProstateRoutine30 to 39</v>
      </c>
      <c r="F56" s="419">
        <v>6</v>
      </c>
      <c r="G56" s="395">
        <f>F56/SUM(F53:F56)</f>
        <v>0.66666666666666663</v>
      </c>
    </row>
    <row r="57" spans="2:19" ht="17" x14ac:dyDescent="0.2">
      <c r="B57" s="376" t="s">
        <v>10</v>
      </c>
      <c r="C57" s="58" t="s">
        <v>224</v>
      </c>
      <c r="D57" s="59" t="s">
        <v>229</v>
      </c>
      <c r="E57" s="59" t="str">
        <f t="shared" si="0"/>
        <v>Prostate2WW40 to 49</v>
      </c>
      <c r="F57" s="415">
        <v>266</v>
      </c>
      <c r="G57" s="393">
        <f>F57/SUM(F57:F60)</f>
        <v>0.5417515274949084</v>
      </c>
      <c r="I57" s="21"/>
      <c r="J57" s="24" t="s">
        <v>274</v>
      </c>
      <c r="K57" s="24" t="s">
        <v>275</v>
      </c>
      <c r="L57" s="24" t="s">
        <v>276</v>
      </c>
      <c r="M57" s="24" t="s">
        <v>277</v>
      </c>
      <c r="N57" s="24" t="s">
        <v>278</v>
      </c>
      <c r="O57" s="24" t="s">
        <v>279</v>
      </c>
      <c r="P57" s="24" t="s">
        <v>280</v>
      </c>
      <c r="Q57" s="24" t="s">
        <v>281</v>
      </c>
      <c r="R57" s="24" t="s">
        <v>228</v>
      </c>
      <c r="S57" s="299" t="s">
        <v>125</v>
      </c>
    </row>
    <row r="58" spans="2:19" ht="17" x14ac:dyDescent="0.2">
      <c r="B58" s="375" t="s">
        <v>10</v>
      </c>
      <c r="C58" s="61" t="s">
        <v>225</v>
      </c>
      <c r="D58" s="62" t="s">
        <v>229</v>
      </c>
      <c r="E58" s="62" t="str">
        <f t="shared" si="0"/>
        <v>ProstateScreening40 to 49</v>
      </c>
      <c r="F58" s="416">
        <v>0</v>
      </c>
      <c r="G58" s="394">
        <f>F58/SUM(F57:F60)</f>
        <v>0</v>
      </c>
      <c r="I58" s="12" t="s">
        <v>282</v>
      </c>
      <c r="J58" s="442">
        <f>190+3086</f>
        <v>3276</v>
      </c>
      <c r="K58" s="443"/>
      <c r="L58" s="443"/>
      <c r="M58" s="443"/>
      <c r="N58" s="443"/>
      <c r="O58" s="443"/>
      <c r="P58" s="443"/>
      <c r="Q58" s="443"/>
      <c r="R58" s="13">
        <f>SUM(J58:Q58)</f>
        <v>3276</v>
      </c>
      <c r="S58" s="444">
        <f>R58/SUM(R58:R61)</f>
        <v>0.59433962264150941</v>
      </c>
    </row>
    <row r="59" spans="2:19" ht="17" x14ac:dyDescent="0.2">
      <c r="B59" s="375" t="s">
        <v>10</v>
      </c>
      <c r="C59" s="61" t="s">
        <v>226</v>
      </c>
      <c r="D59" s="62" t="s">
        <v>229</v>
      </c>
      <c r="E59" s="62" t="str">
        <f t="shared" si="0"/>
        <v>ProstateEmergency40 to 49</v>
      </c>
      <c r="F59" s="416">
        <v>16</v>
      </c>
      <c r="G59" s="394">
        <f>F59/SUM(F57:F60)</f>
        <v>3.2586558044806514E-2</v>
      </c>
      <c r="I59" s="12" t="s">
        <v>283</v>
      </c>
      <c r="J59" s="443"/>
      <c r="K59" s="442">
        <v>1571</v>
      </c>
      <c r="L59" s="443"/>
      <c r="M59" s="443"/>
      <c r="N59" s="443"/>
      <c r="O59" s="443"/>
      <c r="P59" s="443"/>
      <c r="Q59" s="443"/>
      <c r="R59" s="13">
        <f>SUM(J59:Q59)</f>
        <v>1571</v>
      </c>
      <c r="S59" s="444">
        <f>R59/SUM(R58:R61)</f>
        <v>0.28501451378809867</v>
      </c>
    </row>
    <row r="60" spans="2:19" ht="18" thickBot="1" x14ac:dyDescent="0.25">
      <c r="B60" s="377" t="s">
        <v>10</v>
      </c>
      <c r="C60" s="64" t="s">
        <v>227</v>
      </c>
      <c r="D60" s="65" t="s">
        <v>229</v>
      </c>
      <c r="E60" s="65" t="str">
        <f t="shared" si="0"/>
        <v>ProstateRoutine40 to 49</v>
      </c>
      <c r="F60" s="419">
        <v>209</v>
      </c>
      <c r="G60" s="395">
        <f>F60/SUM(F57:F60)</f>
        <v>0.42566191446028512</v>
      </c>
      <c r="I60" s="12" t="s">
        <v>284</v>
      </c>
      <c r="J60" s="443"/>
      <c r="K60" s="443"/>
      <c r="L60" s="442">
        <v>456</v>
      </c>
      <c r="M60" s="443"/>
      <c r="N60" s="443"/>
      <c r="O60" s="443"/>
      <c r="P60" s="443"/>
      <c r="Q60" s="443"/>
      <c r="R60" s="13">
        <f>SUM(J60:Q60)</f>
        <v>456</v>
      </c>
      <c r="S60" s="444">
        <f>R60/SUM(R58:R61)</f>
        <v>8.2728592162554432E-2</v>
      </c>
    </row>
    <row r="61" spans="2:19" ht="18" thickBot="1" x14ac:dyDescent="0.25">
      <c r="B61" s="376" t="s">
        <v>10</v>
      </c>
      <c r="C61" s="58" t="s">
        <v>224</v>
      </c>
      <c r="D61" s="59" t="s">
        <v>230</v>
      </c>
      <c r="E61" s="59" t="str">
        <f t="shared" si="0"/>
        <v>Prostate2WW50 to 59</v>
      </c>
      <c r="F61" s="415">
        <v>3386</v>
      </c>
      <c r="G61" s="393">
        <f>F61/SUM(F61:F64)</f>
        <v>0.59247594050743657</v>
      </c>
      <c r="I61" s="3" t="s">
        <v>285</v>
      </c>
      <c r="J61" s="445"/>
      <c r="K61" s="445"/>
      <c r="L61" s="445"/>
      <c r="M61" s="446">
        <v>60</v>
      </c>
      <c r="N61" s="446">
        <f>1+25</f>
        <v>26</v>
      </c>
      <c r="O61" s="446">
        <v>32</v>
      </c>
      <c r="P61" s="446">
        <v>59</v>
      </c>
      <c r="Q61" s="446">
        <v>32</v>
      </c>
      <c r="R61" s="4">
        <f>SUM(J61:Q61)</f>
        <v>209</v>
      </c>
      <c r="S61" s="15">
        <f>R61/SUM(R58:R61)</f>
        <v>3.7917271407837447E-2</v>
      </c>
    </row>
    <row r="62" spans="2:19" ht="17" x14ac:dyDescent="0.2">
      <c r="B62" s="375" t="s">
        <v>10</v>
      </c>
      <c r="C62" s="61" t="s">
        <v>225</v>
      </c>
      <c r="D62" s="62" t="s">
        <v>230</v>
      </c>
      <c r="E62" s="62" t="str">
        <f t="shared" si="0"/>
        <v>ProstateScreening50 to 59</v>
      </c>
      <c r="F62" s="416">
        <v>0</v>
      </c>
      <c r="G62" s="394">
        <f>F62/SUM(F61:F64)</f>
        <v>0</v>
      </c>
    </row>
    <row r="63" spans="2:19" ht="17" x14ac:dyDescent="0.2">
      <c r="B63" s="375" t="s">
        <v>10</v>
      </c>
      <c r="C63" s="61" t="s">
        <v>226</v>
      </c>
      <c r="D63" s="62" t="s">
        <v>230</v>
      </c>
      <c r="E63" s="62" t="str">
        <f t="shared" si="0"/>
        <v>ProstateEmergency50 to 59</v>
      </c>
      <c r="F63" s="416">
        <v>147</v>
      </c>
      <c r="G63" s="394">
        <f>F63/SUM(F61:F64)</f>
        <v>2.5721784776902887E-2</v>
      </c>
      <c r="J63" s="263"/>
    </row>
    <row r="64" spans="2:19" ht="18" thickBot="1" x14ac:dyDescent="0.25">
      <c r="B64" s="377" t="s">
        <v>10</v>
      </c>
      <c r="C64" s="64" t="s">
        <v>227</v>
      </c>
      <c r="D64" s="65" t="s">
        <v>230</v>
      </c>
      <c r="E64" s="65" t="str">
        <f t="shared" si="0"/>
        <v>ProstateRoutine50 to 59</v>
      </c>
      <c r="F64" s="419">
        <v>2182</v>
      </c>
      <c r="G64" s="395">
        <f>F64/SUM(F61:F64)</f>
        <v>0.38180227471566053</v>
      </c>
    </row>
    <row r="65" spans="2:7" ht="17" x14ac:dyDescent="0.2">
      <c r="B65" s="376" t="s">
        <v>10</v>
      </c>
      <c r="C65" s="58" t="s">
        <v>224</v>
      </c>
      <c r="D65" s="59" t="s">
        <v>239</v>
      </c>
      <c r="E65" s="59" t="str">
        <f t="shared" si="0"/>
        <v>Prostate2WW60 to 69</v>
      </c>
      <c r="F65" s="415">
        <v>9228</v>
      </c>
      <c r="G65" s="393">
        <f>F65/SUM(F65:F68)</f>
        <v>0.6049957385432374</v>
      </c>
    </row>
    <row r="66" spans="2:7" ht="17" x14ac:dyDescent="0.2">
      <c r="B66" s="375" t="s">
        <v>10</v>
      </c>
      <c r="C66" s="61" t="s">
        <v>225</v>
      </c>
      <c r="D66" s="62" t="s">
        <v>239</v>
      </c>
      <c r="E66" s="62" t="str">
        <f t="shared" si="0"/>
        <v>ProstateScreening60 to 69</v>
      </c>
      <c r="F66" s="416">
        <v>0</v>
      </c>
      <c r="G66" s="394">
        <f>F66/SUM(F65:F68)</f>
        <v>0</v>
      </c>
    </row>
    <row r="67" spans="2:7" ht="17" x14ac:dyDescent="0.2">
      <c r="B67" s="375" t="s">
        <v>10</v>
      </c>
      <c r="C67" s="61" t="s">
        <v>226</v>
      </c>
      <c r="D67" s="62" t="s">
        <v>239</v>
      </c>
      <c r="E67" s="62" t="str">
        <f t="shared" si="0"/>
        <v>ProstateEmergency60 to 69</v>
      </c>
      <c r="F67" s="416">
        <v>475</v>
      </c>
      <c r="G67" s="394">
        <f>F67/SUM(F65:F68)</f>
        <v>3.1141414803645184E-2</v>
      </c>
    </row>
    <row r="68" spans="2:7" ht="18" thickBot="1" x14ac:dyDescent="0.25">
      <c r="B68" s="377" t="s">
        <v>10</v>
      </c>
      <c r="C68" s="64" t="s">
        <v>227</v>
      </c>
      <c r="D68" s="65" t="s">
        <v>239</v>
      </c>
      <c r="E68" s="65" t="str">
        <f t="shared" si="0"/>
        <v>ProstateRoutine60 to 69</v>
      </c>
      <c r="F68" s="419">
        <v>5550</v>
      </c>
      <c r="G68" s="395">
        <f>F68/SUM(F65:F68)</f>
        <v>0.36386284665311741</v>
      </c>
    </row>
    <row r="69" spans="2:7" ht="17" x14ac:dyDescent="0.2">
      <c r="B69" s="376" t="s">
        <v>10</v>
      </c>
      <c r="C69" s="58" t="s">
        <v>224</v>
      </c>
      <c r="D69" s="59" t="s">
        <v>240</v>
      </c>
      <c r="E69" s="59" t="str">
        <f t="shared" si="0"/>
        <v>Prostate2WW70 to 79</v>
      </c>
      <c r="F69" s="415">
        <v>11399</v>
      </c>
      <c r="G69" s="393">
        <f>F69/SUM(F69:F72)</f>
        <v>0.61051898666381021</v>
      </c>
    </row>
    <row r="70" spans="2:7" ht="17" x14ac:dyDescent="0.2">
      <c r="B70" s="375" t="s">
        <v>10</v>
      </c>
      <c r="C70" s="61" t="s">
        <v>225</v>
      </c>
      <c r="D70" s="62" t="s">
        <v>240</v>
      </c>
      <c r="E70" s="62" t="str">
        <f t="shared" ref="E70:E76" si="33">B70&amp;C70&amp;D70</f>
        <v>ProstateScreening70 to 79</v>
      </c>
      <c r="F70" s="416">
        <v>0</v>
      </c>
      <c r="G70" s="394">
        <f>F70/SUM(F69:F72)</f>
        <v>0</v>
      </c>
    </row>
    <row r="71" spans="2:7" ht="17" x14ac:dyDescent="0.2">
      <c r="B71" s="375" t="s">
        <v>10</v>
      </c>
      <c r="C71" s="61" t="s">
        <v>226</v>
      </c>
      <c r="D71" s="62" t="s">
        <v>240</v>
      </c>
      <c r="E71" s="62" t="str">
        <f t="shared" si="33"/>
        <v>ProstateEmergency70 to 79</v>
      </c>
      <c r="F71" s="416">
        <v>972</v>
      </c>
      <c r="G71" s="394">
        <f>F71/SUM(F69:F72)</f>
        <v>5.2059343366718441E-2</v>
      </c>
    </row>
    <row r="72" spans="2:7" ht="18" thickBot="1" x14ac:dyDescent="0.25">
      <c r="B72" s="377" t="s">
        <v>10</v>
      </c>
      <c r="C72" s="64" t="s">
        <v>227</v>
      </c>
      <c r="D72" s="65" t="s">
        <v>240</v>
      </c>
      <c r="E72" s="65" t="str">
        <f t="shared" si="33"/>
        <v>ProstateRoutine70 to 79</v>
      </c>
      <c r="F72" s="419">
        <v>6300</v>
      </c>
      <c r="G72" s="395">
        <f>F72/SUM(F69:F72)</f>
        <v>0.33742166996947137</v>
      </c>
    </row>
    <row r="73" spans="2:7" ht="17" x14ac:dyDescent="0.2">
      <c r="B73" s="376" t="s">
        <v>10</v>
      </c>
      <c r="C73" s="58" t="s">
        <v>224</v>
      </c>
      <c r="D73" s="59" t="s">
        <v>241</v>
      </c>
      <c r="E73" s="59" t="str">
        <f t="shared" si="33"/>
        <v>Prostate2WW80+</v>
      </c>
      <c r="F73" s="415">
        <v>4207</v>
      </c>
      <c r="G73" s="393">
        <f>F73/SUM(F73:F76)</f>
        <v>0.53804834377797672</v>
      </c>
    </row>
    <row r="74" spans="2:7" ht="17" x14ac:dyDescent="0.2">
      <c r="B74" s="375" t="s">
        <v>10</v>
      </c>
      <c r="C74" s="61" t="s">
        <v>225</v>
      </c>
      <c r="D74" s="62" t="s">
        <v>241</v>
      </c>
      <c r="E74" s="62" t="str">
        <f t="shared" si="33"/>
        <v>ProstateScreening80+</v>
      </c>
      <c r="F74" s="416">
        <v>0</v>
      </c>
      <c r="G74" s="394">
        <f>F74/SUM(F73:F76)</f>
        <v>0</v>
      </c>
    </row>
    <row r="75" spans="2:7" ht="17" x14ac:dyDescent="0.2">
      <c r="B75" s="375" t="s">
        <v>10</v>
      </c>
      <c r="C75" s="61" t="s">
        <v>226</v>
      </c>
      <c r="D75" s="62" t="s">
        <v>241</v>
      </c>
      <c r="E75" s="62" t="str">
        <f t="shared" si="33"/>
        <v>ProstateEmergency80+</v>
      </c>
      <c r="F75" s="416">
        <v>1414</v>
      </c>
      <c r="G75" s="394">
        <f>F75/SUM(F73:F76)</f>
        <v>0.18084153983885407</v>
      </c>
    </row>
    <row r="76" spans="2:7" ht="18" thickBot="1" x14ac:dyDescent="0.25">
      <c r="B76" s="377" t="s">
        <v>10</v>
      </c>
      <c r="C76" s="64" t="s">
        <v>227</v>
      </c>
      <c r="D76" s="65" t="s">
        <v>241</v>
      </c>
      <c r="E76" s="65" t="str">
        <f t="shared" si="33"/>
        <v>ProstateRoutine80+</v>
      </c>
      <c r="F76" s="417">
        <v>2198</v>
      </c>
      <c r="G76" s="395">
        <f>F76/SUM(F73:F76)</f>
        <v>0.28111011638316918</v>
      </c>
    </row>
  </sheetData>
  <mergeCells count="6">
    <mergeCell ref="P17:P20"/>
    <mergeCell ref="Q17:Q20"/>
    <mergeCell ref="Q5:Q8"/>
    <mergeCell ref="P5:P8"/>
    <mergeCell ref="P9:P12"/>
    <mergeCell ref="Q9:Q12"/>
  </mergeCells>
  <phoneticPr fontId="24" type="noConversion"/>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56B4A-88B7-854B-B591-8870AF531971}">
  <sheetPr>
    <tabColor theme="2"/>
  </sheetPr>
  <dimension ref="A1:P40"/>
  <sheetViews>
    <sheetView workbookViewId="0">
      <selection activeCell="O46" sqref="O46"/>
    </sheetView>
  </sheetViews>
  <sheetFormatPr baseColWidth="10" defaultColWidth="10.1640625" defaultRowHeight="16" x14ac:dyDescent="0.2"/>
  <cols>
    <col min="1" max="1" width="10.1640625" style="520"/>
    <col min="2" max="4" width="12.1640625" style="520" bestFit="1" customWidth="1"/>
    <col min="5" max="12" width="10.1640625" style="520"/>
    <col min="13" max="13" width="15.6640625" style="520" customWidth="1"/>
    <col min="14" max="14" width="15" style="520" bestFit="1" customWidth="1"/>
    <col min="15" max="16" width="13.33203125" style="520" bestFit="1" customWidth="1"/>
    <col min="17" max="16384" width="10.1640625" style="520"/>
  </cols>
  <sheetData>
    <row r="1" spans="1:16" x14ac:dyDescent="0.2">
      <c r="A1" s="1518">
        <v>2016</v>
      </c>
      <c r="B1" s="1518"/>
      <c r="C1" s="1518"/>
      <c r="D1" s="1518"/>
      <c r="E1" s="1518">
        <v>2017</v>
      </c>
      <c r="F1" s="1518"/>
      <c r="G1" s="1518"/>
      <c r="H1" s="1518"/>
      <c r="I1" s="1518">
        <v>2018</v>
      </c>
      <c r="J1" s="1518"/>
      <c r="K1" s="1518"/>
      <c r="L1" s="1518"/>
      <c r="M1" s="1518" t="s">
        <v>326</v>
      </c>
      <c r="N1" s="1518"/>
      <c r="O1" s="1518"/>
      <c r="P1" s="1518"/>
    </row>
    <row r="2" spans="1:16" x14ac:dyDescent="0.2">
      <c r="A2" s="521" t="s">
        <v>93</v>
      </c>
      <c r="B2" s="521" t="s">
        <v>327</v>
      </c>
      <c r="C2" s="521" t="s">
        <v>328</v>
      </c>
      <c r="D2" s="521" t="s">
        <v>329</v>
      </c>
      <c r="E2" s="520" t="s">
        <v>93</v>
      </c>
      <c r="F2" s="520" t="s">
        <v>327</v>
      </c>
      <c r="G2" s="520" t="s">
        <v>328</v>
      </c>
      <c r="H2" s="520" t="s">
        <v>329</v>
      </c>
      <c r="I2" s="520" t="s">
        <v>93</v>
      </c>
      <c r="J2" s="520" t="s">
        <v>327</v>
      </c>
      <c r="K2" s="520" t="s">
        <v>328</v>
      </c>
      <c r="L2" s="520" t="s">
        <v>329</v>
      </c>
      <c r="M2" s="522" t="s">
        <v>93</v>
      </c>
      <c r="N2" s="522" t="s">
        <v>327</v>
      </c>
      <c r="O2" s="522" t="s">
        <v>328</v>
      </c>
      <c r="P2" s="522" t="s">
        <v>329</v>
      </c>
    </row>
    <row r="3" spans="1:16" x14ac:dyDescent="0.2">
      <c r="A3" s="523" t="s">
        <v>330</v>
      </c>
      <c r="B3" s="524">
        <v>2057878</v>
      </c>
      <c r="C3" s="524">
        <v>1956436</v>
      </c>
      <c r="D3" s="524">
        <v>4014314</v>
      </c>
      <c r="E3" s="520" t="s">
        <v>330</v>
      </c>
      <c r="F3" s="520">
        <v>2031122</v>
      </c>
      <c r="G3" s="520">
        <v>1929619</v>
      </c>
      <c r="H3" s="520">
        <v>3960741</v>
      </c>
      <c r="I3" s="520" t="s">
        <v>330</v>
      </c>
      <c r="J3" s="520">
        <v>2007724</v>
      </c>
      <c r="K3" s="520">
        <v>1906304</v>
      </c>
      <c r="L3" s="520">
        <v>3914028</v>
      </c>
      <c r="M3" s="522" t="s">
        <v>251</v>
      </c>
      <c r="N3" s="525">
        <f>SUM(B3,F3,J3)/3</f>
        <v>2032241.3333333333</v>
      </c>
      <c r="O3" s="525">
        <f t="shared" ref="O3:P18" si="0">SUM(C3,G3,K3)/3</f>
        <v>1930786.3333333333</v>
      </c>
      <c r="P3" s="525">
        <f t="shared" si="0"/>
        <v>3963027.6666666665</v>
      </c>
    </row>
    <row r="4" spans="1:16" x14ac:dyDescent="0.2">
      <c r="A4" s="526" t="s">
        <v>331</v>
      </c>
      <c r="B4" s="524">
        <v>2066878</v>
      </c>
      <c r="C4" s="524">
        <v>1970578</v>
      </c>
      <c r="D4" s="524">
        <v>4037456</v>
      </c>
      <c r="E4" s="520" t="s">
        <v>331</v>
      </c>
      <c r="F4" s="520">
        <v>2105288</v>
      </c>
      <c r="G4" s="520">
        <v>2008158</v>
      </c>
      <c r="H4" s="520">
        <v>4113446</v>
      </c>
      <c r="I4" s="520" t="s">
        <v>331</v>
      </c>
      <c r="J4" s="520">
        <v>2118231</v>
      </c>
      <c r="K4" s="520">
        <v>2020293</v>
      </c>
      <c r="L4" s="520">
        <v>4138524</v>
      </c>
      <c r="M4" s="522" t="s">
        <v>252</v>
      </c>
      <c r="N4" s="525">
        <f t="shared" ref="N4:P19" si="1">SUM(B4,F4,J4)/3</f>
        <v>2096799</v>
      </c>
      <c r="O4" s="525">
        <f t="shared" si="0"/>
        <v>1999676.3333333333</v>
      </c>
      <c r="P4" s="525">
        <f t="shared" si="0"/>
        <v>4096475.3333333335</v>
      </c>
    </row>
    <row r="5" spans="1:16" x14ac:dyDescent="0.2">
      <c r="A5" s="523" t="s">
        <v>253</v>
      </c>
      <c r="B5" s="524">
        <v>1856619</v>
      </c>
      <c r="C5" s="524">
        <v>1768443</v>
      </c>
      <c r="D5" s="524">
        <v>3625062</v>
      </c>
      <c r="E5" s="520" t="s">
        <v>253</v>
      </c>
      <c r="F5" s="520">
        <v>1913229</v>
      </c>
      <c r="G5" s="520">
        <v>1820157</v>
      </c>
      <c r="H5" s="520">
        <v>3733386</v>
      </c>
      <c r="I5" s="520" t="s">
        <v>253</v>
      </c>
      <c r="J5" s="520">
        <v>1977260</v>
      </c>
      <c r="K5" s="520">
        <v>1881634</v>
      </c>
      <c r="L5" s="520">
        <v>3858894</v>
      </c>
      <c r="M5" s="522" t="s">
        <v>253</v>
      </c>
      <c r="N5" s="525">
        <f t="shared" si="1"/>
        <v>1915702.6666666667</v>
      </c>
      <c r="O5" s="525">
        <f t="shared" si="0"/>
        <v>1823411.3333333333</v>
      </c>
      <c r="P5" s="525">
        <f t="shared" si="0"/>
        <v>3739114</v>
      </c>
    </row>
    <row r="6" spans="1:16" x14ac:dyDescent="0.2">
      <c r="A6" s="523" t="s">
        <v>254</v>
      </c>
      <c r="B6" s="524">
        <v>1939564</v>
      </c>
      <c r="C6" s="524">
        <v>1839363</v>
      </c>
      <c r="D6" s="524">
        <v>3778927</v>
      </c>
      <c r="E6" s="520" t="s">
        <v>254</v>
      </c>
      <c r="F6" s="520">
        <v>1901634</v>
      </c>
      <c r="G6" s="520">
        <v>1802601</v>
      </c>
      <c r="H6" s="520">
        <v>3704235</v>
      </c>
      <c r="I6" s="520" t="s">
        <v>254</v>
      </c>
      <c r="J6" s="520">
        <v>1884238</v>
      </c>
      <c r="K6" s="520">
        <v>1785012</v>
      </c>
      <c r="L6" s="520">
        <v>3669250</v>
      </c>
      <c r="M6" s="522" t="s">
        <v>254</v>
      </c>
      <c r="N6" s="525">
        <f t="shared" si="1"/>
        <v>1908478.6666666667</v>
      </c>
      <c r="O6" s="525">
        <f t="shared" si="0"/>
        <v>1808992</v>
      </c>
      <c r="P6" s="525">
        <f t="shared" si="0"/>
        <v>3717470.6666666665</v>
      </c>
    </row>
    <row r="7" spans="1:16" x14ac:dyDescent="0.2">
      <c r="A7" s="523" t="s">
        <v>255</v>
      </c>
      <c r="B7" s="524">
        <v>2176431</v>
      </c>
      <c r="C7" s="524">
        <v>2077320</v>
      </c>
      <c r="D7" s="524">
        <v>4253751</v>
      </c>
      <c r="E7" s="520" t="s">
        <v>255</v>
      </c>
      <c r="F7" s="520">
        <v>2158462</v>
      </c>
      <c r="G7" s="520">
        <v>2048772</v>
      </c>
      <c r="H7" s="520">
        <v>4207234</v>
      </c>
      <c r="I7" s="520" t="s">
        <v>255</v>
      </c>
      <c r="J7" s="520">
        <v>2151065</v>
      </c>
      <c r="K7" s="520">
        <v>2033510</v>
      </c>
      <c r="L7" s="520">
        <v>4184575</v>
      </c>
      <c r="M7" s="522" t="s">
        <v>255</v>
      </c>
      <c r="N7" s="525">
        <f t="shared" si="1"/>
        <v>2161986</v>
      </c>
      <c r="O7" s="525">
        <f t="shared" si="0"/>
        <v>2053200.6666666667</v>
      </c>
      <c r="P7" s="525">
        <f t="shared" si="0"/>
        <v>4215186.666666667</v>
      </c>
    </row>
    <row r="8" spans="1:16" x14ac:dyDescent="0.2">
      <c r="A8" s="523" t="s">
        <v>256</v>
      </c>
      <c r="B8" s="524">
        <v>2274843</v>
      </c>
      <c r="C8" s="524">
        <v>2235805</v>
      </c>
      <c r="D8" s="524">
        <v>4510648</v>
      </c>
      <c r="E8" s="520" t="s">
        <v>256</v>
      </c>
      <c r="F8" s="520">
        <v>2294468</v>
      </c>
      <c r="G8" s="520">
        <v>2247520</v>
      </c>
      <c r="H8" s="520">
        <v>4541988</v>
      </c>
      <c r="I8" s="520" t="s">
        <v>256</v>
      </c>
      <c r="J8" s="520">
        <v>2292702</v>
      </c>
      <c r="K8" s="520">
        <v>2234473</v>
      </c>
      <c r="L8" s="520">
        <v>4527175</v>
      </c>
      <c r="M8" s="522" t="s">
        <v>256</v>
      </c>
      <c r="N8" s="525">
        <f t="shared" si="1"/>
        <v>2287337.6666666665</v>
      </c>
      <c r="O8" s="525">
        <f t="shared" si="0"/>
        <v>2239266</v>
      </c>
      <c r="P8" s="525">
        <f t="shared" si="0"/>
        <v>4526603.666666667</v>
      </c>
    </row>
    <row r="9" spans="1:16" x14ac:dyDescent="0.2">
      <c r="A9" s="523" t="s">
        <v>257</v>
      </c>
      <c r="B9" s="524">
        <v>2199264</v>
      </c>
      <c r="C9" s="524">
        <v>2208899</v>
      </c>
      <c r="D9" s="524">
        <v>4408163</v>
      </c>
      <c r="E9" s="520" t="s">
        <v>257</v>
      </c>
      <c r="F9" s="520">
        <v>2203252</v>
      </c>
      <c r="G9" s="520">
        <v>2219032</v>
      </c>
      <c r="H9" s="520">
        <v>4422284</v>
      </c>
      <c r="I9" s="520" t="s">
        <v>257</v>
      </c>
      <c r="J9" s="520">
        <v>2224087</v>
      </c>
      <c r="K9" s="520">
        <v>2239270</v>
      </c>
      <c r="L9" s="520">
        <v>4463357</v>
      </c>
      <c r="M9" s="522" t="s">
        <v>257</v>
      </c>
      <c r="N9" s="525">
        <f t="shared" si="1"/>
        <v>2208867.6666666665</v>
      </c>
      <c r="O9" s="525">
        <f t="shared" si="0"/>
        <v>2222400.3333333335</v>
      </c>
      <c r="P9" s="525">
        <f t="shared" si="0"/>
        <v>4431268</v>
      </c>
    </row>
    <row r="10" spans="1:16" x14ac:dyDescent="0.2">
      <c r="A10" s="523" t="s">
        <v>258</v>
      </c>
      <c r="B10" s="524">
        <v>2080145</v>
      </c>
      <c r="C10" s="524">
        <v>2099392</v>
      </c>
      <c r="D10" s="524">
        <v>4179537</v>
      </c>
      <c r="E10" s="520" t="s">
        <v>258</v>
      </c>
      <c r="F10" s="520">
        <v>2126168</v>
      </c>
      <c r="G10" s="520">
        <v>2156034</v>
      </c>
      <c r="H10" s="520">
        <v>4282202</v>
      </c>
      <c r="I10" s="520" t="s">
        <v>258</v>
      </c>
      <c r="J10" s="520">
        <v>2167326</v>
      </c>
      <c r="K10" s="520">
        <v>2204908</v>
      </c>
      <c r="L10" s="520">
        <v>4372234</v>
      </c>
      <c r="M10" s="522" t="s">
        <v>258</v>
      </c>
      <c r="N10" s="525">
        <f t="shared" si="1"/>
        <v>2124546.3333333335</v>
      </c>
      <c r="O10" s="525">
        <f t="shared" si="0"/>
        <v>2153444.6666666665</v>
      </c>
      <c r="P10" s="525">
        <f t="shared" si="0"/>
        <v>4277991</v>
      </c>
    </row>
    <row r="11" spans="1:16" x14ac:dyDescent="0.2">
      <c r="A11" s="523" t="s">
        <v>192</v>
      </c>
      <c r="B11" s="524">
        <v>2068884</v>
      </c>
      <c r="C11" s="524">
        <v>2105181</v>
      </c>
      <c r="D11" s="524">
        <v>4174065</v>
      </c>
      <c r="E11" s="520" t="s">
        <v>192</v>
      </c>
      <c r="F11" s="520">
        <v>2013632</v>
      </c>
      <c r="G11" s="520">
        <v>2045735</v>
      </c>
      <c r="H11" s="520">
        <v>4059367</v>
      </c>
      <c r="I11" s="520" t="s">
        <v>192</v>
      </c>
      <c r="J11" s="520">
        <v>1981638</v>
      </c>
      <c r="K11" s="520">
        <v>2011754</v>
      </c>
      <c r="L11" s="520">
        <v>3993392</v>
      </c>
      <c r="M11" s="522" t="s">
        <v>192</v>
      </c>
      <c r="N11" s="525">
        <f t="shared" si="1"/>
        <v>2021384.6666666667</v>
      </c>
      <c r="O11" s="525">
        <f t="shared" si="0"/>
        <v>2054223.3333333333</v>
      </c>
      <c r="P11" s="525">
        <f t="shared" si="0"/>
        <v>4075608</v>
      </c>
    </row>
    <row r="12" spans="1:16" x14ac:dyDescent="0.2">
      <c r="A12" s="523" t="s">
        <v>193</v>
      </c>
      <c r="B12" s="524">
        <v>2276955</v>
      </c>
      <c r="C12" s="524">
        <v>2342192</v>
      </c>
      <c r="D12" s="524">
        <v>4619147</v>
      </c>
      <c r="E12" s="520" t="s">
        <v>193</v>
      </c>
      <c r="F12" s="520">
        <v>2255069</v>
      </c>
      <c r="G12" s="520">
        <v>2319862</v>
      </c>
      <c r="H12" s="520">
        <v>4574931</v>
      </c>
      <c r="I12" s="520" t="s">
        <v>193</v>
      </c>
      <c r="J12" s="520">
        <v>2223016</v>
      </c>
      <c r="K12" s="520">
        <v>2284384</v>
      </c>
      <c r="L12" s="520">
        <v>4507400</v>
      </c>
      <c r="M12" s="522" t="s">
        <v>193</v>
      </c>
      <c r="N12" s="525">
        <f t="shared" si="1"/>
        <v>2251680</v>
      </c>
      <c r="O12" s="525">
        <f t="shared" si="0"/>
        <v>2315479.3333333335</v>
      </c>
      <c r="P12" s="525">
        <f t="shared" si="0"/>
        <v>4567159.333333333</v>
      </c>
    </row>
    <row r="13" spans="1:16" x14ac:dyDescent="0.2">
      <c r="A13" s="523" t="s">
        <v>194</v>
      </c>
      <c r="B13" s="524">
        <v>2281752</v>
      </c>
      <c r="C13" s="524">
        <v>2350229</v>
      </c>
      <c r="D13" s="524">
        <v>4631981</v>
      </c>
      <c r="E13" s="520" t="s">
        <v>194</v>
      </c>
      <c r="F13" s="520">
        <v>2298489</v>
      </c>
      <c r="G13" s="520">
        <v>2369627</v>
      </c>
      <c r="H13" s="520">
        <v>4668116</v>
      </c>
      <c r="I13" s="520" t="s">
        <v>194</v>
      </c>
      <c r="J13" s="520">
        <v>2300177</v>
      </c>
      <c r="K13" s="520">
        <v>2374058</v>
      </c>
      <c r="L13" s="520">
        <v>4674235</v>
      </c>
      <c r="M13" s="522" t="s">
        <v>194</v>
      </c>
      <c r="N13" s="525">
        <f t="shared" si="1"/>
        <v>2293472.6666666665</v>
      </c>
      <c r="O13" s="525">
        <f t="shared" si="0"/>
        <v>2364638</v>
      </c>
      <c r="P13" s="525">
        <f t="shared" si="0"/>
        <v>4658110.666666667</v>
      </c>
    </row>
    <row r="14" spans="1:16" x14ac:dyDescent="0.2">
      <c r="A14" s="523" t="s">
        <v>195</v>
      </c>
      <c r="B14" s="524">
        <v>2007173</v>
      </c>
      <c r="C14" s="524">
        <v>2059512</v>
      </c>
      <c r="D14" s="524">
        <v>4066685</v>
      </c>
      <c r="E14" s="520" t="s">
        <v>195</v>
      </c>
      <c r="F14" s="520">
        <v>2063818</v>
      </c>
      <c r="G14" s="520">
        <v>2120495</v>
      </c>
      <c r="H14" s="520">
        <v>4184313</v>
      </c>
      <c r="I14" s="520" t="s">
        <v>195</v>
      </c>
      <c r="J14" s="520">
        <v>2114765</v>
      </c>
      <c r="K14" s="520">
        <v>2179055</v>
      </c>
      <c r="L14" s="520">
        <v>4293820</v>
      </c>
      <c r="M14" s="522" t="s">
        <v>195</v>
      </c>
      <c r="N14" s="525">
        <f t="shared" si="1"/>
        <v>2061918.6666666667</v>
      </c>
      <c r="O14" s="525">
        <f t="shared" si="0"/>
        <v>2119687.3333333335</v>
      </c>
      <c r="P14" s="525">
        <f t="shared" si="0"/>
        <v>4181606</v>
      </c>
    </row>
    <row r="15" spans="1:16" x14ac:dyDescent="0.2">
      <c r="A15" s="523" t="s">
        <v>196</v>
      </c>
      <c r="B15" s="524">
        <v>1731293</v>
      </c>
      <c r="C15" s="524">
        <v>1802940</v>
      </c>
      <c r="D15" s="524">
        <v>3534233</v>
      </c>
      <c r="E15" s="520" t="s">
        <v>196</v>
      </c>
      <c r="F15" s="520">
        <v>1763457</v>
      </c>
      <c r="G15" s="520">
        <v>1835207</v>
      </c>
      <c r="H15" s="520">
        <v>3598664</v>
      </c>
      <c r="I15" s="520" t="s">
        <v>196</v>
      </c>
      <c r="J15" s="520">
        <v>1799734</v>
      </c>
      <c r="K15" s="520">
        <v>1873375</v>
      </c>
      <c r="L15" s="520">
        <v>3673109</v>
      </c>
      <c r="M15" s="522" t="s">
        <v>196</v>
      </c>
      <c r="N15" s="525">
        <f t="shared" si="1"/>
        <v>1764828</v>
      </c>
      <c r="O15" s="525">
        <f t="shared" si="0"/>
        <v>1837174</v>
      </c>
      <c r="P15" s="525">
        <f t="shared" si="0"/>
        <v>3602002</v>
      </c>
    </row>
    <row r="16" spans="1:16" x14ac:dyDescent="0.2">
      <c r="A16" s="523" t="s">
        <v>197</v>
      </c>
      <c r="B16" s="524">
        <v>1764051</v>
      </c>
      <c r="C16" s="524">
        <v>1872466</v>
      </c>
      <c r="D16" s="524">
        <v>3636517</v>
      </c>
      <c r="E16" s="520" t="s">
        <v>197</v>
      </c>
      <c r="F16" s="520">
        <v>1682194</v>
      </c>
      <c r="G16" s="520">
        <v>1791404</v>
      </c>
      <c r="H16" s="520">
        <v>3473598</v>
      </c>
      <c r="I16" s="520" t="s">
        <v>197</v>
      </c>
      <c r="J16" s="520">
        <v>1644735</v>
      </c>
      <c r="K16" s="520">
        <v>1751700</v>
      </c>
      <c r="L16" s="520">
        <v>3396435</v>
      </c>
      <c r="M16" s="522" t="s">
        <v>197</v>
      </c>
      <c r="N16" s="525">
        <f t="shared" si="1"/>
        <v>1696993.3333333333</v>
      </c>
      <c r="O16" s="525">
        <f t="shared" si="0"/>
        <v>1805190</v>
      </c>
      <c r="P16" s="525">
        <f t="shared" si="0"/>
        <v>3502183.3333333335</v>
      </c>
    </row>
    <row r="17" spans="1:16" x14ac:dyDescent="0.2">
      <c r="A17" s="523" t="s">
        <v>198</v>
      </c>
      <c r="B17" s="524">
        <v>1360294</v>
      </c>
      <c r="C17" s="524">
        <v>1491771</v>
      </c>
      <c r="D17" s="524">
        <v>2852065</v>
      </c>
      <c r="E17" s="520" t="s">
        <v>198</v>
      </c>
      <c r="F17" s="520">
        <v>1487746</v>
      </c>
      <c r="G17" s="520">
        <v>1623317</v>
      </c>
      <c r="H17" s="520">
        <v>3111063</v>
      </c>
      <c r="I17" s="520" t="s">
        <v>198</v>
      </c>
      <c r="J17" s="520">
        <v>1555855</v>
      </c>
      <c r="K17" s="520">
        <v>1695741</v>
      </c>
      <c r="L17" s="520">
        <v>3251596</v>
      </c>
      <c r="M17" s="522" t="s">
        <v>198</v>
      </c>
      <c r="N17" s="525">
        <f t="shared" si="1"/>
        <v>1467965</v>
      </c>
      <c r="O17" s="525">
        <f t="shared" si="0"/>
        <v>1603609.6666666667</v>
      </c>
      <c r="P17" s="525">
        <f t="shared" si="0"/>
        <v>3071574.6666666665</v>
      </c>
    </row>
    <row r="18" spans="1:16" x14ac:dyDescent="0.2">
      <c r="A18" s="523" t="s">
        <v>199</v>
      </c>
      <c r="B18" s="524">
        <v>989391</v>
      </c>
      <c r="C18" s="524">
        <v>1165133</v>
      </c>
      <c r="D18" s="524">
        <v>2154524</v>
      </c>
      <c r="E18" s="520" t="s">
        <v>199</v>
      </c>
      <c r="F18" s="520">
        <v>1001708</v>
      </c>
      <c r="G18" s="520">
        <v>1175229</v>
      </c>
      <c r="H18" s="520">
        <v>2176937</v>
      </c>
      <c r="I18" s="520" t="s">
        <v>199</v>
      </c>
      <c r="J18" s="520">
        <v>1030997</v>
      </c>
      <c r="K18" s="520">
        <v>1204574</v>
      </c>
      <c r="L18" s="520">
        <v>2235571</v>
      </c>
      <c r="M18" s="522" t="s">
        <v>199</v>
      </c>
      <c r="N18" s="525">
        <f t="shared" si="1"/>
        <v>1007365.3333333334</v>
      </c>
      <c r="O18" s="525">
        <f t="shared" si="0"/>
        <v>1181645.3333333333</v>
      </c>
      <c r="P18" s="525">
        <f t="shared" si="0"/>
        <v>2189010.6666666665</v>
      </c>
    </row>
    <row r="19" spans="1:16" x14ac:dyDescent="0.2">
      <c r="A19" s="523" t="s">
        <v>259</v>
      </c>
      <c r="B19" s="524">
        <v>694041</v>
      </c>
      <c r="C19" s="524">
        <v>912705</v>
      </c>
      <c r="D19" s="524">
        <v>1606746</v>
      </c>
      <c r="E19" s="520" t="s">
        <v>259</v>
      </c>
      <c r="F19" s="520">
        <v>710769</v>
      </c>
      <c r="G19" s="520">
        <v>924352</v>
      </c>
      <c r="H19" s="520">
        <v>1635121</v>
      </c>
      <c r="I19" s="520" t="s">
        <v>259</v>
      </c>
      <c r="J19" s="520">
        <v>731406</v>
      </c>
      <c r="K19" s="520">
        <v>942057</v>
      </c>
      <c r="L19" s="520">
        <v>1673463</v>
      </c>
      <c r="M19" s="522" t="s">
        <v>259</v>
      </c>
      <c r="N19" s="525">
        <f t="shared" si="1"/>
        <v>712072</v>
      </c>
      <c r="O19" s="525">
        <f t="shared" si="1"/>
        <v>926371.33333333337</v>
      </c>
      <c r="P19" s="525">
        <f t="shared" si="1"/>
        <v>1638443.3333333333</v>
      </c>
    </row>
    <row r="20" spans="1:16" x14ac:dyDescent="0.2">
      <c r="A20" s="523" t="s">
        <v>260</v>
      </c>
      <c r="B20" s="524">
        <v>380508</v>
      </c>
      <c r="C20" s="524">
        <v>612480</v>
      </c>
      <c r="D20" s="524">
        <v>992988</v>
      </c>
      <c r="E20" s="520" t="s">
        <v>260</v>
      </c>
      <c r="F20" s="520">
        <v>392838</v>
      </c>
      <c r="G20" s="520">
        <v>619989</v>
      </c>
      <c r="H20" s="520">
        <v>1012827</v>
      </c>
      <c r="I20" s="520" t="s">
        <v>260</v>
      </c>
      <c r="J20" s="520">
        <v>401760</v>
      </c>
      <c r="K20" s="520">
        <v>622708</v>
      </c>
      <c r="L20" s="520">
        <v>1024468</v>
      </c>
      <c r="M20" s="522" t="s">
        <v>260</v>
      </c>
      <c r="N20" s="525">
        <f t="shared" ref="N20:P22" si="2">SUM(B20,F20,J20)/3</f>
        <v>391702</v>
      </c>
      <c r="O20" s="525">
        <f t="shared" si="2"/>
        <v>618392.33333333337</v>
      </c>
      <c r="P20" s="525">
        <f t="shared" si="2"/>
        <v>1010094.3333333334</v>
      </c>
    </row>
    <row r="21" spans="1:16" x14ac:dyDescent="0.2">
      <c r="A21" s="523" t="s">
        <v>90</v>
      </c>
      <c r="B21" s="524">
        <v>171710</v>
      </c>
      <c r="C21" s="524">
        <v>399535</v>
      </c>
      <c r="D21" s="524">
        <v>571245</v>
      </c>
      <c r="E21" s="520" t="s">
        <v>90</v>
      </c>
      <c r="F21" s="520">
        <v>178458</v>
      </c>
      <c r="G21" s="520">
        <v>401318</v>
      </c>
      <c r="H21" s="520">
        <v>579776</v>
      </c>
      <c r="I21" s="520" t="s">
        <v>90</v>
      </c>
      <c r="J21" s="520">
        <v>183486</v>
      </c>
      <c r="K21" s="520">
        <v>400538</v>
      </c>
      <c r="L21" s="520">
        <v>584024</v>
      </c>
      <c r="M21" s="527">
        <v>90</v>
      </c>
      <c r="N21" s="525">
        <f t="shared" si="2"/>
        <v>177884.66666666666</v>
      </c>
      <c r="O21" s="525">
        <f t="shared" si="2"/>
        <v>400463.66666666669</v>
      </c>
      <c r="P21" s="525">
        <f t="shared" si="2"/>
        <v>578348.33333333337</v>
      </c>
    </row>
    <row r="22" spans="1:16" x14ac:dyDescent="0.2">
      <c r="A22" s="521" t="s">
        <v>228</v>
      </c>
      <c r="B22" s="528">
        <v>32377674</v>
      </c>
      <c r="C22" s="528">
        <v>33270380</v>
      </c>
      <c r="D22" s="528">
        <v>65648054</v>
      </c>
      <c r="E22" s="520" t="s">
        <v>228</v>
      </c>
      <c r="F22" s="520">
        <v>32581801</v>
      </c>
      <c r="G22" s="520">
        <v>33458428</v>
      </c>
      <c r="H22" s="520">
        <v>66040229</v>
      </c>
      <c r="I22" s="520" t="s">
        <v>228</v>
      </c>
      <c r="J22" s="520">
        <v>32790202</v>
      </c>
      <c r="K22" s="520">
        <v>33645348</v>
      </c>
      <c r="L22" s="520">
        <v>66435550</v>
      </c>
      <c r="M22" s="529" t="s">
        <v>228</v>
      </c>
      <c r="N22" s="530">
        <f t="shared" si="2"/>
        <v>32583225.666666668</v>
      </c>
      <c r="O22" s="530">
        <f t="shared" si="2"/>
        <v>33458052</v>
      </c>
      <c r="P22" s="530">
        <f t="shared" si="2"/>
        <v>66041277.666666664</v>
      </c>
    </row>
    <row r="23" spans="1:16" x14ac:dyDescent="0.2">
      <c r="M23" s="529" t="s">
        <v>206</v>
      </c>
      <c r="N23" s="530">
        <f>SUM(N7:N10)</f>
        <v>8782737.666666666</v>
      </c>
      <c r="O23" s="530">
        <f>SUM(O7:O10)</f>
        <v>8668311.666666666</v>
      </c>
      <c r="P23" s="530">
        <f>SUM(P7:P10)</f>
        <v>17451049.333333336</v>
      </c>
    </row>
    <row r="24" spans="1:16" x14ac:dyDescent="0.2">
      <c r="A24" s="531" t="s">
        <v>332</v>
      </c>
      <c r="M24" s="529" t="s">
        <v>204</v>
      </c>
      <c r="N24" s="530">
        <f>SUM(N11:N18)</f>
        <v>14565607.666666668</v>
      </c>
      <c r="O24" s="530">
        <f>SUM(O11:O18)</f>
        <v>15281647</v>
      </c>
      <c r="P24" s="530">
        <f>SUM(P11:P18)</f>
        <v>29847254.666666668</v>
      </c>
    </row>
    <row r="25" spans="1:16" x14ac:dyDescent="0.2">
      <c r="M25" s="529" t="s">
        <v>200</v>
      </c>
      <c r="N25" s="530">
        <f>SUM(N11:N16)</f>
        <v>12090277.333333334</v>
      </c>
      <c r="O25" s="530">
        <f>SUM(O11:O16)</f>
        <v>12496392</v>
      </c>
      <c r="P25" s="530">
        <f>SUM(P11:P16)</f>
        <v>24586669.333333332</v>
      </c>
    </row>
    <row r="26" spans="1:16" x14ac:dyDescent="0.2">
      <c r="M26" s="529" t="s">
        <v>201</v>
      </c>
      <c r="N26" s="530">
        <f>SUM(N11:N12)</f>
        <v>4273064.666666667</v>
      </c>
      <c r="O26" s="530">
        <f>SUM(O11:O12)</f>
        <v>4369702.666666667</v>
      </c>
      <c r="P26" s="530">
        <f>SUM(P11:P12)</f>
        <v>8642767.3333333321</v>
      </c>
    </row>
    <row r="27" spans="1:16" x14ac:dyDescent="0.2">
      <c r="M27" s="529">
        <v>48</v>
      </c>
      <c r="N27" s="530">
        <f>(SUM(B29,F29,J29)/3)</f>
        <v>452006</v>
      </c>
      <c r="O27" s="530">
        <f>(SUM(C29,G29,K29)/3)</f>
        <v>466213.33333333331</v>
      </c>
      <c r="P27" s="530">
        <f>(SUM(B29,F29,J29)/3)+(SUM(C29,G29,K29)/3)</f>
        <v>918219.33333333326</v>
      </c>
    </row>
    <row r="28" spans="1:16" x14ac:dyDescent="0.2">
      <c r="M28" s="529">
        <v>49</v>
      </c>
      <c r="N28" s="530">
        <f>(SUM(B30,F30,J30)/3)</f>
        <v>458352</v>
      </c>
      <c r="O28" s="530">
        <f>(SUM(C30,G30,K30)/3)</f>
        <v>471637</v>
      </c>
      <c r="P28" s="530">
        <f>(SUM(B30,F30,J30)/3)+(SUM(C30,G30,K30)/3)</f>
        <v>929989</v>
      </c>
    </row>
    <row r="29" spans="1:16" x14ac:dyDescent="0.2">
      <c r="A29" s="523">
        <v>48</v>
      </c>
      <c r="B29" s="532">
        <v>456227</v>
      </c>
      <c r="C29" s="532">
        <v>470060</v>
      </c>
      <c r="D29" s="532">
        <v>926287</v>
      </c>
      <c r="E29" s="520">
        <v>48</v>
      </c>
      <c r="F29" s="520">
        <v>455389</v>
      </c>
      <c r="G29" s="520">
        <v>470036</v>
      </c>
      <c r="H29" s="520">
        <v>925425</v>
      </c>
      <c r="I29" s="520">
        <v>48</v>
      </c>
      <c r="J29" s="520">
        <v>444402</v>
      </c>
      <c r="K29" s="520">
        <v>458544</v>
      </c>
      <c r="L29" s="520">
        <v>902946</v>
      </c>
      <c r="M29" s="533" t="s">
        <v>298</v>
      </c>
      <c r="N29" s="534">
        <f>(SUM(B29,F29,J29)/3)+(SUM(B30,F30,J30)/3)</f>
        <v>910358</v>
      </c>
      <c r="O29" s="534">
        <f t="shared" ref="O29:P29" si="3">(SUM(C29,G29,K29)/3)+(SUM(C30,G30,K30)/3)</f>
        <v>937850.33333333326</v>
      </c>
      <c r="P29" s="534">
        <f t="shared" si="3"/>
        <v>1848208.3333333335</v>
      </c>
    </row>
    <row r="30" spans="1:16" x14ac:dyDescent="0.2">
      <c r="A30" s="523">
        <v>49</v>
      </c>
      <c r="B30" s="532">
        <v>464338</v>
      </c>
      <c r="C30" s="532">
        <v>474622</v>
      </c>
      <c r="D30" s="532">
        <v>938960</v>
      </c>
      <c r="E30" s="520">
        <v>49</v>
      </c>
      <c r="F30" s="520">
        <v>455680</v>
      </c>
      <c r="G30" s="520">
        <v>470088</v>
      </c>
      <c r="H30" s="520">
        <v>925768</v>
      </c>
      <c r="I30" s="520">
        <v>49</v>
      </c>
      <c r="J30" s="520">
        <v>455038</v>
      </c>
      <c r="K30" s="520">
        <v>470201</v>
      </c>
      <c r="L30" s="520">
        <v>925239</v>
      </c>
      <c r="M30" s="529" t="s">
        <v>202</v>
      </c>
      <c r="N30" s="530">
        <f>SUM(N13:N14)</f>
        <v>4355391.333333333</v>
      </c>
      <c r="O30" s="530">
        <f>SUM(O13:O14)</f>
        <v>4484325.333333334</v>
      </c>
      <c r="P30" s="530">
        <f>SUM(P13:P14)</f>
        <v>8839716.6666666679</v>
      </c>
    </row>
    <row r="31" spans="1:16" x14ac:dyDescent="0.2">
      <c r="A31" s="523"/>
      <c r="B31" s="532"/>
      <c r="C31" s="532"/>
      <c r="D31" s="532"/>
      <c r="M31" s="529">
        <v>58</v>
      </c>
      <c r="N31" s="530">
        <f>(SUM(B33,F33,J33)/3)</f>
        <v>398688.33333333331</v>
      </c>
      <c r="O31" s="530">
        <f>(SUM(C33,G33,K33)/3)</f>
        <v>410434.66666666669</v>
      </c>
      <c r="P31" s="530">
        <f>(SUM(B33,F33,J33)/3)+(SUM(C33,G33,K33)/3)</f>
        <v>809123</v>
      </c>
    </row>
    <row r="32" spans="1:16" x14ac:dyDescent="0.2">
      <c r="A32" s="523"/>
      <c r="B32" s="532"/>
      <c r="C32" s="532"/>
      <c r="D32" s="532"/>
      <c r="M32" s="529">
        <v>59</v>
      </c>
      <c r="N32" s="530">
        <f>(SUM(B34,F34,J34)/3)</f>
        <v>387343.33333333331</v>
      </c>
      <c r="O32" s="530">
        <f>(SUM(C34,G34,K34)/3)</f>
        <v>399593.33333333331</v>
      </c>
      <c r="P32" s="530">
        <f>(SUM(B34,F34,J34)/3)+(SUM(C34,G34,K34)/3)</f>
        <v>786936.66666666663</v>
      </c>
    </row>
    <row r="33" spans="1:16" x14ac:dyDescent="0.2">
      <c r="A33" s="520">
        <v>58</v>
      </c>
      <c r="B33" s="520">
        <v>391588</v>
      </c>
      <c r="C33" s="520">
        <v>402231</v>
      </c>
      <c r="D33" s="520">
        <v>793819</v>
      </c>
      <c r="E33" s="520">
        <v>58</v>
      </c>
      <c r="F33" s="520">
        <v>398519</v>
      </c>
      <c r="G33" s="520">
        <v>410632</v>
      </c>
      <c r="H33" s="520">
        <v>809151</v>
      </c>
      <c r="I33" s="520">
        <v>58</v>
      </c>
      <c r="J33" s="520">
        <v>405958</v>
      </c>
      <c r="K33" s="520">
        <v>418441</v>
      </c>
      <c r="L33" s="520">
        <v>824399</v>
      </c>
      <c r="M33" s="533" t="s">
        <v>296</v>
      </c>
      <c r="N33" s="534">
        <f>(SUM(B33,F33,J33)/3)+(SUM(B34,F34,J34)/3)</f>
        <v>786031.66666666663</v>
      </c>
      <c r="O33" s="534">
        <f t="shared" ref="O33:P33" si="4">(SUM(C33,G33,K33)/3)+(SUM(C34,G34,K34)/3)</f>
        <v>810028</v>
      </c>
      <c r="P33" s="534">
        <f t="shared" si="4"/>
        <v>1596059.6666666665</v>
      </c>
    </row>
    <row r="34" spans="1:16" x14ac:dyDescent="0.2">
      <c r="A34" s="520">
        <v>59</v>
      </c>
      <c r="B34" s="520">
        <v>376664</v>
      </c>
      <c r="C34" s="520">
        <v>387935</v>
      </c>
      <c r="D34" s="520">
        <v>764599</v>
      </c>
      <c r="E34" s="520">
        <v>59</v>
      </c>
      <c r="F34" s="520">
        <v>389425</v>
      </c>
      <c r="G34" s="520">
        <v>401310</v>
      </c>
      <c r="H34" s="520">
        <v>790735</v>
      </c>
      <c r="I34" s="520">
        <v>59</v>
      </c>
      <c r="J34" s="520">
        <v>395941</v>
      </c>
      <c r="K34" s="520">
        <v>409535</v>
      </c>
      <c r="L34" s="520">
        <v>805476</v>
      </c>
      <c r="M34" s="529" t="s">
        <v>203</v>
      </c>
      <c r="N34" s="530">
        <f>SUM(N13:N16)</f>
        <v>7817212.666666666</v>
      </c>
      <c r="O34" s="530">
        <f>SUM(O13:O16)</f>
        <v>8126689.333333334</v>
      </c>
      <c r="P34" s="530">
        <f>SUM(P13:P16)</f>
        <v>15943902.000000002</v>
      </c>
    </row>
    <row r="35" spans="1:16" x14ac:dyDescent="0.2">
      <c r="M35" s="529">
        <v>68</v>
      </c>
      <c r="N35" s="530">
        <f>(SUM(B37,F37,J37)/3)</f>
        <v>342834</v>
      </c>
      <c r="O35" s="530">
        <f>(SUM(C37,G37,K37)/3)</f>
        <v>366050.33333333331</v>
      </c>
      <c r="P35" s="530">
        <f>(SUM(B37,F37,J37)/3)+(SUM(C37,G37,K37)/3)</f>
        <v>708884.33333333326</v>
      </c>
    </row>
    <row r="36" spans="1:16" x14ac:dyDescent="0.2">
      <c r="M36" s="529">
        <v>69</v>
      </c>
      <c r="N36" s="530">
        <f>(SUM(B38,F38,J38)/3)</f>
        <v>359952.33333333331</v>
      </c>
      <c r="O36" s="530">
        <f>(SUM(C38,G38,K38)/3)</f>
        <v>384669.33333333331</v>
      </c>
      <c r="P36" s="530">
        <f>(SUM(B38,F38,J38)/3)+(SUM(C38,G38,K38)/3)</f>
        <v>744621.66666666663</v>
      </c>
    </row>
    <row r="37" spans="1:16" x14ac:dyDescent="0.2">
      <c r="A37" s="520">
        <v>68</v>
      </c>
      <c r="B37" s="520">
        <v>361029</v>
      </c>
      <c r="C37" s="520">
        <v>384525</v>
      </c>
      <c r="D37" s="520">
        <v>745554</v>
      </c>
      <c r="E37" s="520">
        <v>68</v>
      </c>
      <c r="F37" s="520">
        <v>340001</v>
      </c>
      <c r="G37" s="520">
        <v>361791</v>
      </c>
      <c r="H37" s="520">
        <v>701792</v>
      </c>
      <c r="I37" s="520">
        <v>68</v>
      </c>
      <c r="J37" s="520">
        <v>327472</v>
      </c>
      <c r="K37" s="520">
        <v>351835</v>
      </c>
      <c r="L37" s="520">
        <v>679307</v>
      </c>
      <c r="M37" s="533" t="s">
        <v>297</v>
      </c>
      <c r="N37" s="534">
        <f>(SUM(B37,F37,J37)/3)+(SUM(B38,F38,J38)/3)</f>
        <v>702786.33333333326</v>
      </c>
      <c r="O37" s="534">
        <f>(SUM(C37,G37,K37)/3)+(SUM(C38,G38,K38)/3)</f>
        <v>750719.66666666663</v>
      </c>
      <c r="P37" s="534">
        <f t="shared" ref="P37" si="5">(SUM(D37,H37,L37)/3)+(SUM(D38,H38,L38)/3)</f>
        <v>1453506</v>
      </c>
    </row>
    <row r="38" spans="1:16" x14ac:dyDescent="0.2">
      <c r="A38" s="520">
        <v>69</v>
      </c>
      <c r="B38" s="520">
        <v>389759</v>
      </c>
      <c r="C38" s="520">
        <v>414713</v>
      </c>
      <c r="D38" s="520">
        <v>804472</v>
      </c>
      <c r="E38" s="520">
        <v>69</v>
      </c>
      <c r="F38" s="520">
        <v>355389</v>
      </c>
      <c r="G38" s="520">
        <v>380843</v>
      </c>
      <c r="H38" s="520">
        <v>736232</v>
      </c>
      <c r="I38" s="520">
        <v>69</v>
      </c>
      <c r="J38" s="520">
        <v>334709</v>
      </c>
      <c r="K38" s="520">
        <v>358452</v>
      </c>
      <c r="L38" s="520">
        <v>693161</v>
      </c>
      <c r="M38" s="529" t="s">
        <v>272</v>
      </c>
      <c r="N38" s="530">
        <f>SUM(N15:N16)</f>
        <v>3461821.333333333</v>
      </c>
      <c r="O38" s="530">
        <f>SUM(O15:O16)</f>
        <v>3642364</v>
      </c>
      <c r="P38" s="530">
        <f>SUM(P15:P16)</f>
        <v>7104185.333333334</v>
      </c>
    </row>
    <row r="39" spans="1:16" x14ac:dyDescent="0.2">
      <c r="M39" s="529" t="s">
        <v>292</v>
      </c>
      <c r="N39" s="530">
        <f>SUM(N15:N17)</f>
        <v>4929786.333333333</v>
      </c>
      <c r="O39" s="530">
        <f>SUM(O15:O17)</f>
        <v>5245973.666666667</v>
      </c>
      <c r="P39" s="530">
        <f>SUM(P15:P17)</f>
        <v>10175760</v>
      </c>
    </row>
    <row r="40" spans="1:16" x14ac:dyDescent="0.2">
      <c r="M40" s="529" t="s">
        <v>261</v>
      </c>
      <c r="N40" s="530">
        <f>SUM(N3:N21)</f>
        <v>32583225.666666668</v>
      </c>
      <c r="O40" s="530">
        <f>SUM(O3:O21)</f>
        <v>33458051.999999996</v>
      </c>
      <c r="P40" s="530">
        <f>SUM(P3:P21)</f>
        <v>66041277.666666672</v>
      </c>
    </row>
  </sheetData>
  <mergeCells count="4">
    <mergeCell ref="A1:D1"/>
    <mergeCell ref="E1:H1"/>
    <mergeCell ref="I1:L1"/>
    <mergeCell ref="M1:P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5973-7FFB-5E4D-895E-36FE806ECE9A}">
  <dimension ref="B1:M19"/>
  <sheetViews>
    <sheetView zoomScaleNormal="100" zoomScaleSheetLayoutView="81" workbookViewId="0">
      <selection activeCell="B19" sqref="B19:M19"/>
    </sheetView>
  </sheetViews>
  <sheetFormatPr baseColWidth="10" defaultColWidth="11.1640625" defaultRowHeight="13" x14ac:dyDescent="0.15"/>
  <cols>
    <col min="1" max="1" width="3.83203125" style="546" customWidth="1"/>
    <col min="2" max="2" width="11.5" style="546" customWidth="1"/>
    <col min="3" max="3" width="26.6640625" style="546" customWidth="1"/>
    <col min="4" max="4" width="24.33203125" style="546" hidden="1" customWidth="1"/>
    <col min="5" max="5" width="39.5" style="546" hidden="1" customWidth="1"/>
    <col min="6" max="6" width="95.83203125" style="546" hidden="1" customWidth="1"/>
    <col min="7" max="8" width="11.1640625" style="546"/>
    <col min="9" max="9" width="21.83203125" style="546" hidden="1" customWidth="1"/>
    <col min="10" max="10" width="39.5" style="546" hidden="1" customWidth="1"/>
    <col min="11" max="11" width="78" style="546" customWidth="1"/>
    <col min="12" max="12" width="35.83203125" style="546" customWidth="1"/>
    <col min="13" max="13" width="38.5" style="546" customWidth="1"/>
    <col min="14" max="14" width="11.1640625" style="546" customWidth="1"/>
    <col min="15" max="16384" width="11.1640625" style="546"/>
  </cols>
  <sheetData>
    <row r="1" spans="2:13" ht="14" thickBot="1" x14ac:dyDescent="0.2"/>
    <row r="2" spans="2:13" ht="18.75" customHeight="1" x14ac:dyDescent="0.15">
      <c r="B2" s="547" t="s">
        <v>3</v>
      </c>
      <c r="C2" s="548" t="s">
        <v>133</v>
      </c>
      <c r="D2" s="549" t="s">
        <v>133</v>
      </c>
      <c r="E2" s="549" t="s">
        <v>134</v>
      </c>
      <c r="F2" s="549" t="s">
        <v>135</v>
      </c>
      <c r="G2" s="549" t="s">
        <v>136</v>
      </c>
      <c r="H2" s="549" t="s">
        <v>137</v>
      </c>
      <c r="I2" s="550" t="s">
        <v>138</v>
      </c>
      <c r="J2" s="549" t="s">
        <v>134</v>
      </c>
      <c r="K2" s="549" t="s">
        <v>135</v>
      </c>
      <c r="L2" s="549" t="s">
        <v>134</v>
      </c>
      <c r="M2" s="551" t="s">
        <v>348</v>
      </c>
    </row>
    <row r="3" spans="2:13" x14ac:dyDescent="0.15">
      <c r="B3" s="552" t="s">
        <v>11</v>
      </c>
      <c r="C3" s="553" t="s">
        <v>139</v>
      </c>
      <c r="D3" s="553" t="s">
        <v>140</v>
      </c>
      <c r="E3" s="553" t="s">
        <v>263</v>
      </c>
      <c r="F3" s="553" t="s">
        <v>141</v>
      </c>
      <c r="G3" s="554">
        <v>89</v>
      </c>
      <c r="H3" s="554">
        <v>91</v>
      </c>
      <c r="I3" s="555" t="s">
        <v>142</v>
      </c>
      <c r="J3" s="553" t="s">
        <v>263</v>
      </c>
      <c r="K3" s="553" t="s">
        <v>141</v>
      </c>
      <c r="L3" s="553" t="s">
        <v>263</v>
      </c>
      <c r="M3" s="1036" t="s">
        <v>369</v>
      </c>
    </row>
    <row r="4" spans="2:13" x14ac:dyDescent="0.15">
      <c r="B4" s="552"/>
      <c r="C4" s="553" t="s">
        <v>143</v>
      </c>
      <c r="D4" s="553" t="s">
        <v>140</v>
      </c>
      <c r="E4" s="553" t="s">
        <v>263</v>
      </c>
      <c r="F4" s="553" t="s">
        <v>144</v>
      </c>
      <c r="G4" s="554">
        <v>70</v>
      </c>
      <c r="H4" s="554">
        <v>95</v>
      </c>
      <c r="I4" s="555" t="s">
        <v>142</v>
      </c>
      <c r="J4" s="553" t="s">
        <v>263</v>
      </c>
      <c r="K4" s="553" t="s">
        <v>144</v>
      </c>
      <c r="L4" s="553" t="s">
        <v>263</v>
      </c>
      <c r="M4" s="1037"/>
    </row>
    <row r="5" spans="2:13" x14ac:dyDescent="0.15">
      <c r="B5" s="556"/>
      <c r="C5" s="557" t="s">
        <v>145</v>
      </c>
      <c r="D5" s="557" t="s">
        <v>140</v>
      </c>
      <c r="E5" s="557" t="s">
        <v>263</v>
      </c>
      <c r="F5" s="557" t="s">
        <v>146</v>
      </c>
      <c r="G5" s="558">
        <v>67</v>
      </c>
      <c r="H5" s="558">
        <v>96</v>
      </c>
      <c r="I5" s="559" t="s">
        <v>142</v>
      </c>
      <c r="J5" s="557" t="s">
        <v>263</v>
      </c>
      <c r="K5" s="557" t="s">
        <v>146</v>
      </c>
      <c r="L5" s="557" t="s">
        <v>263</v>
      </c>
      <c r="M5" s="1038"/>
    </row>
    <row r="6" spans="2:13" x14ac:dyDescent="0.15">
      <c r="B6" s="552" t="s">
        <v>12</v>
      </c>
      <c r="C6" s="553" t="s">
        <v>147</v>
      </c>
      <c r="D6" s="553" t="s">
        <v>148</v>
      </c>
      <c r="E6" s="553" t="s">
        <v>149</v>
      </c>
      <c r="F6" s="553" t="s">
        <v>150</v>
      </c>
      <c r="G6" s="554">
        <v>67.8</v>
      </c>
      <c r="H6" s="554">
        <v>83</v>
      </c>
      <c r="I6" s="555" t="s">
        <v>151</v>
      </c>
      <c r="J6" s="553" t="s">
        <v>149</v>
      </c>
      <c r="K6" s="553" t="s">
        <v>150</v>
      </c>
      <c r="L6" s="553" t="s">
        <v>149</v>
      </c>
      <c r="M6" s="1036" t="s">
        <v>370</v>
      </c>
    </row>
    <row r="7" spans="2:13" x14ac:dyDescent="0.15">
      <c r="B7" s="556"/>
      <c r="C7" s="557" t="s">
        <v>152</v>
      </c>
      <c r="D7" s="557" t="s">
        <v>148</v>
      </c>
      <c r="E7" s="557" t="s">
        <v>149</v>
      </c>
      <c r="F7" s="557" t="s">
        <v>153</v>
      </c>
      <c r="G7" s="558">
        <v>76.400000000000006</v>
      </c>
      <c r="H7" s="558">
        <v>72.900000000000006</v>
      </c>
      <c r="I7" s="559" t="s">
        <v>151</v>
      </c>
      <c r="J7" s="557" t="s">
        <v>149</v>
      </c>
      <c r="K7" s="557" t="s">
        <v>153</v>
      </c>
      <c r="L7" s="557" t="s">
        <v>149</v>
      </c>
      <c r="M7" s="1038"/>
    </row>
    <row r="8" spans="2:13" x14ac:dyDescent="0.15">
      <c r="B8" s="560" t="s">
        <v>32</v>
      </c>
      <c r="C8" s="561" t="s">
        <v>154</v>
      </c>
      <c r="D8" s="561" t="s">
        <v>154</v>
      </c>
      <c r="E8" s="561" t="s">
        <v>155</v>
      </c>
      <c r="F8" s="561" t="s">
        <v>156</v>
      </c>
      <c r="G8" s="562">
        <v>84.6</v>
      </c>
      <c r="H8" s="562">
        <v>98.6</v>
      </c>
      <c r="I8" s="563" t="s">
        <v>142</v>
      </c>
      <c r="J8" s="561" t="s">
        <v>155</v>
      </c>
      <c r="K8" s="561" t="s">
        <v>156</v>
      </c>
      <c r="L8" s="561" t="s">
        <v>155</v>
      </c>
      <c r="M8" s="564" t="s">
        <v>371</v>
      </c>
    </row>
    <row r="9" spans="2:13" x14ac:dyDescent="0.15">
      <c r="B9" s="565" t="s">
        <v>157</v>
      </c>
      <c r="C9" s="566" t="s">
        <v>158</v>
      </c>
      <c r="D9" s="566" t="s">
        <v>158</v>
      </c>
      <c r="E9" s="566" t="s">
        <v>159</v>
      </c>
      <c r="F9" s="566" t="s">
        <v>160</v>
      </c>
      <c r="G9" s="567">
        <v>66</v>
      </c>
      <c r="H9" s="567">
        <v>92</v>
      </c>
      <c r="I9" s="568" t="s">
        <v>161</v>
      </c>
      <c r="J9" s="566" t="s">
        <v>159</v>
      </c>
      <c r="K9" s="566" t="s">
        <v>160</v>
      </c>
      <c r="L9" s="566" t="s">
        <v>159</v>
      </c>
      <c r="M9" s="1036" t="s">
        <v>372</v>
      </c>
    </row>
    <row r="10" spans="2:13" x14ac:dyDescent="0.15">
      <c r="B10" s="556"/>
      <c r="C10" s="557" t="s">
        <v>162</v>
      </c>
      <c r="D10" s="557" t="s">
        <v>162</v>
      </c>
      <c r="E10" s="557" t="s">
        <v>159</v>
      </c>
      <c r="F10" s="557" t="s">
        <v>160</v>
      </c>
      <c r="G10" s="558">
        <v>70</v>
      </c>
      <c r="H10" s="558">
        <v>92</v>
      </c>
      <c r="I10" s="559" t="s">
        <v>161</v>
      </c>
      <c r="J10" s="557" t="s">
        <v>159</v>
      </c>
      <c r="K10" s="557" t="s">
        <v>160</v>
      </c>
      <c r="L10" s="557" t="s">
        <v>159</v>
      </c>
      <c r="M10" s="1038"/>
    </row>
    <row r="11" spans="2:13" x14ac:dyDescent="0.15">
      <c r="B11" s="565" t="s">
        <v>13</v>
      </c>
      <c r="C11" s="566" t="s">
        <v>163</v>
      </c>
      <c r="D11" s="566" t="s">
        <v>163</v>
      </c>
      <c r="E11" s="566" t="s">
        <v>164</v>
      </c>
      <c r="F11" s="566" t="s">
        <v>165</v>
      </c>
      <c r="G11" s="567">
        <v>84</v>
      </c>
      <c r="H11" s="567">
        <v>99</v>
      </c>
      <c r="I11" s="568" t="s">
        <v>151</v>
      </c>
      <c r="J11" s="566" t="s">
        <v>164</v>
      </c>
      <c r="K11" s="566" t="s">
        <v>165</v>
      </c>
      <c r="L11" s="566" t="s">
        <v>164</v>
      </c>
      <c r="M11" s="1036" t="s">
        <v>373</v>
      </c>
    </row>
    <row r="12" spans="2:13" x14ac:dyDescent="0.15">
      <c r="B12" s="556"/>
      <c r="C12" s="557" t="s">
        <v>166</v>
      </c>
      <c r="D12" s="557" t="s">
        <v>166</v>
      </c>
      <c r="E12" s="557" t="s">
        <v>164</v>
      </c>
      <c r="F12" s="557" t="s">
        <v>167</v>
      </c>
      <c r="G12" s="558">
        <v>72.900000000000006</v>
      </c>
      <c r="H12" s="558">
        <v>96.8</v>
      </c>
      <c r="I12" s="559" t="s">
        <v>151</v>
      </c>
      <c r="J12" s="557" t="s">
        <v>164</v>
      </c>
      <c r="K12" s="557" t="s">
        <v>167</v>
      </c>
      <c r="L12" s="557" t="s">
        <v>164</v>
      </c>
      <c r="M12" s="1037"/>
    </row>
    <row r="13" spans="2:13" x14ac:dyDescent="0.15">
      <c r="B13" s="565" t="s">
        <v>10</v>
      </c>
      <c r="C13" s="566" t="s">
        <v>168</v>
      </c>
      <c r="D13" s="566" t="s">
        <v>169</v>
      </c>
      <c r="E13" s="566" t="s">
        <v>170</v>
      </c>
      <c r="F13" s="566" t="s">
        <v>171</v>
      </c>
      <c r="G13" s="567">
        <v>21</v>
      </c>
      <c r="H13" s="567">
        <v>91</v>
      </c>
      <c r="I13" s="568" t="s">
        <v>161</v>
      </c>
      <c r="J13" s="566" t="s">
        <v>170</v>
      </c>
      <c r="K13" s="566" t="s">
        <v>171</v>
      </c>
      <c r="L13" s="569" t="s">
        <v>170</v>
      </c>
      <c r="M13" s="1036" t="s">
        <v>374</v>
      </c>
    </row>
    <row r="14" spans="2:13" x14ac:dyDescent="0.15">
      <c r="B14" s="552"/>
      <c r="C14" s="553" t="s">
        <v>172</v>
      </c>
      <c r="D14" s="546" t="s">
        <v>169</v>
      </c>
      <c r="E14" s="570" t="s">
        <v>170</v>
      </c>
      <c r="F14" s="553" t="s">
        <v>173</v>
      </c>
      <c r="G14" s="554">
        <v>32</v>
      </c>
      <c r="H14" s="554">
        <v>85</v>
      </c>
      <c r="I14" s="555" t="s">
        <v>161</v>
      </c>
      <c r="J14" s="570" t="s">
        <v>170</v>
      </c>
      <c r="K14" s="553" t="s">
        <v>173</v>
      </c>
      <c r="L14" s="546" t="s">
        <v>170</v>
      </c>
      <c r="M14" s="1037"/>
    </row>
    <row r="15" spans="2:13" x14ac:dyDescent="0.15">
      <c r="B15" s="556"/>
      <c r="C15" s="557" t="s">
        <v>266</v>
      </c>
      <c r="D15" s="557"/>
      <c r="E15" s="557" t="s">
        <v>149</v>
      </c>
      <c r="F15" s="557" t="s">
        <v>267</v>
      </c>
      <c r="G15" s="558">
        <v>89</v>
      </c>
      <c r="H15" s="558">
        <v>73</v>
      </c>
      <c r="I15" s="559" t="s">
        <v>161</v>
      </c>
      <c r="J15" s="557" t="s">
        <v>149</v>
      </c>
      <c r="K15" s="557" t="s">
        <v>267</v>
      </c>
      <c r="L15" s="557" t="s">
        <v>149</v>
      </c>
      <c r="M15" s="571" t="s">
        <v>375</v>
      </c>
    </row>
    <row r="16" spans="2:13" x14ac:dyDescent="0.15">
      <c r="B16" s="560" t="s">
        <v>17</v>
      </c>
      <c r="C16" s="561" t="s">
        <v>174</v>
      </c>
      <c r="D16" s="561" t="s">
        <v>174</v>
      </c>
      <c r="E16" s="561" t="s">
        <v>175</v>
      </c>
      <c r="F16" s="561" t="s">
        <v>176</v>
      </c>
      <c r="G16" s="562">
        <v>67</v>
      </c>
      <c r="H16" s="562">
        <v>98</v>
      </c>
      <c r="I16" s="563" t="s">
        <v>142</v>
      </c>
      <c r="J16" s="561" t="s">
        <v>175</v>
      </c>
      <c r="K16" s="561" t="s">
        <v>176</v>
      </c>
      <c r="L16" s="561" t="s">
        <v>175</v>
      </c>
      <c r="M16" s="564" t="s">
        <v>376</v>
      </c>
    </row>
    <row r="17" spans="2:13" ht="14" thickBot="1" x14ac:dyDescent="0.2">
      <c r="B17" s="572" t="s">
        <v>14</v>
      </c>
      <c r="C17" s="573" t="s">
        <v>166</v>
      </c>
      <c r="D17" s="573" t="s">
        <v>166</v>
      </c>
      <c r="E17" s="573" t="s">
        <v>177</v>
      </c>
      <c r="F17" s="573" t="s">
        <v>178</v>
      </c>
      <c r="G17" s="574">
        <v>82</v>
      </c>
      <c r="H17" s="574">
        <v>98</v>
      </c>
      <c r="I17" s="575" t="s">
        <v>151</v>
      </c>
      <c r="J17" s="573" t="s">
        <v>177</v>
      </c>
      <c r="K17" s="573" t="s">
        <v>178</v>
      </c>
      <c r="L17" s="573" t="s">
        <v>177</v>
      </c>
      <c r="M17" s="576" t="s">
        <v>377</v>
      </c>
    </row>
    <row r="19" spans="2:13" x14ac:dyDescent="0.15">
      <c r="B19" s="1035" t="s">
        <v>408</v>
      </c>
      <c r="C19" s="1035"/>
      <c r="D19" s="1035"/>
      <c r="E19" s="1035"/>
      <c r="F19" s="1035"/>
      <c r="G19" s="1035"/>
      <c r="H19" s="1035"/>
      <c r="I19" s="1035"/>
      <c r="J19" s="1035"/>
      <c r="K19" s="1035"/>
      <c r="L19" s="1035"/>
      <c r="M19" s="1035"/>
    </row>
  </sheetData>
  <mergeCells count="6">
    <mergeCell ref="B19:M19"/>
    <mergeCell ref="M3:M5"/>
    <mergeCell ref="M6:M7"/>
    <mergeCell ref="M9:M10"/>
    <mergeCell ref="M11:M12"/>
    <mergeCell ref="M13:M14"/>
  </mergeCells>
  <pageMargins left="0.7" right="0.7" top="0.75" bottom="0.75" header="0.3" footer="0.3"/>
  <pageSetup paperSize="9" orientation="portrait" horizontalDpi="300" verticalDpi="300" r:id="rId1"/>
  <colBreaks count="1" manualBreakCount="1">
    <brk id="5" max="30"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BCC6-F261-104D-BA63-4FC51974386F}">
  <sheetPr>
    <tabColor theme="2"/>
  </sheetPr>
  <dimension ref="B2:E47"/>
  <sheetViews>
    <sheetView topLeftCell="A28" workbookViewId="0">
      <selection activeCell="D38" sqref="D38"/>
    </sheetView>
  </sheetViews>
  <sheetFormatPr baseColWidth="10" defaultColWidth="10.1640625" defaultRowHeight="16" x14ac:dyDescent="0.2"/>
  <cols>
    <col min="1" max="3" width="10.1640625" style="520"/>
    <col min="4" max="4" width="10.1640625" style="535"/>
    <col min="5" max="16384" width="10.1640625" style="520"/>
  </cols>
  <sheetData>
    <row r="2" spans="2:5" x14ac:dyDescent="0.2">
      <c r="B2" s="520" t="s">
        <v>333</v>
      </c>
    </row>
    <row r="4" spans="2:5" x14ac:dyDescent="0.2">
      <c r="B4" s="520" t="s">
        <v>334</v>
      </c>
      <c r="C4" s="520" t="s">
        <v>335</v>
      </c>
    </row>
    <row r="6" spans="2:5" x14ac:dyDescent="0.2">
      <c r="B6" s="536" t="s">
        <v>193</v>
      </c>
      <c r="C6" s="535">
        <v>214.8</v>
      </c>
    </row>
    <row r="7" spans="2:5" x14ac:dyDescent="0.2">
      <c r="B7" s="537" t="s">
        <v>194</v>
      </c>
      <c r="C7" s="535">
        <v>279.8</v>
      </c>
    </row>
    <row r="9" spans="2:5" x14ac:dyDescent="0.2">
      <c r="B9" s="538"/>
    </row>
    <row r="10" spans="2:5" x14ac:dyDescent="0.2">
      <c r="D10" s="535" t="s">
        <v>336</v>
      </c>
      <c r="E10" s="520" t="s">
        <v>337</v>
      </c>
    </row>
    <row r="11" spans="2:5" x14ac:dyDescent="0.2">
      <c r="B11" s="536">
        <v>45</v>
      </c>
      <c r="C11" s="535">
        <f>C$6</f>
        <v>214.8</v>
      </c>
      <c r="D11" s="535">
        <f>C$6+(C$7-C$6)/5*(B11-B$13)</f>
        <v>188.8</v>
      </c>
    </row>
    <row r="12" spans="2:5" x14ac:dyDescent="0.2">
      <c r="B12" s="536">
        <v>46</v>
      </c>
      <c r="C12" s="535">
        <f t="shared" ref="C12:C15" si="0">C$6</f>
        <v>214.8</v>
      </c>
      <c r="D12" s="535">
        <f t="shared" ref="D12:D20" si="1">C$6+(C$7-C$6)/5*(B12-B$13)</f>
        <v>201.8</v>
      </c>
    </row>
    <row r="13" spans="2:5" x14ac:dyDescent="0.2">
      <c r="B13" s="536">
        <v>47</v>
      </c>
      <c r="C13" s="535">
        <f t="shared" si="0"/>
        <v>214.8</v>
      </c>
      <c r="D13" s="535">
        <f t="shared" si="1"/>
        <v>214.8</v>
      </c>
      <c r="E13" s="520">
        <f>SUM(D11:D15)/5</f>
        <v>214.8</v>
      </c>
    </row>
    <row r="14" spans="2:5" x14ac:dyDescent="0.2">
      <c r="B14" s="536">
        <v>48</v>
      </c>
      <c r="C14" s="535">
        <f t="shared" si="0"/>
        <v>214.8</v>
      </c>
      <c r="D14" s="535">
        <f t="shared" si="1"/>
        <v>227.8</v>
      </c>
    </row>
    <row r="15" spans="2:5" x14ac:dyDescent="0.2">
      <c r="B15" s="536">
        <v>49</v>
      </c>
      <c r="C15" s="535">
        <f t="shared" si="0"/>
        <v>214.8</v>
      </c>
      <c r="D15" s="535">
        <f t="shared" si="1"/>
        <v>240.8</v>
      </c>
    </row>
    <row r="16" spans="2:5" x14ac:dyDescent="0.2">
      <c r="B16" s="537">
        <v>50</v>
      </c>
      <c r="C16" s="535">
        <f>C$7</f>
        <v>279.8</v>
      </c>
      <c r="D16" s="535">
        <f t="shared" si="1"/>
        <v>253.8</v>
      </c>
    </row>
    <row r="17" spans="2:5" x14ac:dyDescent="0.2">
      <c r="B17" s="537">
        <v>51</v>
      </c>
      <c r="C17" s="535">
        <f t="shared" ref="C17:C20" si="2">C$7</f>
        <v>279.8</v>
      </c>
      <c r="D17" s="535">
        <f t="shared" si="1"/>
        <v>266.8</v>
      </c>
    </row>
    <row r="18" spans="2:5" x14ac:dyDescent="0.2">
      <c r="B18" s="537">
        <v>52</v>
      </c>
      <c r="C18" s="535">
        <f t="shared" si="2"/>
        <v>279.8</v>
      </c>
      <c r="D18" s="535">
        <f t="shared" si="1"/>
        <v>279.8</v>
      </c>
      <c r="E18" s="520">
        <f>SUM(D16:D20)/5</f>
        <v>279.8</v>
      </c>
    </row>
    <row r="19" spans="2:5" x14ac:dyDescent="0.2">
      <c r="B19" s="537">
        <v>53</v>
      </c>
      <c r="C19" s="535">
        <f t="shared" si="2"/>
        <v>279.8</v>
      </c>
      <c r="D19" s="535">
        <f t="shared" si="1"/>
        <v>292.8</v>
      </c>
    </row>
    <row r="20" spans="2:5" x14ac:dyDescent="0.2">
      <c r="B20" s="537">
        <v>54</v>
      </c>
      <c r="C20" s="535">
        <f t="shared" si="2"/>
        <v>279.8</v>
      </c>
      <c r="D20" s="535">
        <f t="shared" si="1"/>
        <v>305.8</v>
      </c>
    </row>
    <row r="22" spans="2:5" x14ac:dyDescent="0.2">
      <c r="B22" s="520" t="s">
        <v>338</v>
      </c>
    </row>
    <row r="29" spans="2:5" x14ac:dyDescent="0.2">
      <c r="B29" s="520" t="s">
        <v>339</v>
      </c>
    </row>
    <row r="31" spans="2:5" x14ac:dyDescent="0.2">
      <c r="B31" s="520" t="s">
        <v>334</v>
      </c>
      <c r="C31" s="520" t="s">
        <v>340</v>
      </c>
    </row>
    <row r="33" spans="2:5" x14ac:dyDescent="0.2">
      <c r="B33" s="536" t="s">
        <v>193</v>
      </c>
      <c r="C33" s="539">
        <v>4974</v>
      </c>
    </row>
    <row r="34" spans="2:5" x14ac:dyDescent="0.2">
      <c r="B34" s="537" t="s">
        <v>194</v>
      </c>
      <c r="C34" s="539">
        <v>6616</v>
      </c>
    </row>
    <row r="36" spans="2:5" x14ac:dyDescent="0.2">
      <c r="B36" s="538"/>
    </row>
    <row r="37" spans="2:5" x14ac:dyDescent="0.2">
      <c r="D37" s="535" t="s">
        <v>341</v>
      </c>
      <c r="E37" s="520" t="s">
        <v>337</v>
      </c>
    </row>
    <row r="38" spans="2:5" x14ac:dyDescent="0.2">
      <c r="B38" s="536">
        <v>45</v>
      </c>
      <c r="C38" s="539">
        <f>C$33</f>
        <v>4974</v>
      </c>
      <c r="D38" s="535">
        <f>C$33+(C$34-C$33)/5*(B38-B$40)</f>
        <v>4317.2</v>
      </c>
      <c r="E38" s="539"/>
    </row>
    <row r="39" spans="2:5" x14ac:dyDescent="0.2">
      <c r="B39" s="536">
        <v>46</v>
      </c>
      <c r="C39" s="539">
        <f t="shared" ref="C39:C42" si="3">C$33</f>
        <v>4974</v>
      </c>
      <c r="D39" s="535">
        <f t="shared" ref="D39:D47" si="4">C$33+(C$34-C$33)/5*(B39-B$40)</f>
        <v>4645.6000000000004</v>
      </c>
      <c r="E39" s="539"/>
    </row>
    <row r="40" spans="2:5" x14ac:dyDescent="0.2">
      <c r="B40" s="536">
        <v>47</v>
      </c>
      <c r="C40" s="539">
        <f t="shared" si="3"/>
        <v>4974</v>
      </c>
      <c r="D40" s="535">
        <f t="shared" si="4"/>
        <v>4974</v>
      </c>
      <c r="E40" s="539">
        <f>SUM(D38:D42)/5</f>
        <v>4973.9999999999991</v>
      </c>
    </row>
    <row r="41" spans="2:5" x14ac:dyDescent="0.2">
      <c r="B41" s="536">
        <v>48</v>
      </c>
      <c r="C41" s="539">
        <f t="shared" si="3"/>
        <v>4974</v>
      </c>
      <c r="D41" s="535">
        <f t="shared" si="4"/>
        <v>5302.4</v>
      </c>
      <c r="E41" s="539"/>
    </row>
    <row r="42" spans="2:5" x14ac:dyDescent="0.2">
      <c r="B42" s="536">
        <v>49</v>
      </c>
      <c r="C42" s="539">
        <f t="shared" si="3"/>
        <v>4974</v>
      </c>
      <c r="D42" s="535">
        <f t="shared" si="4"/>
        <v>5630.8</v>
      </c>
      <c r="E42" s="539"/>
    </row>
    <row r="43" spans="2:5" x14ac:dyDescent="0.2">
      <c r="B43" s="537">
        <v>50</v>
      </c>
      <c r="C43" s="539">
        <f>C$34</f>
        <v>6616</v>
      </c>
      <c r="D43" s="535">
        <f t="shared" si="4"/>
        <v>5959.2</v>
      </c>
      <c r="E43" s="539"/>
    </row>
    <row r="44" spans="2:5" x14ac:dyDescent="0.2">
      <c r="B44" s="537">
        <v>51</v>
      </c>
      <c r="C44" s="539">
        <f t="shared" ref="C44:C47" si="5">C$34</f>
        <v>6616</v>
      </c>
      <c r="D44" s="535">
        <f t="shared" si="4"/>
        <v>6287.6</v>
      </c>
      <c r="E44" s="539"/>
    </row>
    <row r="45" spans="2:5" x14ac:dyDescent="0.2">
      <c r="B45" s="537">
        <v>52</v>
      </c>
      <c r="C45" s="539">
        <f t="shared" si="5"/>
        <v>6616</v>
      </c>
      <c r="D45" s="535">
        <f t="shared" si="4"/>
        <v>6616</v>
      </c>
      <c r="E45" s="539">
        <f>SUM(D43:D47)/5</f>
        <v>6616</v>
      </c>
    </row>
    <row r="46" spans="2:5" x14ac:dyDescent="0.2">
      <c r="B46" s="537">
        <v>53</v>
      </c>
      <c r="C46" s="539">
        <f t="shared" si="5"/>
        <v>6616</v>
      </c>
      <c r="D46" s="535">
        <f t="shared" si="4"/>
        <v>6944.4</v>
      </c>
      <c r="E46" s="539"/>
    </row>
    <row r="47" spans="2:5" x14ac:dyDescent="0.2">
      <c r="B47" s="537">
        <v>54</v>
      </c>
      <c r="C47" s="539">
        <f t="shared" si="5"/>
        <v>6616</v>
      </c>
      <c r="D47" s="535">
        <f t="shared" si="4"/>
        <v>7272.7999999999993</v>
      </c>
      <c r="E47" s="539"/>
    </row>
  </sheetData>
  <pageMargins left="0.7" right="0.7" top="0.75" bottom="0.75" header="0.3" footer="0.3"/>
  <pageSetup paperSize="9" orientation="portrait" horizontalDpi="203" verticalDpi="203"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958E7-495C-9049-A0D5-3BFC7470AA5C}">
  <sheetPr>
    <tabColor theme="2"/>
  </sheetPr>
  <dimension ref="B2:E47"/>
  <sheetViews>
    <sheetView topLeftCell="A22" workbookViewId="0">
      <selection activeCell="E46" sqref="E46"/>
    </sheetView>
  </sheetViews>
  <sheetFormatPr baseColWidth="10" defaultColWidth="10.1640625" defaultRowHeight="16" x14ac:dyDescent="0.2"/>
  <cols>
    <col min="1" max="3" width="10.1640625" style="520"/>
    <col min="4" max="4" width="10.1640625" style="535"/>
    <col min="5" max="16384" width="10.1640625" style="520"/>
  </cols>
  <sheetData>
    <row r="2" spans="2:5" x14ac:dyDescent="0.2">
      <c r="B2" s="520" t="s">
        <v>333</v>
      </c>
    </row>
    <row r="4" spans="2:5" x14ac:dyDescent="0.2">
      <c r="B4" s="520" t="s">
        <v>334</v>
      </c>
      <c r="C4" s="520" t="s">
        <v>342</v>
      </c>
    </row>
    <row r="6" spans="2:5" x14ac:dyDescent="0.2">
      <c r="B6" s="536" t="s">
        <v>195</v>
      </c>
      <c r="C6" s="535">
        <v>201.8</v>
      </c>
    </row>
    <row r="7" spans="2:5" x14ac:dyDescent="0.2">
      <c r="B7" s="537" t="s">
        <v>196</v>
      </c>
      <c r="C7" s="535">
        <v>356.1</v>
      </c>
    </row>
    <row r="9" spans="2:5" x14ac:dyDescent="0.2">
      <c r="B9" s="538"/>
    </row>
    <row r="10" spans="2:5" x14ac:dyDescent="0.2">
      <c r="D10" s="535" t="s">
        <v>336</v>
      </c>
      <c r="E10" s="520" t="s">
        <v>337</v>
      </c>
    </row>
    <row r="11" spans="2:5" x14ac:dyDescent="0.2">
      <c r="B11" s="536">
        <v>55</v>
      </c>
      <c r="C11" s="535">
        <f>C$6</f>
        <v>201.8</v>
      </c>
      <c r="D11" s="535">
        <f>C$6+(C$7-C$6)/5*(B11-B$13)</f>
        <v>140.08000000000001</v>
      </c>
    </row>
    <row r="12" spans="2:5" x14ac:dyDescent="0.2">
      <c r="B12" s="536">
        <v>56</v>
      </c>
      <c r="C12" s="535">
        <f t="shared" ref="C12:C15" si="0">C$6</f>
        <v>201.8</v>
      </c>
      <c r="D12" s="535">
        <f t="shared" ref="D12:D20" si="1">C$6+(C$7-C$6)/5*(B12-B$13)</f>
        <v>170.94</v>
      </c>
    </row>
    <row r="13" spans="2:5" x14ac:dyDescent="0.2">
      <c r="B13" s="536">
        <v>57</v>
      </c>
      <c r="C13" s="535">
        <f t="shared" si="0"/>
        <v>201.8</v>
      </c>
      <c r="D13" s="535">
        <f t="shared" si="1"/>
        <v>201.8</v>
      </c>
      <c r="E13" s="520">
        <f>SUM(D11:D15)/5</f>
        <v>201.8</v>
      </c>
    </row>
    <row r="14" spans="2:5" x14ac:dyDescent="0.2">
      <c r="B14" s="536">
        <v>58</v>
      </c>
      <c r="C14" s="535">
        <f t="shared" si="0"/>
        <v>201.8</v>
      </c>
      <c r="D14" s="535">
        <f t="shared" si="1"/>
        <v>232.66000000000003</v>
      </c>
    </row>
    <row r="15" spans="2:5" x14ac:dyDescent="0.2">
      <c r="B15" s="536">
        <v>59</v>
      </c>
      <c r="C15" s="535">
        <f t="shared" si="0"/>
        <v>201.8</v>
      </c>
      <c r="D15" s="535">
        <f t="shared" si="1"/>
        <v>263.52000000000004</v>
      </c>
    </row>
    <row r="16" spans="2:5" x14ac:dyDescent="0.2">
      <c r="B16" s="537">
        <v>60</v>
      </c>
      <c r="C16" s="535">
        <f>C$7</f>
        <v>356.1</v>
      </c>
      <c r="D16" s="535">
        <f t="shared" si="1"/>
        <v>294.38</v>
      </c>
    </row>
    <row r="17" spans="2:5" x14ac:dyDescent="0.2">
      <c r="B17" s="537">
        <v>61</v>
      </c>
      <c r="C17" s="535">
        <f t="shared" ref="C17:C20" si="2">C$7</f>
        <v>356.1</v>
      </c>
      <c r="D17" s="535">
        <f t="shared" si="1"/>
        <v>325.24</v>
      </c>
    </row>
    <row r="18" spans="2:5" x14ac:dyDescent="0.2">
      <c r="B18" s="537">
        <v>62</v>
      </c>
      <c r="C18" s="535">
        <f t="shared" si="2"/>
        <v>356.1</v>
      </c>
      <c r="D18" s="535">
        <f t="shared" si="1"/>
        <v>356.1</v>
      </c>
      <c r="E18" s="520">
        <f>SUM(D16:D20)/5</f>
        <v>356.1</v>
      </c>
    </row>
    <row r="19" spans="2:5" x14ac:dyDescent="0.2">
      <c r="B19" s="537">
        <v>63</v>
      </c>
      <c r="C19" s="535">
        <f t="shared" si="2"/>
        <v>356.1</v>
      </c>
      <c r="D19" s="535">
        <f t="shared" si="1"/>
        <v>386.96000000000004</v>
      </c>
    </row>
    <row r="20" spans="2:5" x14ac:dyDescent="0.2">
      <c r="B20" s="537">
        <v>64</v>
      </c>
      <c r="C20" s="535">
        <f t="shared" si="2"/>
        <v>356.1</v>
      </c>
      <c r="D20" s="535">
        <f t="shared" si="1"/>
        <v>417.82000000000005</v>
      </c>
    </row>
    <row r="29" spans="2:5" x14ac:dyDescent="0.2">
      <c r="B29" s="520" t="s">
        <v>339</v>
      </c>
    </row>
    <row r="31" spans="2:5" x14ac:dyDescent="0.2">
      <c r="B31" s="520" t="s">
        <v>334</v>
      </c>
      <c r="C31" s="520" t="s">
        <v>340</v>
      </c>
    </row>
    <row r="33" spans="2:5" x14ac:dyDescent="0.2">
      <c r="B33" s="536" t="s">
        <v>195</v>
      </c>
      <c r="C33" s="539">
        <v>4161</v>
      </c>
    </row>
    <row r="34" spans="2:5" x14ac:dyDescent="0.2">
      <c r="B34" s="537" t="s">
        <v>343</v>
      </c>
      <c r="C34" s="539">
        <v>6285</v>
      </c>
    </row>
    <row r="36" spans="2:5" x14ac:dyDescent="0.2">
      <c r="B36" s="538"/>
    </row>
    <row r="37" spans="2:5" x14ac:dyDescent="0.2">
      <c r="D37" s="535" t="s">
        <v>341</v>
      </c>
      <c r="E37" s="520" t="s">
        <v>337</v>
      </c>
    </row>
    <row r="38" spans="2:5" x14ac:dyDescent="0.2">
      <c r="B38" s="536">
        <v>55</v>
      </c>
      <c r="C38" s="539">
        <f>C$33</f>
        <v>4161</v>
      </c>
      <c r="D38" s="535">
        <f>C$33+(C$34-C$33)/5*(B38-B$40)</f>
        <v>3311.4</v>
      </c>
      <c r="E38" s="539"/>
    </row>
    <row r="39" spans="2:5" x14ac:dyDescent="0.2">
      <c r="B39" s="536">
        <v>56</v>
      </c>
      <c r="C39" s="539">
        <f t="shared" ref="C39:C42" si="3">C$33</f>
        <v>4161</v>
      </c>
      <c r="D39" s="535">
        <f t="shared" ref="D39:D47" si="4">C$33+(C$34-C$33)/5*(B39-B$40)</f>
        <v>3736.2</v>
      </c>
      <c r="E39" s="539"/>
    </row>
    <row r="40" spans="2:5" x14ac:dyDescent="0.2">
      <c r="B40" s="536">
        <v>57</v>
      </c>
      <c r="C40" s="539">
        <f t="shared" si="3"/>
        <v>4161</v>
      </c>
      <c r="D40" s="535">
        <f t="shared" si="4"/>
        <v>4161</v>
      </c>
      <c r="E40" s="539">
        <f>SUM(D38:D42)/5</f>
        <v>4161</v>
      </c>
    </row>
    <row r="41" spans="2:5" x14ac:dyDescent="0.2">
      <c r="B41" s="536">
        <v>58</v>
      </c>
      <c r="C41" s="539">
        <f t="shared" si="3"/>
        <v>4161</v>
      </c>
      <c r="D41" s="535">
        <f t="shared" si="4"/>
        <v>4585.8</v>
      </c>
      <c r="E41" s="539"/>
    </row>
    <row r="42" spans="2:5" x14ac:dyDescent="0.2">
      <c r="B42" s="536">
        <v>59</v>
      </c>
      <c r="C42" s="539">
        <f t="shared" si="3"/>
        <v>4161</v>
      </c>
      <c r="D42" s="535">
        <f t="shared" si="4"/>
        <v>5010.6000000000004</v>
      </c>
      <c r="E42" s="539"/>
    </row>
    <row r="43" spans="2:5" x14ac:dyDescent="0.2">
      <c r="B43" s="537">
        <v>60</v>
      </c>
      <c r="C43" s="539">
        <f>C$34</f>
        <v>6285</v>
      </c>
      <c r="D43" s="535">
        <f t="shared" si="4"/>
        <v>5435.4</v>
      </c>
      <c r="E43" s="539"/>
    </row>
    <row r="44" spans="2:5" x14ac:dyDescent="0.2">
      <c r="B44" s="537">
        <v>61</v>
      </c>
      <c r="C44" s="539">
        <f t="shared" ref="C44:C47" si="5">C$34</f>
        <v>6285</v>
      </c>
      <c r="D44" s="535">
        <f t="shared" si="4"/>
        <v>5860.2</v>
      </c>
      <c r="E44" s="539"/>
    </row>
    <row r="45" spans="2:5" x14ac:dyDescent="0.2">
      <c r="B45" s="537">
        <v>62</v>
      </c>
      <c r="C45" s="539">
        <f t="shared" si="5"/>
        <v>6285</v>
      </c>
      <c r="D45" s="535">
        <f t="shared" si="4"/>
        <v>6285</v>
      </c>
      <c r="E45" s="539">
        <f>SUM(D43:D47)/5</f>
        <v>6285</v>
      </c>
    </row>
    <row r="46" spans="2:5" x14ac:dyDescent="0.2">
      <c r="B46" s="537">
        <v>63</v>
      </c>
      <c r="C46" s="539">
        <f t="shared" si="5"/>
        <v>6285</v>
      </c>
      <c r="D46" s="535">
        <f t="shared" si="4"/>
        <v>6709.8</v>
      </c>
      <c r="E46" s="539"/>
    </row>
    <row r="47" spans="2:5" x14ac:dyDescent="0.2">
      <c r="B47" s="537">
        <v>64</v>
      </c>
      <c r="C47" s="539">
        <f t="shared" si="5"/>
        <v>6285</v>
      </c>
      <c r="D47" s="535">
        <f t="shared" si="4"/>
        <v>7134.6</v>
      </c>
      <c r="E47" s="539"/>
    </row>
  </sheetData>
  <pageMargins left="0.7" right="0.7" top="0.75" bottom="0.75" header="0.3" footer="0.3"/>
  <pageSetup paperSize="9" orientation="portrait" horizontalDpi="203" verticalDpi="203"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419BC-389B-7C46-9690-1D7568B5AE21}">
  <sheetPr>
    <tabColor theme="2"/>
  </sheetPr>
  <dimension ref="B2:E47"/>
  <sheetViews>
    <sheetView workbookViewId="0">
      <selection activeCell="M7" sqref="M7"/>
    </sheetView>
  </sheetViews>
  <sheetFormatPr baseColWidth="10" defaultColWidth="10.1640625" defaultRowHeight="16" x14ac:dyDescent="0.2"/>
  <cols>
    <col min="1" max="3" width="10.1640625" style="520"/>
    <col min="4" max="4" width="10.1640625" style="535"/>
    <col min="5" max="16384" width="10.1640625" style="520"/>
  </cols>
  <sheetData>
    <row r="2" spans="2:5" x14ac:dyDescent="0.2">
      <c r="B2" s="520" t="s">
        <v>333</v>
      </c>
    </row>
    <row r="4" spans="2:5" x14ac:dyDescent="0.2">
      <c r="B4" s="520" t="s">
        <v>334</v>
      </c>
      <c r="C4" s="520" t="s">
        <v>342</v>
      </c>
    </row>
    <row r="6" spans="2:5" x14ac:dyDescent="0.2">
      <c r="B6" s="536" t="s">
        <v>197</v>
      </c>
      <c r="C6" s="535">
        <v>622.70000000000005</v>
      </c>
    </row>
    <row r="7" spans="2:5" x14ac:dyDescent="0.2">
      <c r="B7" s="537" t="s">
        <v>198</v>
      </c>
      <c r="C7" s="535">
        <v>759.8</v>
      </c>
    </row>
    <row r="9" spans="2:5" x14ac:dyDescent="0.2">
      <c r="B9" s="538"/>
    </row>
    <row r="10" spans="2:5" x14ac:dyDescent="0.2">
      <c r="D10" s="535" t="s">
        <v>336</v>
      </c>
      <c r="E10" s="520" t="s">
        <v>337</v>
      </c>
    </row>
    <row r="11" spans="2:5" x14ac:dyDescent="0.2">
      <c r="B11" s="536">
        <v>65</v>
      </c>
      <c r="C11" s="535">
        <f>C$6</f>
        <v>622.70000000000005</v>
      </c>
      <c r="D11" s="535">
        <f>C$6+(C$7-C$6)/5*(B11-B$13)</f>
        <v>567.86000000000013</v>
      </c>
    </row>
    <row r="12" spans="2:5" x14ac:dyDescent="0.2">
      <c r="B12" s="536">
        <v>66</v>
      </c>
      <c r="C12" s="535">
        <f t="shared" ref="C12:C15" si="0">C$6</f>
        <v>622.70000000000005</v>
      </c>
      <c r="D12" s="535">
        <f t="shared" ref="D12:D20" si="1">C$6+(C$7-C$6)/5*(B12-B$13)</f>
        <v>595.28000000000009</v>
      </c>
    </row>
    <row r="13" spans="2:5" x14ac:dyDescent="0.2">
      <c r="B13" s="536">
        <v>67</v>
      </c>
      <c r="C13" s="535">
        <f t="shared" si="0"/>
        <v>622.70000000000005</v>
      </c>
      <c r="D13" s="535">
        <f t="shared" si="1"/>
        <v>622.70000000000005</v>
      </c>
      <c r="E13" s="520">
        <f>SUM(D11:D15)/5</f>
        <v>622.70000000000005</v>
      </c>
    </row>
    <row r="14" spans="2:5" x14ac:dyDescent="0.2">
      <c r="B14" s="536">
        <v>68</v>
      </c>
      <c r="C14" s="535">
        <f t="shared" si="0"/>
        <v>622.70000000000005</v>
      </c>
      <c r="D14" s="535">
        <f t="shared" si="1"/>
        <v>650.12</v>
      </c>
    </row>
    <row r="15" spans="2:5" x14ac:dyDescent="0.2">
      <c r="B15" s="536">
        <v>69</v>
      </c>
      <c r="C15" s="535">
        <f t="shared" si="0"/>
        <v>622.70000000000005</v>
      </c>
      <c r="D15" s="535">
        <f t="shared" si="1"/>
        <v>677.54</v>
      </c>
    </row>
    <row r="16" spans="2:5" x14ac:dyDescent="0.2">
      <c r="B16" s="537">
        <v>70</v>
      </c>
      <c r="C16" s="535">
        <f>C$7</f>
        <v>759.8</v>
      </c>
      <c r="D16" s="535">
        <f t="shared" si="1"/>
        <v>704.96</v>
      </c>
    </row>
    <row r="17" spans="2:5" x14ac:dyDescent="0.2">
      <c r="B17" s="537">
        <v>71</v>
      </c>
      <c r="C17" s="535">
        <f t="shared" ref="C17:C20" si="2">C$7</f>
        <v>759.8</v>
      </c>
      <c r="D17" s="535">
        <f t="shared" si="1"/>
        <v>732.38</v>
      </c>
    </row>
    <row r="18" spans="2:5" x14ac:dyDescent="0.2">
      <c r="B18" s="537">
        <v>72</v>
      </c>
      <c r="C18" s="535">
        <f t="shared" si="2"/>
        <v>759.8</v>
      </c>
      <c r="D18" s="535">
        <f t="shared" si="1"/>
        <v>759.8</v>
      </c>
      <c r="E18" s="520">
        <f>SUM(D16:D20)/5</f>
        <v>759.8</v>
      </c>
    </row>
    <row r="19" spans="2:5" x14ac:dyDescent="0.2">
      <c r="B19" s="537">
        <v>73</v>
      </c>
      <c r="C19" s="535">
        <f t="shared" si="2"/>
        <v>759.8</v>
      </c>
      <c r="D19" s="535">
        <f t="shared" si="1"/>
        <v>787.21999999999991</v>
      </c>
    </row>
    <row r="20" spans="2:5" x14ac:dyDescent="0.2">
      <c r="B20" s="537">
        <v>74</v>
      </c>
      <c r="C20" s="535">
        <f t="shared" si="2"/>
        <v>759.8</v>
      </c>
      <c r="D20" s="535">
        <f t="shared" si="1"/>
        <v>814.63999999999987</v>
      </c>
    </row>
    <row r="29" spans="2:5" x14ac:dyDescent="0.2">
      <c r="B29" s="520" t="s">
        <v>339</v>
      </c>
    </row>
    <row r="31" spans="2:5" x14ac:dyDescent="0.2">
      <c r="B31" s="520" t="s">
        <v>334</v>
      </c>
      <c r="C31" s="520" t="s">
        <v>344</v>
      </c>
    </row>
    <row r="33" spans="2:5" x14ac:dyDescent="0.2">
      <c r="B33" s="536" t="s">
        <v>197</v>
      </c>
      <c r="C33" s="539">
        <v>10567</v>
      </c>
    </row>
    <row r="34" spans="2:5" x14ac:dyDescent="0.2">
      <c r="B34" s="537" t="s">
        <v>198</v>
      </c>
      <c r="C34" s="539">
        <v>11154</v>
      </c>
    </row>
    <row r="36" spans="2:5" x14ac:dyDescent="0.2">
      <c r="B36" s="538"/>
    </row>
    <row r="37" spans="2:5" x14ac:dyDescent="0.2">
      <c r="D37" s="535" t="s">
        <v>341</v>
      </c>
      <c r="E37" s="520" t="s">
        <v>337</v>
      </c>
    </row>
    <row r="38" spans="2:5" x14ac:dyDescent="0.2">
      <c r="B38" s="536">
        <v>55</v>
      </c>
      <c r="C38" s="539">
        <f>C$33</f>
        <v>10567</v>
      </c>
      <c r="D38" s="535">
        <f>C$33+(C$34-C$33)/5*(B38-B$40)</f>
        <v>10332.200000000001</v>
      </c>
      <c r="E38" s="539"/>
    </row>
    <row r="39" spans="2:5" x14ac:dyDescent="0.2">
      <c r="B39" s="536">
        <v>56</v>
      </c>
      <c r="C39" s="539">
        <f t="shared" ref="C39:C42" si="3">C$33</f>
        <v>10567</v>
      </c>
      <c r="D39" s="535">
        <f t="shared" ref="D39:D47" si="4">C$33+(C$34-C$33)/5*(B39-B$40)</f>
        <v>10449.6</v>
      </c>
      <c r="E39" s="539"/>
    </row>
    <row r="40" spans="2:5" x14ac:dyDescent="0.2">
      <c r="B40" s="536">
        <v>57</v>
      </c>
      <c r="C40" s="539">
        <f t="shared" si="3"/>
        <v>10567</v>
      </c>
      <c r="D40" s="535">
        <f t="shared" si="4"/>
        <v>10567</v>
      </c>
      <c r="E40" s="539">
        <f>SUM(D38:D42)/5</f>
        <v>10567</v>
      </c>
    </row>
    <row r="41" spans="2:5" x14ac:dyDescent="0.2">
      <c r="B41" s="536">
        <v>58</v>
      </c>
      <c r="C41" s="539">
        <f t="shared" si="3"/>
        <v>10567</v>
      </c>
      <c r="D41" s="535">
        <f t="shared" si="4"/>
        <v>10684.4</v>
      </c>
      <c r="E41" s="539"/>
    </row>
    <row r="42" spans="2:5" x14ac:dyDescent="0.2">
      <c r="B42" s="536">
        <v>59</v>
      </c>
      <c r="C42" s="539">
        <f t="shared" si="3"/>
        <v>10567</v>
      </c>
      <c r="D42" s="535">
        <f t="shared" si="4"/>
        <v>10801.8</v>
      </c>
      <c r="E42" s="539"/>
    </row>
    <row r="43" spans="2:5" x14ac:dyDescent="0.2">
      <c r="B43" s="537">
        <v>60</v>
      </c>
      <c r="C43" s="539">
        <f>C$34</f>
        <v>11154</v>
      </c>
      <c r="D43" s="535">
        <f t="shared" si="4"/>
        <v>10919.2</v>
      </c>
      <c r="E43" s="539"/>
    </row>
    <row r="44" spans="2:5" x14ac:dyDescent="0.2">
      <c r="B44" s="537">
        <v>61</v>
      </c>
      <c r="C44" s="539">
        <f t="shared" ref="C44:C47" si="5">C$34</f>
        <v>11154</v>
      </c>
      <c r="D44" s="535">
        <f t="shared" si="4"/>
        <v>11036.6</v>
      </c>
      <c r="E44" s="539"/>
    </row>
    <row r="45" spans="2:5" x14ac:dyDescent="0.2">
      <c r="B45" s="537">
        <v>62</v>
      </c>
      <c r="C45" s="539">
        <f t="shared" si="5"/>
        <v>11154</v>
      </c>
      <c r="D45" s="535">
        <f t="shared" si="4"/>
        <v>11154</v>
      </c>
      <c r="E45" s="539">
        <f>SUM(D43:D47)/5</f>
        <v>11154</v>
      </c>
    </row>
    <row r="46" spans="2:5" x14ac:dyDescent="0.2">
      <c r="B46" s="537">
        <v>63</v>
      </c>
      <c r="C46" s="539">
        <f t="shared" si="5"/>
        <v>11154</v>
      </c>
      <c r="D46" s="535">
        <f t="shared" si="4"/>
        <v>11271.4</v>
      </c>
      <c r="E46" s="539"/>
    </row>
    <row r="47" spans="2:5" x14ac:dyDescent="0.2">
      <c r="B47" s="537">
        <v>64</v>
      </c>
      <c r="C47" s="539">
        <f t="shared" si="5"/>
        <v>11154</v>
      </c>
      <c r="D47" s="535">
        <f t="shared" si="4"/>
        <v>11388.8</v>
      </c>
      <c r="E47" s="539"/>
    </row>
  </sheetData>
  <pageMargins left="0.7" right="0.7" top="0.75" bottom="0.75" header="0.3" footer="0.3"/>
  <pageSetup paperSize="9" orientation="portrait" horizontalDpi="203" verticalDpi="203"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7CDD7-A285-014B-9625-FF83B6119E66}">
  <sheetPr>
    <tabColor theme="2"/>
  </sheetPr>
  <dimension ref="B1:AA55"/>
  <sheetViews>
    <sheetView topLeftCell="A6" workbookViewId="0">
      <selection activeCell="R37" sqref="R37"/>
    </sheetView>
  </sheetViews>
  <sheetFormatPr baseColWidth="10" defaultColWidth="10.1640625" defaultRowHeight="16" x14ac:dyDescent="0.2"/>
  <cols>
    <col min="1" max="3" width="10.1640625" style="520"/>
    <col min="4" max="4" width="10.1640625" style="535"/>
    <col min="5" max="16384" width="10.1640625" style="520"/>
  </cols>
  <sheetData>
    <row r="1" spans="2:27" x14ac:dyDescent="0.2">
      <c r="B1" s="520" t="s">
        <v>40</v>
      </c>
      <c r="O1" s="520" t="s">
        <v>41</v>
      </c>
    </row>
    <row r="2" spans="2:27" x14ac:dyDescent="0.2">
      <c r="B2" s="520" t="s">
        <v>333</v>
      </c>
      <c r="O2" s="540" t="s">
        <v>333</v>
      </c>
      <c r="P2" s="540"/>
      <c r="Q2" s="541"/>
      <c r="R2" s="540"/>
      <c r="S2" s="540"/>
      <c r="T2" s="540"/>
      <c r="U2" s="540"/>
      <c r="V2" s="540"/>
      <c r="W2" s="540"/>
      <c r="X2" s="540"/>
      <c r="Y2" s="540"/>
      <c r="Z2" s="540"/>
      <c r="AA2" s="540"/>
    </row>
    <row r="3" spans="2:27" x14ac:dyDescent="0.2">
      <c r="O3" s="540"/>
      <c r="P3" s="540"/>
      <c r="Q3" s="541"/>
      <c r="R3" s="540"/>
      <c r="S3" s="540"/>
      <c r="T3" s="540"/>
      <c r="U3" s="540"/>
      <c r="V3" s="540"/>
      <c r="W3" s="540"/>
      <c r="X3" s="540"/>
      <c r="Y3" s="540"/>
      <c r="Z3" s="540"/>
      <c r="AA3" s="540"/>
    </row>
    <row r="4" spans="2:27" x14ac:dyDescent="0.2">
      <c r="B4" s="520" t="s">
        <v>334</v>
      </c>
      <c r="C4" s="520" t="s">
        <v>342</v>
      </c>
      <c r="O4" s="540" t="s">
        <v>334</v>
      </c>
      <c r="P4" s="540" t="s">
        <v>335</v>
      </c>
      <c r="Q4" s="541"/>
      <c r="R4" s="540"/>
      <c r="S4" s="540"/>
      <c r="T4" s="540"/>
      <c r="U4" s="540"/>
      <c r="V4" s="540"/>
      <c r="W4" s="540"/>
      <c r="X4" s="540"/>
      <c r="Y4" s="540"/>
      <c r="Z4" s="540"/>
      <c r="AA4" s="540"/>
    </row>
    <row r="5" spans="2:27" x14ac:dyDescent="0.2">
      <c r="O5" s="540"/>
      <c r="P5" s="540"/>
      <c r="Q5" s="541"/>
      <c r="R5" s="540"/>
      <c r="S5" s="540"/>
      <c r="T5" s="540"/>
      <c r="U5" s="540"/>
      <c r="V5" s="540"/>
      <c r="W5" s="540"/>
      <c r="X5" s="540"/>
      <c r="Y5" s="540"/>
      <c r="Z5" s="540"/>
      <c r="AA5" s="540"/>
    </row>
    <row r="6" spans="2:27" x14ac:dyDescent="0.2">
      <c r="B6" s="536" t="s">
        <v>195</v>
      </c>
      <c r="C6" s="535">
        <v>87.7</v>
      </c>
      <c r="O6" s="542" t="s">
        <v>195</v>
      </c>
      <c r="P6" s="541">
        <v>60.6</v>
      </c>
      <c r="Q6" s="541"/>
      <c r="R6" s="540"/>
      <c r="S6" s="540"/>
      <c r="T6" s="540"/>
      <c r="U6" s="540"/>
      <c r="V6" s="540"/>
      <c r="W6" s="540"/>
      <c r="X6" s="540"/>
      <c r="Y6" s="540"/>
      <c r="Z6" s="540"/>
      <c r="AA6" s="540"/>
    </row>
    <row r="7" spans="2:27" x14ac:dyDescent="0.2">
      <c r="B7" s="537" t="s">
        <v>196</v>
      </c>
      <c r="C7" s="535">
        <v>151.4</v>
      </c>
      <c r="O7" s="543" t="s">
        <v>196</v>
      </c>
      <c r="P7" s="541">
        <v>91</v>
      </c>
      <c r="Q7" s="541"/>
      <c r="R7" s="540"/>
      <c r="S7" s="540"/>
      <c r="T7" s="540"/>
      <c r="U7" s="540"/>
      <c r="V7" s="540"/>
      <c r="W7" s="540"/>
      <c r="X7" s="540"/>
      <c r="Y7" s="540"/>
      <c r="Z7" s="540"/>
      <c r="AA7" s="540"/>
    </row>
    <row r="8" spans="2:27" x14ac:dyDescent="0.2">
      <c r="O8" s="540"/>
      <c r="P8" s="540"/>
      <c r="Q8" s="541"/>
      <c r="R8" s="540"/>
      <c r="S8" s="540"/>
      <c r="T8" s="540"/>
      <c r="U8" s="540"/>
      <c r="V8" s="540"/>
      <c r="W8" s="540"/>
      <c r="X8" s="540"/>
      <c r="Y8" s="540"/>
      <c r="Z8" s="540"/>
      <c r="AA8" s="540"/>
    </row>
    <row r="9" spans="2:27" x14ac:dyDescent="0.2">
      <c r="B9" s="538"/>
      <c r="O9" s="544"/>
      <c r="P9" s="540"/>
      <c r="Q9" s="541"/>
      <c r="R9" s="540"/>
      <c r="S9" s="540"/>
      <c r="T9" s="540"/>
      <c r="U9" s="540"/>
      <c r="V9" s="540"/>
      <c r="W9" s="540"/>
      <c r="X9" s="540"/>
      <c r="Y9" s="540"/>
      <c r="Z9" s="540"/>
      <c r="AA9" s="540"/>
    </row>
    <row r="10" spans="2:27" x14ac:dyDescent="0.2">
      <c r="D10" s="535" t="s">
        <v>336</v>
      </c>
      <c r="E10" s="520" t="s">
        <v>337</v>
      </c>
      <c r="O10" s="540"/>
      <c r="P10" s="540"/>
      <c r="Q10" s="541" t="s">
        <v>336</v>
      </c>
      <c r="R10" s="540" t="s">
        <v>337</v>
      </c>
      <c r="S10" s="540"/>
      <c r="T10" s="540"/>
      <c r="U10" s="540"/>
      <c r="V10" s="540"/>
      <c r="W10" s="540"/>
      <c r="X10" s="540"/>
      <c r="Y10" s="540"/>
      <c r="Z10" s="540"/>
      <c r="AA10" s="540"/>
    </row>
    <row r="11" spans="2:27" x14ac:dyDescent="0.2">
      <c r="B11" s="536">
        <v>55</v>
      </c>
      <c r="C11" s="535">
        <f>C$6</f>
        <v>87.7</v>
      </c>
      <c r="D11" s="535">
        <f>C$6+(C$7-C$6)/5*(B11-B$13)</f>
        <v>62.22</v>
      </c>
      <c r="O11" s="542">
        <v>55</v>
      </c>
      <c r="P11" s="541">
        <f>P$6</f>
        <v>60.6</v>
      </c>
      <c r="Q11" s="541">
        <f>P$6+(P$7-P$6)/5*(O11-O$13)</f>
        <v>48.44</v>
      </c>
      <c r="R11" s="540"/>
      <c r="S11" s="540"/>
      <c r="T11" s="540"/>
      <c r="U11" s="540"/>
      <c r="V11" s="540"/>
      <c r="W11" s="540"/>
      <c r="X11" s="540"/>
      <c r="Y11" s="540"/>
      <c r="Z11" s="540"/>
      <c r="AA11" s="540"/>
    </row>
    <row r="12" spans="2:27" x14ac:dyDescent="0.2">
      <c r="B12" s="536">
        <v>56</v>
      </c>
      <c r="C12" s="535">
        <f t="shared" ref="C12:C15" si="0">C$6</f>
        <v>87.7</v>
      </c>
      <c r="D12" s="535">
        <f t="shared" ref="D12:D20" si="1">C$6+(C$7-C$6)/5*(B12-B$13)</f>
        <v>74.960000000000008</v>
      </c>
      <c r="O12" s="542">
        <v>56</v>
      </c>
      <c r="P12" s="541">
        <f t="shared" ref="P12:P15" si="2">P$6</f>
        <v>60.6</v>
      </c>
      <c r="Q12" s="541">
        <f t="shared" ref="Q12:Q20" si="3">P$6+(P$7-P$6)/5*(O12-O$13)</f>
        <v>54.52</v>
      </c>
      <c r="R12" s="540"/>
      <c r="S12" s="540"/>
      <c r="T12" s="540"/>
      <c r="U12" s="540"/>
      <c r="V12" s="540"/>
      <c r="W12" s="540"/>
      <c r="X12" s="540"/>
      <c r="Y12" s="540"/>
      <c r="Z12" s="540"/>
      <c r="AA12" s="540"/>
    </row>
    <row r="13" spans="2:27" x14ac:dyDescent="0.2">
      <c r="B13" s="536">
        <v>57</v>
      </c>
      <c r="C13" s="535">
        <f t="shared" si="0"/>
        <v>87.7</v>
      </c>
      <c r="D13" s="535">
        <f t="shared" si="1"/>
        <v>87.7</v>
      </c>
      <c r="E13" s="520">
        <f>SUM(D11:D15)/5</f>
        <v>87.7</v>
      </c>
      <c r="O13" s="542">
        <v>57</v>
      </c>
      <c r="P13" s="541">
        <f t="shared" si="2"/>
        <v>60.6</v>
      </c>
      <c r="Q13" s="541">
        <f t="shared" si="3"/>
        <v>60.6</v>
      </c>
      <c r="R13" s="540">
        <f>SUM(Q11:Q15)/5</f>
        <v>60.6</v>
      </c>
      <c r="S13" s="540"/>
      <c r="T13" s="540"/>
      <c r="U13" s="540"/>
      <c r="V13" s="540"/>
      <c r="W13" s="540"/>
      <c r="X13" s="540"/>
      <c r="Y13" s="540"/>
      <c r="Z13" s="540"/>
      <c r="AA13" s="540"/>
    </row>
    <row r="14" spans="2:27" x14ac:dyDescent="0.2">
      <c r="B14" s="536">
        <v>58</v>
      </c>
      <c r="C14" s="535">
        <f t="shared" si="0"/>
        <v>87.7</v>
      </c>
      <c r="D14" s="535">
        <f t="shared" si="1"/>
        <v>100.44</v>
      </c>
      <c r="O14" s="542">
        <v>58</v>
      </c>
      <c r="P14" s="541">
        <f t="shared" si="2"/>
        <v>60.6</v>
      </c>
      <c r="Q14" s="541">
        <f t="shared" si="3"/>
        <v>66.680000000000007</v>
      </c>
      <c r="R14" s="540"/>
      <c r="S14" s="540"/>
      <c r="T14" s="540"/>
      <c r="U14" s="540"/>
      <c r="V14" s="540"/>
      <c r="W14" s="540"/>
      <c r="X14" s="540"/>
      <c r="Y14" s="540"/>
      <c r="Z14" s="540"/>
      <c r="AA14" s="540"/>
    </row>
    <row r="15" spans="2:27" x14ac:dyDescent="0.2">
      <c r="B15" s="536">
        <v>59</v>
      </c>
      <c r="C15" s="535">
        <f t="shared" si="0"/>
        <v>87.7</v>
      </c>
      <c r="D15" s="535">
        <f t="shared" si="1"/>
        <v>113.18</v>
      </c>
      <c r="O15" s="542">
        <v>59</v>
      </c>
      <c r="P15" s="541">
        <f t="shared" si="2"/>
        <v>60.6</v>
      </c>
      <c r="Q15" s="541">
        <f t="shared" si="3"/>
        <v>72.760000000000005</v>
      </c>
      <c r="R15" s="540"/>
      <c r="S15" s="540"/>
      <c r="T15" s="540"/>
      <c r="U15" s="540"/>
      <c r="V15" s="540"/>
      <c r="W15" s="540"/>
      <c r="X15" s="540"/>
      <c r="Y15" s="540"/>
      <c r="Z15" s="540"/>
      <c r="AA15" s="540"/>
    </row>
    <row r="16" spans="2:27" x14ac:dyDescent="0.2">
      <c r="B16" s="537">
        <v>60</v>
      </c>
      <c r="C16" s="535">
        <f>C$7</f>
        <v>151.4</v>
      </c>
      <c r="D16" s="535">
        <f t="shared" si="1"/>
        <v>125.92</v>
      </c>
      <c r="O16" s="543">
        <v>60</v>
      </c>
      <c r="P16" s="541">
        <f>P$7</f>
        <v>91</v>
      </c>
      <c r="Q16" s="541">
        <f t="shared" si="3"/>
        <v>78.84</v>
      </c>
      <c r="R16" s="540"/>
      <c r="S16" s="540"/>
      <c r="T16" s="540"/>
      <c r="U16" s="540"/>
      <c r="V16" s="540"/>
      <c r="W16" s="540"/>
      <c r="X16" s="540"/>
      <c r="Y16" s="540"/>
      <c r="Z16" s="540"/>
      <c r="AA16" s="540"/>
    </row>
    <row r="17" spans="2:27" x14ac:dyDescent="0.2">
      <c r="B17" s="537">
        <v>61</v>
      </c>
      <c r="C17" s="535">
        <f t="shared" ref="C17:C20" si="4">C$7</f>
        <v>151.4</v>
      </c>
      <c r="D17" s="535">
        <f t="shared" si="1"/>
        <v>138.66</v>
      </c>
      <c r="O17" s="543">
        <v>61</v>
      </c>
      <c r="P17" s="541">
        <f t="shared" ref="P17:P20" si="5">P$7</f>
        <v>91</v>
      </c>
      <c r="Q17" s="541">
        <f t="shared" si="3"/>
        <v>84.92</v>
      </c>
      <c r="R17" s="540"/>
      <c r="S17" s="540"/>
      <c r="T17" s="540"/>
      <c r="U17" s="540"/>
      <c r="V17" s="540"/>
      <c r="W17" s="540"/>
      <c r="X17" s="540"/>
      <c r="Y17" s="540"/>
      <c r="Z17" s="540"/>
      <c r="AA17" s="540"/>
    </row>
    <row r="18" spans="2:27" x14ac:dyDescent="0.2">
      <c r="B18" s="537">
        <v>62</v>
      </c>
      <c r="C18" s="535">
        <f t="shared" si="4"/>
        <v>151.4</v>
      </c>
      <c r="D18" s="535">
        <f t="shared" si="1"/>
        <v>151.4</v>
      </c>
      <c r="E18" s="520">
        <f>SUM(D16:D20)/5</f>
        <v>151.4</v>
      </c>
      <c r="O18" s="543">
        <v>62</v>
      </c>
      <c r="P18" s="541">
        <f t="shared" si="5"/>
        <v>91</v>
      </c>
      <c r="Q18" s="541">
        <f t="shared" si="3"/>
        <v>91</v>
      </c>
      <c r="R18" s="540">
        <f>SUM(Q16:Q20)/5</f>
        <v>91</v>
      </c>
      <c r="S18" s="540"/>
      <c r="T18" s="540"/>
      <c r="U18" s="540"/>
      <c r="V18" s="540"/>
      <c r="W18" s="540"/>
      <c r="X18" s="540"/>
      <c r="Y18" s="540"/>
      <c r="Z18" s="540"/>
      <c r="AA18" s="540"/>
    </row>
    <row r="19" spans="2:27" x14ac:dyDescent="0.2">
      <c r="B19" s="537">
        <v>63</v>
      </c>
      <c r="C19" s="535">
        <f t="shared" si="4"/>
        <v>151.4</v>
      </c>
      <c r="D19" s="535">
        <f t="shared" si="1"/>
        <v>164.14</v>
      </c>
      <c r="O19" s="543">
        <v>63</v>
      </c>
      <c r="P19" s="541">
        <f t="shared" si="5"/>
        <v>91</v>
      </c>
      <c r="Q19" s="541">
        <f t="shared" si="3"/>
        <v>97.080000000000013</v>
      </c>
      <c r="R19" s="540"/>
      <c r="S19" s="540"/>
      <c r="T19" s="540"/>
      <c r="U19" s="540"/>
      <c r="V19" s="540"/>
      <c r="W19" s="540"/>
      <c r="X19" s="540"/>
      <c r="Y19" s="540"/>
      <c r="Z19" s="540"/>
      <c r="AA19" s="540"/>
    </row>
    <row r="20" spans="2:27" x14ac:dyDescent="0.2">
      <c r="B20" s="537">
        <v>64</v>
      </c>
      <c r="C20" s="535">
        <f t="shared" si="4"/>
        <v>151.4</v>
      </c>
      <c r="D20" s="535">
        <f t="shared" si="1"/>
        <v>176.88</v>
      </c>
      <c r="O20" s="543">
        <v>64</v>
      </c>
      <c r="P20" s="541">
        <f t="shared" si="5"/>
        <v>91</v>
      </c>
      <c r="Q20" s="541">
        <f t="shared" si="3"/>
        <v>103.16</v>
      </c>
      <c r="R20" s="540"/>
      <c r="S20" s="540"/>
      <c r="T20" s="540"/>
      <c r="U20" s="540"/>
      <c r="V20" s="540"/>
      <c r="W20" s="540"/>
      <c r="X20" s="540"/>
      <c r="Y20" s="540"/>
      <c r="Z20" s="540"/>
      <c r="AA20" s="540"/>
    </row>
    <row r="21" spans="2:27" x14ac:dyDescent="0.2">
      <c r="O21" s="540"/>
      <c r="P21" s="540"/>
      <c r="Q21" s="541"/>
      <c r="R21" s="540"/>
      <c r="S21" s="540"/>
      <c r="T21" s="540"/>
      <c r="U21" s="540"/>
      <c r="V21" s="540"/>
      <c r="W21" s="540"/>
      <c r="X21" s="540"/>
      <c r="Y21" s="540"/>
      <c r="Z21" s="540"/>
      <c r="AA21" s="540"/>
    </row>
    <row r="22" spans="2:27" x14ac:dyDescent="0.2">
      <c r="O22" s="540"/>
      <c r="P22" s="540"/>
      <c r="Q22" s="541"/>
      <c r="R22" s="540"/>
      <c r="S22" s="540"/>
      <c r="T22" s="540"/>
      <c r="U22" s="540"/>
      <c r="V22" s="540"/>
      <c r="W22" s="540"/>
      <c r="X22" s="540"/>
      <c r="Y22" s="540"/>
      <c r="Z22" s="540"/>
      <c r="AA22" s="540"/>
    </row>
    <row r="23" spans="2:27" x14ac:dyDescent="0.2">
      <c r="O23" s="540"/>
      <c r="P23" s="540"/>
      <c r="Q23" s="541"/>
      <c r="R23" s="540"/>
      <c r="S23" s="540"/>
      <c r="T23" s="540"/>
      <c r="U23" s="540"/>
      <c r="V23" s="540"/>
      <c r="W23" s="540"/>
      <c r="X23" s="540"/>
      <c r="Y23" s="540"/>
      <c r="Z23" s="540"/>
      <c r="AA23" s="540"/>
    </row>
    <row r="24" spans="2:27" x14ac:dyDescent="0.2">
      <c r="O24" s="540"/>
      <c r="P24" s="540"/>
      <c r="Q24" s="541"/>
      <c r="R24" s="540"/>
      <c r="S24" s="540"/>
      <c r="T24" s="540"/>
      <c r="U24" s="540"/>
      <c r="V24" s="540"/>
      <c r="W24" s="540"/>
      <c r="X24" s="540"/>
      <c r="Y24" s="540"/>
      <c r="Z24" s="540"/>
      <c r="AA24" s="540"/>
    </row>
    <row r="25" spans="2:27" x14ac:dyDescent="0.2">
      <c r="O25" s="540"/>
      <c r="P25" s="540"/>
      <c r="Q25" s="541"/>
      <c r="R25" s="540"/>
      <c r="S25" s="540"/>
      <c r="T25" s="540"/>
      <c r="U25" s="540"/>
      <c r="V25" s="540"/>
      <c r="W25" s="540"/>
      <c r="X25" s="540"/>
      <c r="Y25" s="540"/>
      <c r="Z25" s="540"/>
      <c r="AA25" s="540"/>
    </row>
    <row r="26" spans="2:27" x14ac:dyDescent="0.2">
      <c r="O26" s="540"/>
      <c r="P26" s="540"/>
      <c r="Q26" s="541"/>
      <c r="R26" s="540"/>
      <c r="S26" s="540"/>
      <c r="T26" s="540"/>
      <c r="U26" s="540"/>
      <c r="V26" s="540"/>
      <c r="W26" s="540"/>
      <c r="X26" s="540"/>
      <c r="Y26" s="540"/>
      <c r="Z26" s="540"/>
      <c r="AA26" s="540"/>
    </row>
    <row r="27" spans="2:27" x14ac:dyDescent="0.2">
      <c r="O27" s="540"/>
      <c r="P27" s="540"/>
      <c r="Q27" s="541"/>
      <c r="R27" s="540"/>
      <c r="S27" s="540"/>
      <c r="T27" s="540"/>
      <c r="U27" s="540"/>
      <c r="V27" s="540"/>
      <c r="W27" s="540"/>
      <c r="X27" s="540"/>
      <c r="Y27" s="540"/>
      <c r="Z27" s="540"/>
      <c r="AA27" s="540"/>
    </row>
    <row r="28" spans="2:27" x14ac:dyDescent="0.2">
      <c r="O28" s="540"/>
      <c r="P28" s="540"/>
      <c r="Q28" s="541"/>
      <c r="R28" s="540"/>
      <c r="S28" s="540"/>
      <c r="T28" s="540"/>
      <c r="U28" s="540"/>
      <c r="V28" s="540"/>
      <c r="W28" s="540"/>
      <c r="X28" s="540"/>
      <c r="Y28" s="540"/>
      <c r="Z28" s="540"/>
      <c r="AA28" s="540"/>
    </row>
    <row r="29" spans="2:27" x14ac:dyDescent="0.2">
      <c r="B29" s="520" t="s">
        <v>339</v>
      </c>
      <c r="O29" s="540" t="s">
        <v>339</v>
      </c>
      <c r="P29" s="540"/>
      <c r="Q29" s="541"/>
      <c r="R29" s="540"/>
      <c r="S29" s="540"/>
      <c r="T29" s="540"/>
      <c r="U29" s="540"/>
      <c r="V29" s="540"/>
      <c r="W29" s="540"/>
      <c r="X29" s="540"/>
      <c r="Y29" s="540"/>
      <c r="Z29" s="540"/>
      <c r="AA29" s="540"/>
    </row>
    <row r="30" spans="2:27" x14ac:dyDescent="0.2">
      <c r="O30" s="540"/>
      <c r="P30" s="540"/>
      <c r="Q30" s="541"/>
      <c r="R30" s="540"/>
      <c r="S30" s="540"/>
      <c r="T30" s="540"/>
      <c r="U30" s="540"/>
      <c r="V30" s="540"/>
      <c r="W30" s="540"/>
      <c r="X30" s="540"/>
      <c r="Y30" s="540"/>
      <c r="Z30" s="540"/>
      <c r="AA30" s="540"/>
    </row>
    <row r="31" spans="2:27" x14ac:dyDescent="0.2">
      <c r="B31" s="520" t="s">
        <v>334</v>
      </c>
      <c r="C31" s="520" t="s">
        <v>345</v>
      </c>
      <c r="O31" s="540" t="s">
        <v>334</v>
      </c>
      <c r="P31" s="540" t="s">
        <v>345</v>
      </c>
      <c r="Q31" s="541"/>
      <c r="R31" s="540"/>
      <c r="S31" s="540"/>
      <c r="T31" s="540"/>
      <c r="U31" s="540"/>
      <c r="V31" s="540"/>
      <c r="W31" s="540"/>
      <c r="X31" s="540"/>
      <c r="Y31" s="540"/>
      <c r="Z31" s="540"/>
      <c r="AA31" s="540"/>
    </row>
    <row r="32" spans="2:27" x14ac:dyDescent="0.2">
      <c r="O32" s="540"/>
      <c r="P32" s="540"/>
      <c r="Q32" s="541"/>
      <c r="R32" s="540"/>
      <c r="S32" s="540"/>
      <c r="T32" s="540"/>
      <c r="U32" s="540"/>
      <c r="V32" s="540"/>
      <c r="W32" s="540"/>
      <c r="X32" s="540"/>
      <c r="Y32" s="540"/>
      <c r="Z32" s="540"/>
      <c r="AA32" s="540"/>
    </row>
    <row r="33" spans="2:27" x14ac:dyDescent="0.2">
      <c r="B33" s="536" t="s">
        <v>195</v>
      </c>
      <c r="C33" s="539">
        <v>3093</v>
      </c>
      <c r="O33" s="542" t="s">
        <v>195</v>
      </c>
      <c r="P33" s="545">
        <v>3093</v>
      </c>
      <c r="Q33" s="541"/>
      <c r="R33" s="540"/>
      <c r="S33" s="540"/>
      <c r="T33" s="540"/>
      <c r="U33" s="540"/>
      <c r="V33" s="540"/>
      <c r="W33" s="540"/>
      <c r="X33" s="540"/>
      <c r="Y33" s="540"/>
      <c r="Z33" s="540"/>
      <c r="AA33" s="540"/>
    </row>
    <row r="34" spans="2:27" x14ac:dyDescent="0.2">
      <c r="B34" s="537" t="s">
        <v>196</v>
      </c>
      <c r="C34" s="539">
        <v>4344</v>
      </c>
      <c r="O34" s="543" t="s">
        <v>196</v>
      </c>
      <c r="P34" s="545">
        <v>4344</v>
      </c>
      <c r="Q34" s="541"/>
      <c r="R34" s="540"/>
      <c r="S34" s="540"/>
      <c r="T34" s="540"/>
      <c r="U34" s="540"/>
      <c r="V34" s="540"/>
      <c r="W34" s="540"/>
      <c r="X34" s="540"/>
      <c r="Y34" s="540"/>
      <c r="Z34" s="540"/>
      <c r="AA34" s="540"/>
    </row>
    <row r="35" spans="2:27" x14ac:dyDescent="0.2">
      <c r="O35" s="540"/>
      <c r="P35" s="540"/>
      <c r="Q35" s="541"/>
      <c r="R35" s="540"/>
      <c r="S35" s="540"/>
      <c r="T35" s="540"/>
      <c r="U35" s="540"/>
      <c r="V35" s="540"/>
      <c r="W35" s="540"/>
      <c r="X35" s="540"/>
      <c r="Y35" s="540"/>
      <c r="Z35" s="540"/>
      <c r="AA35" s="540"/>
    </row>
    <row r="36" spans="2:27" x14ac:dyDescent="0.2">
      <c r="B36" s="538"/>
      <c r="O36" s="544"/>
      <c r="P36" s="540"/>
      <c r="Q36" s="541"/>
      <c r="R36" s="540"/>
      <c r="S36" s="540"/>
      <c r="T36" s="540"/>
      <c r="U36" s="540"/>
      <c r="V36" s="540"/>
      <c r="W36" s="540"/>
      <c r="X36" s="540"/>
      <c r="Y36" s="540"/>
      <c r="Z36" s="540"/>
      <c r="AA36" s="540"/>
    </row>
    <row r="37" spans="2:27" x14ac:dyDescent="0.2">
      <c r="D37" s="535" t="s">
        <v>341</v>
      </c>
      <c r="E37" s="520" t="s">
        <v>337</v>
      </c>
      <c r="O37" s="540"/>
      <c r="P37" s="540"/>
      <c r="Q37" s="541" t="s">
        <v>341</v>
      </c>
      <c r="R37" s="540" t="s">
        <v>337</v>
      </c>
      <c r="S37" s="540"/>
      <c r="T37" s="540"/>
      <c r="U37" s="540"/>
      <c r="V37" s="540"/>
      <c r="W37" s="540"/>
      <c r="X37" s="540"/>
      <c r="Y37" s="540"/>
      <c r="Z37" s="540"/>
      <c r="AA37" s="540"/>
    </row>
    <row r="38" spans="2:27" x14ac:dyDescent="0.2">
      <c r="B38" s="536">
        <v>55</v>
      </c>
      <c r="C38" s="539">
        <f>C$33</f>
        <v>3093</v>
      </c>
      <c r="D38" s="535">
        <f>C$33+(C$34-C$33)/5*(B38-B$40)</f>
        <v>2592.6</v>
      </c>
      <c r="E38" s="539"/>
      <c r="O38" s="542">
        <v>55</v>
      </c>
      <c r="P38" s="545">
        <f>P$33</f>
        <v>3093</v>
      </c>
      <c r="Q38" s="541">
        <f>P$33+(P$34-P$33)/5*(O38-O$40)</f>
        <v>2592.6</v>
      </c>
      <c r="R38" s="545"/>
      <c r="S38" s="540"/>
      <c r="T38" s="540"/>
      <c r="U38" s="540"/>
      <c r="V38" s="540"/>
      <c r="W38" s="540"/>
      <c r="X38" s="540"/>
      <c r="Y38" s="540"/>
      <c r="Z38" s="540"/>
      <c r="AA38" s="540"/>
    </row>
    <row r="39" spans="2:27" x14ac:dyDescent="0.2">
      <c r="B39" s="536">
        <v>56</v>
      </c>
      <c r="C39" s="539">
        <f t="shared" ref="C39:C42" si="6">C$33</f>
        <v>3093</v>
      </c>
      <c r="D39" s="535">
        <f t="shared" ref="D39:D47" si="7">C$33+(C$34-C$33)/5*(B39-B$40)</f>
        <v>2842.8</v>
      </c>
      <c r="E39" s="539"/>
      <c r="O39" s="542">
        <v>56</v>
      </c>
      <c r="P39" s="545">
        <f t="shared" ref="P39:P42" si="8">P$33</f>
        <v>3093</v>
      </c>
      <c r="Q39" s="541">
        <f t="shared" ref="Q39:Q47" si="9">P$33+(P$34-P$33)/5*(O39-O$40)</f>
        <v>2842.8</v>
      </c>
      <c r="R39" s="545"/>
      <c r="S39" s="540"/>
      <c r="T39" s="540"/>
      <c r="U39" s="540"/>
      <c r="V39" s="540"/>
      <c r="W39" s="540"/>
      <c r="X39" s="540"/>
      <c r="Y39" s="540"/>
      <c r="Z39" s="540"/>
      <c r="AA39" s="540"/>
    </row>
    <row r="40" spans="2:27" x14ac:dyDescent="0.2">
      <c r="B40" s="536">
        <v>57</v>
      </c>
      <c r="C40" s="539">
        <f t="shared" si="6"/>
        <v>3093</v>
      </c>
      <c r="D40" s="535">
        <f t="shared" si="7"/>
        <v>3093</v>
      </c>
      <c r="E40" s="539">
        <f>SUM(D38:D42)/5</f>
        <v>3092.9999999999995</v>
      </c>
      <c r="O40" s="542">
        <v>57</v>
      </c>
      <c r="P40" s="545">
        <f t="shared" si="8"/>
        <v>3093</v>
      </c>
      <c r="Q40" s="541">
        <f t="shared" si="9"/>
        <v>3093</v>
      </c>
      <c r="R40" s="545">
        <f>SUM(Q38:Q42)/5</f>
        <v>3092.9999999999995</v>
      </c>
      <c r="S40" s="540"/>
      <c r="T40" s="540"/>
      <c r="U40" s="540"/>
      <c r="V40" s="540"/>
      <c r="W40" s="540"/>
      <c r="X40" s="540"/>
      <c r="Y40" s="540"/>
      <c r="Z40" s="540"/>
      <c r="AA40" s="540"/>
    </row>
    <row r="41" spans="2:27" x14ac:dyDescent="0.2">
      <c r="B41" s="536">
        <v>58</v>
      </c>
      <c r="C41" s="539">
        <f t="shared" si="6"/>
        <v>3093</v>
      </c>
      <c r="D41" s="535">
        <f t="shared" si="7"/>
        <v>3343.2</v>
      </c>
      <c r="E41" s="539"/>
      <c r="O41" s="542">
        <v>58</v>
      </c>
      <c r="P41" s="545">
        <f t="shared" si="8"/>
        <v>3093</v>
      </c>
      <c r="Q41" s="541">
        <f t="shared" si="9"/>
        <v>3343.2</v>
      </c>
      <c r="R41" s="545"/>
      <c r="S41" s="540"/>
      <c r="T41" s="540"/>
      <c r="U41" s="540"/>
      <c r="V41" s="540"/>
      <c r="W41" s="540"/>
      <c r="X41" s="540"/>
      <c r="Y41" s="540"/>
      <c r="Z41" s="540"/>
      <c r="AA41" s="540"/>
    </row>
    <row r="42" spans="2:27" x14ac:dyDescent="0.2">
      <c r="B42" s="536">
        <v>59</v>
      </c>
      <c r="C42" s="539">
        <f t="shared" si="6"/>
        <v>3093</v>
      </c>
      <c r="D42" s="535">
        <f t="shared" si="7"/>
        <v>3593.4</v>
      </c>
      <c r="E42" s="539"/>
      <c r="O42" s="542">
        <v>59</v>
      </c>
      <c r="P42" s="545">
        <f t="shared" si="8"/>
        <v>3093</v>
      </c>
      <c r="Q42" s="541">
        <f t="shared" si="9"/>
        <v>3593.4</v>
      </c>
      <c r="R42" s="545"/>
      <c r="S42" s="540"/>
      <c r="T42" s="540"/>
      <c r="U42" s="540"/>
      <c r="V42" s="540"/>
      <c r="W42" s="540"/>
      <c r="X42" s="540"/>
      <c r="Y42" s="540"/>
      <c r="Z42" s="540"/>
      <c r="AA42" s="540"/>
    </row>
    <row r="43" spans="2:27" x14ac:dyDescent="0.2">
      <c r="B43" s="537">
        <v>60</v>
      </c>
      <c r="C43" s="539">
        <f>C$34</f>
        <v>4344</v>
      </c>
      <c r="D43" s="535">
        <f t="shared" si="7"/>
        <v>3843.6</v>
      </c>
      <c r="E43" s="539"/>
      <c r="O43" s="543">
        <v>60</v>
      </c>
      <c r="P43" s="545">
        <f>P$34</f>
        <v>4344</v>
      </c>
      <c r="Q43" s="541">
        <f t="shared" si="9"/>
        <v>3843.6</v>
      </c>
      <c r="R43" s="545"/>
      <c r="S43" s="540"/>
      <c r="T43" s="540"/>
      <c r="U43" s="540"/>
      <c r="V43" s="540"/>
      <c r="W43" s="540"/>
      <c r="X43" s="540"/>
      <c r="Y43" s="540"/>
      <c r="Z43" s="540"/>
      <c r="AA43" s="540"/>
    </row>
    <row r="44" spans="2:27" x14ac:dyDescent="0.2">
      <c r="B44" s="537">
        <v>61</v>
      </c>
      <c r="C44" s="539">
        <f t="shared" ref="C44:C47" si="10">C$34</f>
        <v>4344</v>
      </c>
      <c r="D44" s="535">
        <f t="shared" si="7"/>
        <v>4093.8</v>
      </c>
      <c r="E44" s="539"/>
      <c r="O44" s="543">
        <v>61</v>
      </c>
      <c r="P44" s="545">
        <f t="shared" ref="P44:P47" si="11">P$34</f>
        <v>4344</v>
      </c>
      <c r="Q44" s="541">
        <f t="shared" si="9"/>
        <v>4093.8</v>
      </c>
      <c r="R44" s="545"/>
      <c r="S44" s="540"/>
      <c r="T44" s="540"/>
      <c r="U44" s="540"/>
      <c r="V44" s="540"/>
      <c r="W44" s="540"/>
      <c r="X44" s="540"/>
      <c r="Y44" s="540"/>
      <c r="Z44" s="540"/>
      <c r="AA44" s="540"/>
    </row>
    <row r="45" spans="2:27" x14ac:dyDescent="0.2">
      <c r="B45" s="537">
        <v>62</v>
      </c>
      <c r="C45" s="539">
        <f t="shared" si="10"/>
        <v>4344</v>
      </c>
      <c r="D45" s="535">
        <f t="shared" si="7"/>
        <v>4344</v>
      </c>
      <c r="E45" s="539">
        <f>SUM(D43:D47)/5</f>
        <v>4344</v>
      </c>
      <c r="O45" s="543">
        <v>62</v>
      </c>
      <c r="P45" s="545">
        <f t="shared" si="11"/>
        <v>4344</v>
      </c>
      <c r="Q45" s="541">
        <f t="shared" si="9"/>
        <v>4344</v>
      </c>
      <c r="R45" s="545">
        <f>SUM(Q43:Q47)/5</f>
        <v>4344</v>
      </c>
      <c r="S45" s="540"/>
      <c r="T45" s="540"/>
      <c r="U45" s="540"/>
      <c r="V45" s="540"/>
      <c r="W45" s="540"/>
      <c r="X45" s="540"/>
      <c r="Y45" s="540"/>
      <c r="Z45" s="540"/>
      <c r="AA45" s="540"/>
    </row>
    <row r="46" spans="2:27" x14ac:dyDescent="0.2">
      <c r="B46" s="537">
        <v>63</v>
      </c>
      <c r="C46" s="539">
        <f t="shared" si="10"/>
        <v>4344</v>
      </c>
      <c r="D46" s="535">
        <f t="shared" si="7"/>
        <v>4594.2</v>
      </c>
      <c r="E46" s="539"/>
      <c r="O46" s="543">
        <v>63</v>
      </c>
      <c r="P46" s="545">
        <f t="shared" si="11"/>
        <v>4344</v>
      </c>
      <c r="Q46" s="541">
        <f t="shared" si="9"/>
        <v>4594.2</v>
      </c>
      <c r="R46" s="545"/>
      <c r="S46" s="540"/>
      <c r="T46" s="540"/>
      <c r="U46" s="540"/>
      <c r="V46" s="540"/>
      <c r="W46" s="540"/>
      <c r="X46" s="540"/>
      <c r="Y46" s="540"/>
      <c r="Z46" s="540"/>
      <c r="AA46" s="540"/>
    </row>
    <row r="47" spans="2:27" x14ac:dyDescent="0.2">
      <c r="B47" s="537">
        <v>64</v>
      </c>
      <c r="C47" s="539">
        <f t="shared" si="10"/>
        <v>4344</v>
      </c>
      <c r="D47" s="535">
        <f t="shared" si="7"/>
        <v>4844.3999999999996</v>
      </c>
      <c r="E47" s="539"/>
      <c r="O47" s="543">
        <v>64</v>
      </c>
      <c r="P47" s="545">
        <f t="shared" si="11"/>
        <v>4344</v>
      </c>
      <c r="Q47" s="541">
        <f t="shared" si="9"/>
        <v>4844.3999999999996</v>
      </c>
      <c r="R47" s="545"/>
      <c r="S47" s="540"/>
      <c r="T47" s="540"/>
      <c r="U47" s="540"/>
      <c r="V47" s="540"/>
      <c r="W47" s="540"/>
      <c r="X47" s="540"/>
      <c r="Y47" s="540"/>
      <c r="Z47" s="540"/>
      <c r="AA47" s="540"/>
    </row>
    <row r="48" spans="2:27" x14ac:dyDescent="0.2">
      <c r="O48" s="540"/>
      <c r="P48" s="540"/>
      <c r="Q48" s="541"/>
      <c r="R48" s="540"/>
      <c r="S48" s="540"/>
      <c r="T48" s="540"/>
      <c r="U48" s="540"/>
      <c r="V48" s="540"/>
      <c r="W48" s="540"/>
      <c r="X48" s="540"/>
      <c r="Y48" s="540"/>
      <c r="Z48" s="540"/>
      <c r="AA48" s="540"/>
    </row>
    <row r="49" spans="15:27" x14ac:dyDescent="0.2">
      <c r="O49" s="540"/>
      <c r="P49" s="540"/>
      <c r="Q49" s="541"/>
      <c r="R49" s="540"/>
      <c r="S49" s="540"/>
      <c r="T49" s="540"/>
      <c r="U49" s="540"/>
      <c r="V49" s="540"/>
      <c r="W49" s="540"/>
      <c r="X49" s="540"/>
      <c r="Y49" s="540"/>
      <c r="Z49" s="540"/>
      <c r="AA49" s="540"/>
    </row>
    <row r="50" spans="15:27" x14ac:dyDescent="0.2">
      <c r="O50" s="540"/>
      <c r="P50" s="540"/>
      <c r="Q50" s="541"/>
      <c r="R50" s="540"/>
      <c r="S50" s="540"/>
      <c r="T50" s="540"/>
      <c r="U50" s="540"/>
      <c r="V50" s="540"/>
      <c r="W50" s="540"/>
      <c r="X50" s="540"/>
      <c r="Y50" s="540"/>
      <c r="Z50" s="540"/>
      <c r="AA50" s="540"/>
    </row>
    <row r="51" spans="15:27" x14ac:dyDescent="0.2">
      <c r="O51" s="540"/>
      <c r="P51" s="540"/>
      <c r="Q51" s="541"/>
      <c r="R51" s="540"/>
      <c r="S51" s="540"/>
      <c r="T51" s="540"/>
      <c r="U51" s="540"/>
      <c r="V51" s="540"/>
      <c r="W51" s="540"/>
      <c r="X51" s="540"/>
      <c r="Y51" s="540"/>
      <c r="Z51" s="540"/>
      <c r="AA51" s="540"/>
    </row>
    <row r="52" spans="15:27" x14ac:dyDescent="0.2">
      <c r="O52" s="540"/>
      <c r="P52" s="540"/>
      <c r="Q52" s="541"/>
      <c r="R52" s="540"/>
      <c r="S52" s="540"/>
      <c r="T52" s="540"/>
      <c r="U52" s="540"/>
      <c r="V52" s="540"/>
      <c r="W52" s="540"/>
      <c r="X52" s="540"/>
      <c r="Y52" s="540"/>
      <c r="Z52" s="540"/>
      <c r="AA52" s="540"/>
    </row>
    <row r="53" spans="15:27" x14ac:dyDescent="0.2">
      <c r="O53" s="540"/>
      <c r="P53" s="540"/>
      <c r="Q53" s="541"/>
      <c r="R53" s="540"/>
      <c r="S53" s="540"/>
      <c r="T53" s="540"/>
      <c r="U53" s="540"/>
      <c r="V53" s="540"/>
      <c r="W53" s="540"/>
      <c r="X53" s="540"/>
      <c r="Y53" s="540"/>
      <c r="Z53" s="540"/>
      <c r="AA53" s="540"/>
    </row>
    <row r="54" spans="15:27" x14ac:dyDescent="0.2">
      <c r="O54" s="540"/>
      <c r="P54" s="540"/>
      <c r="Q54" s="541"/>
      <c r="R54" s="540"/>
      <c r="S54" s="540"/>
      <c r="T54" s="540"/>
      <c r="U54" s="540"/>
      <c r="V54" s="540"/>
      <c r="W54" s="540"/>
      <c r="X54" s="540"/>
      <c r="Y54" s="540"/>
      <c r="Z54" s="540"/>
      <c r="AA54" s="540"/>
    </row>
    <row r="55" spans="15:27" x14ac:dyDescent="0.2">
      <c r="O55"/>
      <c r="P55"/>
      <c r="Q55" s="459"/>
      <c r="R55"/>
      <c r="S55"/>
      <c r="T55"/>
      <c r="U55"/>
      <c r="V55"/>
      <c r="W55"/>
      <c r="X55"/>
      <c r="Y55"/>
      <c r="Z55"/>
      <c r="AA55"/>
    </row>
  </sheetData>
  <pageMargins left="0.7" right="0.7" top="0.75" bottom="0.75" header="0.3" footer="0.3"/>
  <pageSetup paperSize="9" orientation="portrait" horizontalDpi="203" verticalDpi="20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9A056-261E-CC45-B094-C6383665B1CB}">
  <dimension ref="B1:Q33"/>
  <sheetViews>
    <sheetView zoomScale="90" zoomScaleNormal="90" workbookViewId="0">
      <selection activeCell="H5" sqref="H5"/>
    </sheetView>
  </sheetViews>
  <sheetFormatPr baseColWidth="10" defaultColWidth="11.1640625" defaultRowHeight="13" x14ac:dyDescent="0.15"/>
  <cols>
    <col min="1" max="1" width="3.83203125" style="546" customWidth="1"/>
    <col min="2" max="2" width="11.83203125" style="546" customWidth="1"/>
    <col min="3" max="3" width="16" style="546" customWidth="1"/>
    <col min="4" max="4" width="48.6640625" style="546" hidden="1" customWidth="1"/>
    <col min="5" max="5" width="11.83203125" style="546" customWidth="1"/>
    <col min="6" max="6" width="11.1640625" style="546"/>
    <col min="7" max="7" width="11.1640625" style="577" hidden="1" customWidth="1"/>
    <col min="8" max="8" width="7.83203125" style="577" customWidth="1"/>
    <col min="9" max="17" width="7.83203125" style="546" customWidth="1"/>
    <col min="18" max="16384" width="11.1640625" style="546"/>
  </cols>
  <sheetData>
    <row r="1" spans="2:17" ht="14" thickBot="1" x14ac:dyDescent="0.2"/>
    <row r="2" spans="2:17" ht="30" customHeight="1" thickBot="1" x14ac:dyDescent="0.2">
      <c r="B2" s="1054" t="s">
        <v>1</v>
      </c>
      <c r="C2" s="1055"/>
      <c r="D2" s="1055"/>
      <c r="E2" s="1055"/>
      <c r="F2" s="1055"/>
      <c r="G2" s="1056"/>
      <c r="H2" s="1061" t="s">
        <v>2</v>
      </c>
      <c r="I2" s="1061"/>
      <c r="J2" s="1061"/>
      <c r="K2" s="1061"/>
      <c r="L2" s="1062"/>
      <c r="M2" s="1040" t="s">
        <v>319</v>
      </c>
      <c r="N2" s="1041"/>
      <c r="O2" s="1041"/>
      <c r="P2" s="1041"/>
      <c r="Q2" s="1042"/>
    </row>
    <row r="3" spans="2:17" ht="16" customHeight="1" x14ac:dyDescent="0.15">
      <c r="B3" s="1057" t="s">
        <v>3</v>
      </c>
      <c r="C3" s="1058"/>
      <c r="D3" s="1046" t="s">
        <v>4</v>
      </c>
      <c r="E3" s="1052" t="s">
        <v>378</v>
      </c>
      <c r="F3" s="1050" t="s">
        <v>5</v>
      </c>
      <c r="G3" s="1048" t="s">
        <v>6</v>
      </c>
      <c r="H3" s="578" t="s">
        <v>118</v>
      </c>
      <c r="I3" s="579" t="s">
        <v>7</v>
      </c>
      <c r="J3" s="580" t="s">
        <v>7</v>
      </c>
      <c r="K3" s="580" t="s">
        <v>7</v>
      </c>
      <c r="L3" s="581" t="s">
        <v>7</v>
      </c>
      <c r="M3" s="582"/>
      <c r="N3" s="583"/>
      <c r="O3" s="583"/>
      <c r="P3" s="583"/>
      <c r="Q3" s="584"/>
    </row>
    <row r="4" spans="2:17" ht="16" customHeight="1" thickBot="1" x14ac:dyDescent="0.2">
      <c r="B4" s="1059"/>
      <c r="C4" s="1060"/>
      <c r="D4" s="1047"/>
      <c r="E4" s="1053"/>
      <c r="F4" s="1051"/>
      <c r="G4" s="1049"/>
      <c r="H4" s="585">
        <v>0.5</v>
      </c>
      <c r="I4" s="586">
        <v>0.2</v>
      </c>
      <c r="J4" s="587">
        <v>0.1</v>
      </c>
      <c r="K4" s="587">
        <v>0.05</v>
      </c>
      <c r="L4" s="588">
        <v>0.01</v>
      </c>
      <c r="M4" s="589">
        <v>0.5</v>
      </c>
      <c r="N4" s="590">
        <v>0.2</v>
      </c>
      <c r="O4" s="591">
        <v>0.1</v>
      </c>
      <c r="P4" s="591">
        <v>0.05</v>
      </c>
      <c r="Q4" s="592">
        <v>0.01</v>
      </c>
    </row>
    <row r="5" spans="2:17" ht="16" customHeight="1" x14ac:dyDescent="0.15">
      <c r="B5" s="1043" t="s">
        <v>287</v>
      </c>
      <c r="C5" s="593" t="s">
        <v>8</v>
      </c>
      <c r="D5" s="594" t="s">
        <v>9</v>
      </c>
      <c r="E5" s="594">
        <v>286144</v>
      </c>
      <c r="F5" s="595">
        <v>0.64300000000000002</v>
      </c>
      <c r="G5" s="596">
        <f xml:space="preserve"> ( _xlfn.NORM.DIST(SQRT(2)*_xlfn.NORM.S.INV(F5)/2,SQRT(2)*_xlfn.NORM.S.INV(F5)*SQRT(2)*_xlfn.NORM.S.INV(F5),SQRT(2)*_xlfn.NORM.S.INV(F5),0) * _xlfn.NORM.DIST(-1*SQRT(2)*_xlfn.NORM.S.INV(F5)/2,0,SQRT(2)*_xlfn.NORM.S.INV(F5),0) ) / ( _xlfn.NORM.DIST(SQRT(2)*_xlfn.NORM.S.INV(F5)/2,0,SQRT(2)*_xlfn.NORM.S.INV(F5),0) * _xlfn.NORM.DIST(-1*SQRT(2)*_xlfn.NORM.S.INV(F5)/2,SQRT(2)*_xlfn.NORM.S.INV(F5)*SQRT(2)*_xlfn.NORM.S.INV(F5),SQRT(2)*_xlfn.NORM.S.INV(F5),0) )</f>
        <v>1.6791607749484558</v>
      </c>
      <c r="H5" s="597">
        <f t="shared" ref="H5:H28" si="0">(((1-_xlfn.NORM.S.DIST((_xlfn.NORM.S.INV(1-$H$4))-SQRT(2)*_xlfn.NORM.S.INV(F5),1))-(1-_xlfn.NORM.S.DIST((_xlfn.NORM.S.INV(0.99999999999))-SQRT(2)*_xlfn.NORM.S.INV(F5),1)))/$H$4)/((1-_xlfn.NORM.S.DIST((_xlfn.NORM.S.INV(0.4))-SQRT(2)*_xlfn.NORM.S.INV(F5),1)-(1-_xlfn.NORM.S.DIST((_xlfn.NORM.S.INV(0.6))-SQRT(2)*_xlfn.NORM.S.INV(F5),1)))/0.2)</f>
        <v>1.5918495680177314</v>
      </c>
      <c r="I5" s="597">
        <f t="shared" ref="I5:I28" si="1">(((1-_xlfn.NORM.S.DIST((_xlfn.NORM.S.INV(1-$I$4))-SQRT(2)*_xlfn.NORM.S.INV(F5),1))-(1-_xlfn.NORM.S.DIST((_xlfn.NORM.S.INV(0.99999999999))-SQRT(2)*_xlfn.NORM.S.INV(F5),1)))/$I$4)/((1-_xlfn.NORM.S.DIST((_xlfn.NORM.S.INV(0.4))-SQRT(2)*_xlfn.NORM.S.INV(F5),1)-(1-_xlfn.NORM.S.DIST((_xlfn.NORM.S.INV(0.6))-SQRT(2)*_xlfn.NORM.S.INV(F5),1)))/0.2)</f>
        <v>2.1283087747637079</v>
      </c>
      <c r="J5" s="598">
        <f t="shared" ref="J5:J28" si="2">(((1-_xlfn.NORM.S.DIST((_xlfn.NORM.S.INV(1-$J$4))-SQRT(2)*_xlfn.NORM.S.INV(F5),1))-(1-_xlfn.NORM.S.DIST((_xlfn.NORM.S.INV(0.99999999999))-SQRT(2)*_xlfn.NORM.S.INV(F5),1)))/$J$4)/((1-_xlfn.NORM.S.DIST((_xlfn.NORM.S.INV(0.4))-SQRT(2)*_xlfn.NORM.S.INV(F5),1)-(1-_xlfn.NORM.S.DIST((_xlfn.NORM.S.INV(0.6))-SQRT(2)*_xlfn.NORM.S.INV(F5),1)))/0.2)</f>
        <v>2.5393799017323331</v>
      </c>
      <c r="K5" s="598">
        <f t="shared" ref="K5:K28" si="3">(((1-_xlfn.NORM.S.DIST((_xlfn.NORM.S.INV(1-$K$4))-SQRT(2)*_xlfn.NORM.S.INV(F5),1))-(1-_xlfn.NORM.S.DIST((_xlfn.NORM.S.INV(0.99999999999))-SQRT(2)*_xlfn.NORM.S.INV(F5),1)))/$K$4)/((1-_xlfn.NORM.S.DIST((_xlfn.NORM.S.INV(0.4))-SQRT(2)*_xlfn.NORM.S.INV(F5),1)-(1-_xlfn.NORM.S.DIST((_xlfn.NORM.S.INV(0.6))-SQRT(2)*_xlfn.NORM.S.INV(F5),1)))/0.2)</f>
        <v>2.9644879952812646</v>
      </c>
      <c r="L5" s="599">
        <f t="shared" ref="L5:L28" si="4">(((1-_xlfn.NORM.S.DIST((_xlfn.NORM.S.INV(1-$L$4))-SQRT(2)*_xlfn.NORM.S.INV(F5),1))-(1-_xlfn.NORM.S.DIST((_xlfn.NORM.S.INV(0.99999999999))-SQRT(2)*_xlfn.NORM.S.INV(F5),1)))/$L$4)/((1-_xlfn.NORM.S.DIST((_xlfn.NORM.S.INV(0.4))-SQRT(2)*_xlfn.NORM.S.INV(F5),1)-(1-_xlfn.NORM.S.DIST((_xlfn.NORM.S.INV(0.6))-SQRT(2)*_xlfn.NORM.S.INV(F5),1)))/0.2)</f>
        <v>4.0258591785454421</v>
      </c>
      <c r="M5" s="600">
        <f>_xlfn.NORM.S.DIST((_xlfn.NORM.S.INV(M$4)+(_xlfn.NORM.S.INV($F5))*SQRT(2)),TRUE)</f>
        <v>0.69787346603125922</v>
      </c>
      <c r="N5" s="601">
        <f>_xlfn.NORM.S.DIST((_xlfn.NORM.S.INV(N$4)+(_xlfn.NORM.S.INV($F5))*SQRT(2)),TRUE)</f>
        <v>0.37322376481683783</v>
      </c>
      <c r="O5" s="602">
        <f>_xlfn.NORM.S.DIST((_xlfn.NORM.S.INV(O$4)+(_xlfn.NORM.S.INV($F5))*SQRT(2)),TRUE)</f>
        <v>0.22265494062393568</v>
      </c>
      <c r="P5" s="602">
        <f>_xlfn.NORM.S.DIST((_xlfn.NORM.S.INV(P$4)+(_xlfn.NORM.S.INV($F5))*SQRT(2)),TRUE)</f>
        <v>0.12996438594411985</v>
      </c>
      <c r="Q5" s="603">
        <f>_xlfn.NORM.S.DIST((_xlfn.NORM.S.INV(Q$4)+(_xlfn.NORM.S.INV($F5))*SQRT(2)),TRUE)</f>
        <v>3.5299068180741848E-2</v>
      </c>
    </row>
    <row r="6" spans="2:17" ht="16" customHeight="1" x14ac:dyDescent="0.15">
      <c r="B6" s="1044"/>
      <c r="C6" s="552" t="s">
        <v>10</v>
      </c>
      <c r="D6" s="553" t="s">
        <v>9</v>
      </c>
      <c r="E6" s="553">
        <v>178259</v>
      </c>
      <c r="F6" s="604">
        <v>0.69899999999999995</v>
      </c>
      <c r="G6" s="605">
        <f t="shared" ref="G6:G12" si="5" xml:space="preserve"> ( _xlfn.NORM.DIST(SQRT(2)*_xlfn.NORM.S.INV(F6)/2,SQRT(2)*_xlfn.NORM.S.INV(F6)*SQRT(2)*_xlfn.NORM.S.INV(F6),SQRT(2)*_xlfn.NORM.S.INV(F6),0) * _xlfn.NORM.DIST(-1*SQRT(2)*_xlfn.NORM.S.INV(F6)/2,0,SQRT(2)*_xlfn.NORM.S.INV(F6),0) ) / ( _xlfn.NORM.DIST(SQRT(2)*_xlfn.NORM.S.INV(F6)/2,0,SQRT(2)*_xlfn.NORM.S.INV(F6),0) * _xlfn.NORM.DIST(-1*SQRT(2)*_xlfn.NORM.S.INV(F6)/2,SQRT(2)*_xlfn.NORM.S.INV(F6)*SQRT(2)*_xlfn.NORM.S.INV(F6),SQRT(2)*_xlfn.NORM.S.INV(F6),0) )</f>
        <v>2.0908066553652671</v>
      </c>
      <c r="H6" s="606">
        <f t="shared" si="0"/>
        <v>2.0087198196469687</v>
      </c>
      <c r="I6" s="577">
        <f t="shared" si="1"/>
        <v>2.9921521385035024</v>
      </c>
      <c r="J6" s="607">
        <f t="shared" si="2"/>
        <v>3.8266150420731035</v>
      </c>
      <c r="K6" s="607">
        <f t="shared" si="3"/>
        <v>4.7535271894260847</v>
      </c>
      <c r="L6" s="608">
        <f t="shared" si="4"/>
        <v>7.315093092548496</v>
      </c>
      <c r="M6" s="609">
        <f t="shared" ref="M6:N28" si="6">_xlfn.NORM.S.DIST((_xlfn.NORM.S.INV(M$4)+(_xlfn.NORM.S.INV($F6))*SQRT(2)),TRUE)</f>
        <v>0.76960601073499069</v>
      </c>
      <c r="N6" s="610">
        <f t="shared" si="6"/>
        <v>0.45855639014124022</v>
      </c>
      <c r="O6" s="611">
        <f t="shared" ref="O6:O28" si="7">_xlfn.NORM.S.DIST((_xlfn.NORM.S.INV($O$4)+(_xlfn.NORM.S.INV(F6))*SQRT(2)),TRUE)</f>
        <v>0.29322018091207069</v>
      </c>
      <c r="P6" s="611">
        <f t="shared" ref="P6:P28" si="8">_xlfn.NORM.S.DIST((_xlfn.NORM.S.INV($P$4)+(_xlfn.NORM.S.INV(F6))*SQRT(2)),TRUE)</f>
        <v>0.18212311541677878</v>
      </c>
      <c r="Q6" s="612">
        <f t="shared" ref="Q6:Q28" si="9">_xlfn.NORM.S.DIST((_xlfn.NORM.S.INV(Q$4)+(_xlfn.NORM.S.INV($F6))*SQRT(2)),TRUE)</f>
        <v>5.6053011172116328E-2</v>
      </c>
    </row>
    <row r="7" spans="2:17" ht="16" customHeight="1" x14ac:dyDescent="0.15">
      <c r="B7" s="1044"/>
      <c r="C7" s="552" t="s">
        <v>11</v>
      </c>
      <c r="D7" s="553" t="s">
        <v>9</v>
      </c>
      <c r="E7" s="553">
        <v>87</v>
      </c>
      <c r="F7" s="604">
        <v>0.61699999999999999</v>
      </c>
      <c r="G7" s="605">
        <f t="shared" si="5"/>
        <v>1.5233100887440099</v>
      </c>
      <c r="H7" s="606">
        <f t="shared" si="0"/>
        <v>1.446262809833913</v>
      </c>
      <c r="I7" s="577">
        <f t="shared" si="1"/>
        <v>1.8374576657425623</v>
      </c>
      <c r="J7" s="607">
        <f t="shared" si="2"/>
        <v>2.1234468692832666</v>
      </c>
      <c r="K7" s="607">
        <f t="shared" si="3"/>
        <v>2.409755400192235</v>
      </c>
      <c r="L7" s="608">
        <f t="shared" si="4"/>
        <v>3.0928379292064743</v>
      </c>
      <c r="M7" s="609">
        <f t="shared" si="6"/>
        <v>0.6630807104265144</v>
      </c>
      <c r="N7" s="610">
        <f t="shared" si="6"/>
        <v>0.3369740897397141</v>
      </c>
      <c r="O7" s="611">
        <f t="shared" si="7"/>
        <v>0.19471103728866224</v>
      </c>
      <c r="P7" s="611">
        <f t="shared" si="8"/>
        <v>0.11048215537472969</v>
      </c>
      <c r="Q7" s="612">
        <f t="shared" si="9"/>
        <v>2.8360007167782163E-2</v>
      </c>
    </row>
    <row r="8" spans="2:17" ht="16" customHeight="1" x14ac:dyDescent="0.15">
      <c r="B8" s="1044"/>
      <c r="C8" s="552" t="s">
        <v>12</v>
      </c>
      <c r="D8" s="553" t="s">
        <v>9</v>
      </c>
      <c r="E8" s="553">
        <v>10</v>
      </c>
      <c r="F8" s="604">
        <v>0.57899999999999996</v>
      </c>
      <c r="G8" s="605">
        <f t="shared" si="5"/>
        <v>1.3256508289533822</v>
      </c>
      <c r="H8" s="606">
        <f t="shared" si="0"/>
        <v>1.270444228655665</v>
      </c>
      <c r="I8" s="577">
        <f t="shared" si="1"/>
        <v>1.4962554006292659</v>
      </c>
      <c r="J8" s="607">
        <f t="shared" si="2"/>
        <v>1.6503580486964284</v>
      </c>
      <c r="K8" s="607">
        <f t="shared" si="3"/>
        <v>1.7975508341998798</v>
      </c>
      <c r="L8" s="608">
        <f t="shared" si="4"/>
        <v>2.1266038483638585</v>
      </c>
      <c r="M8" s="609">
        <f t="shared" si="6"/>
        <v>0.61099125883317629</v>
      </c>
      <c r="N8" s="610">
        <f t="shared" si="6"/>
        <v>0.2878360026382859</v>
      </c>
      <c r="O8" s="611">
        <f t="shared" si="7"/>
        <v>0.15874043413575301</v>
      </c>
      <c r="P8" s="611">
        <f t="shared" si="8"/>
        <v>8.6449119367474403E-2</v>
      </c>
      <c r="Q8" s="612">
        <f t="shared" si="9"/>
        <v>2.0454835200405749E-2</v>
      </c>
    </row>
    <row r="9" spans="2:17" ht="16" customHeight="1" x14ac:dyDescent="0.15">
      <c r="B9" s="1044"/>
      <c r="C9" s="552" t="s">
        <v>13</v>
      </c>
      <c r="D9" s="553" t="s">
        <v>9</v>
      </c>
      <c r="E9" s="553">
        <v>12</v>
      </c>
      <c r="F9" s="604">
        <v>0.55800000000000005</v>
      </c>
      <c r="G9" s="605">
        <f t="shared" si="5"/>
        <v>1.2291641097184303</v>
      </c>
      <c r="H9" s="606">
        <f t="shared" si="0"/>
        <v>1.1879659556849929</v>
      </c>
      <c r="I9" s="577">
        <f t="shared" si="1"/>
        <v>1.3407493971269124</v>
      </c>
      <c r="J9" s="607">
        <f t="shared" si="2"/>
        <v>1.4411028040940308</v>
      </c>
      <c r="K9" s="607">
        <f t="shared" si="3"/>
        <v>1.5345091023692197</v>
      </c>
      <c r="L9" s="608">
        <f t="shared" si="4"/>
        <v>1.7360422099368318</v>
      </c>
      <c r="M9" s="609">
        <f t="shared" si="6"/>
        <v>0.58173512690251183</v>
      </c>
      <c r="N9" s="610">
        <f t="shared" si="6"/>
        <v>0.26262066417481489</v>
      </c>
      <c r="O9" s="611">
        <f t="shared" si="7"/>
        <v>0.14113874539727098</v>
      </c>
      <c r="P9" s="611">
        <f t="shared" si="8"/>
        <v>7.5143386352465744E-2</v>
      </c>
      <c r="Q9" s="612">
        <f t="shared" si="9"/>
        <v>1.7002452516308011E-2</v>
      </c>
    </row>
    <row r="10" spans="2:17" ht="16" customHeight="1" x14ac:dyDescent="0.15">
      <c r="B10" s="1044"/>
      <c r="C10" s="552" t="s">
        <v>14</v>
      </c>
      <c r="D10" s="553" t="s">
        <v>9</v>
      </c>
      <c r="E10" s="553">
        <v>12</v>
      </c>
      <c r="F10" s="604">
        <v>0.51700000000000002</v>
      </c>
      <c r="G10" s="605">
        <f t="shared" si="5"/>
        <v>1.0621356874951413</v>
      </c>
      <c r="H10" s="606">
        <f t="shared" si="0"/>
        <v>1.0499342507128326</v>
      </c>
      <c r="I10" s="577">
        <f t="shared" si="1"/>
        <v>1.0884409944548896</v>
      </c>
      <c r="J10" s="607">
        <f t="shared" si="2"/>
        <v>1.111894894317619</v>
      </c>
      <c r="K10" s="607">
        <f t="shared" si="3"/>
        <v>1.1326487420759006</v>
      </c>
      <c r="L10" s="608">
        <f t="shared" si="4"/>
        <v>1.1744533260995353</v>
      </c>
      <c r="M10" s="609">
        <f t="shared" si="6"/>
        <v>0.52403435393825171</v>
      </c>
      <c r="N10" s="610">
        <f t="shared" si="6"/>
        <v>0.21730140643188042</v>
      </c>
      <c r="O10" s="611">
        <f t="shared" si="7"/>
        <v>0.11099192587684384</v>
      </c>
      <c r="P10" s="611">
        <f t="shared" si="8"/>
        <v>5.6531811542583098E-2</v>
      </c>
      <c r="Q10" s="612">
        <f t="shared" si="9"/>
        <v>1.172366536913208E-2</v>
      </c>
    </row>
    <row r="11" spans="2:17" ht="16" customHeight="1" x14ac:dyDescent="0.15">
      <c r="B11" s="1044"/>
      <c r="C11" s="552" t="s">
        <v>32</v>
      </c>
      <c r="D11" s="553" t="s">
        <v>9</v>
      </c>
      <c r="E11" s="553">
        <v>19</v>
      </c>
      <c r="F11" s="604">
        <v>0.55200000000000005</v>
      </c>
      <c r="G11" s="605">
        <f t="shared" si="5"/>
        <v>1.2030503561572765</v>
      </c>
      <c r="H11" s="606">
        <f t="shared" si="0"/>
        <v>1.1659996861287742</v>
      </c>
      <c r="I11" s="577">
        <f t="shared" si="1"/>
        <v>1.2998955968314059</v>
      </c>
      <c r="J11" s="607">
        <f t="shared" si="2"/>
        <v>1.3868835648567577</v>
      </c>
      <c r="K11" s="607">
        <f t="shared" si="3"/>
        <v>1.4672537135461265</v>
      </c>
      <c r="L11" s="608">
        <f t="shared" si="4"/>
        <v>1.6389186916531988</v>
      </c>
      <c r="M11" s="609">
        <f t="shared" si="6"/>
        <v>0.57333069288614147</v>
      </c>
      <c r="N11" s="610">
        <f t="shared" si="6"/>
        <v>0.25566732208709164</v>
      </c>
      <c r="O11" s="611">
        <f t="shared" si="7"/>
        <v>0.13638818685906504</v>
      </c>
      <c r="P11" s="611">
        <f t="shared" si="8"/>
        <v>7.2145953261414847E-2</v>
      </c>
      <c r="Q11" s="612">
        <f t="shared" si="9"/>
        <v>1.6117369536620376E-2</v>
      </c>
    </row>
    <row r="12" spans="2:17" ht="16" customHeight="1" thickBot="1" x14ac:dyDescent="0.2">
      <c r="B12" s="1045"/>
      <c r="C12" s="613" t="s">
        <v>17</v>
      </c>
      <c r="D12" s="614" t="s">
        <v>9</v>
      </c>
      <c r="E12" s="614">
        <v>44</v>
      </c>
      <c r="F12" s="615">
        <v>0.70299999999999996</v>
      </c>
      <c r="G12" s="616">
        <f t="shared" si="5"/>
        <v>2.1251543467888792</v>
      </c>
      <c r="H12" s="617">
        <f t="shared" si="0"/>
        <v>2.0457555814365742</v>
      </c>
      <c r="I12" s="618">
        <f t="shared" si="1"/>
        <v>3.0706792505903961</v>
      </c>
      <c r="J12" s="619">
        <f t="shared" si="2"/>
        <v>3.9467662839717774</v>
      </c>
      <c r="K12" s="619">
        <f t="shared" si="3"/>
        <v>4.9250070212062882</v>
      </c>
      <c r="L12" s="620">
        <f t="shared" si="4"/>
        <v>7.6487717499787751</v>
      </c>
      <c r="M12" s="621">
        <f t="shared" si="6"/>
        <v>0.77452868020246113</v>
      </c>
      <c r="N12" s="622">
        <f t="shared" si="6"/>
        <v>0.46502703872738055</v>
      </c>
      <c r="O12" s="623">
        <f t="shared" si="7"/>
        <v>0.29885131117732111</v>
      </c>
      <c r="P12" s="623">
        <f t="shared" si="8"/>
        <v>0.18646211909603386</v>
      </c>
      <c r="Q12" s="624">
        <f t="shared" si="9"/>
        <v>5.7916920942495474E-2</v>
      </c>
    </row>
    <row r="13" spans="2:17" ht="16" customHeight="1" x14ac:dyDescent="0.15">
      <c r="B13" s="1043" t="s">
        <v>288</v>
      </c>
      <c r="C13" s="593" t="s">
        <v>8</v>
      </c>
      <c r="D13" s="594" t="s">
        <v>18</v>
      </c>
      <c r="E13" s="625"/>
      <c r="F13" s="595">
        <v>0.68799999999999994</v>
      </c>
      <c r="G13" s="596">
        <f t="shared" ref="G13:G20" si="10" xml:space="preserve"> ( _xlfn.NORM.DIST(SQRT(2)*_xlfn.NORM.S.INV(F13)/2,SQRT(2)*_xlfn.NORM.S.INV(F13)*SQRT(2)*_xlfn.NORM.S.INV(F13),SQRT(2)*_xlfn.NORM.S.INV(F13),0) * _xlfn.NORM.DIST(-1*SQRT(2)*_xlfn.NORM.S.INV(F13)/2,0,SQRT(2)*_xlfn.NORM.S.INV(F13),0) ) / ( _xlfn.NORM.DIST(SQRT(2)*_xlfn.NORM.S.INV(F13)/2,0,SQRT(2)*_xlfn.NORM.S.INV(F13),0) * _xlfn.NORM.DIST(-1*SQRT(2)*_xlfn.NORM.S.INV(F13)/2,SQRT(2)*_xlfn.NORM.S.INV(F13)*SQRT(2)*_xlfn.NORM.S.INV(F13),SQRT(2)*_xlfn.NORM.S.INV(F13),0) )</f>
        <v>2.0001701653605548</v>
      </c>
      <c r="H13" s="626">
        <f t="shared" si="0"/>
        <v>1.9127051254255192</v>
      </c>
      <c r="I13" s="597">
        <f t="shared" si="1"/>
        <v>2.7897770993924729</v>
      </c>
      <c r="J13" s="598">
        <f t="shared" si="2"/>
        <v>3.5191387538026104</v>
      </c>
      <c r="K13" s="598">
        <f t="shared" si="3"/>
        <v>4.317830847516845</v>
      </c>
      <c r="L13" s="599">
        <f t="shared" si="4"/>
        <v>6.4804132949130411</v>
      </c>
      <c r="M13" s="600">
        <f t="shared" si="6"/>
        <v>0.75591809681581101</v>
      </c>
      <c r="N13" s="601">
        <f t="shared" si="6"/>
        <v>0.44101790062599283</v>
      </c>
      <c r="O13" s="602">
        <f t="shared" si="7"/>
        <v>0.27815899475091144</v>
      </c>
      <c r="P13" s="602">
        <f t="shared" si="8"/>
        <v>0.17064452051406356</v>
      </c>
      <c r="Q13" s="603">
        <f t="shared" si="9"/>
        <v>5.1222341600307433E-2</v>
      </c>
    </row>
    <row r="14" spans="2:17" ht="16" customHeight="1" x14ac:dyDescent="0.15">
      <c r="B14" s="1044"/>
      <c r="C14" s="552" t="s">
        <v>10</v>
      </c>
      <c r="D14" s="553" t="s">
        <v>18</v>
      </c>
      <c r="E14" s="627"/>
      <c r="F14" s="604">
        <v>0.71499999999999997</v>
      </c>
      <c r="G14" s="605">
        <f t="shared" si="10"/>
        <v>2.2330003577697841</v>
      </c>
      <c r="H14" s="606">
        <f t="shared" si="0"/>
        <v>2.1644102072432556</v>
      </c>
      <c r="I14" s="577">
        <f t="shared" si="1"/>
        <v>3.3238714000516012</v>
      </c>
      <c r="J14" s="607">
        <f t="shared" si="2"/>
        <v>4.3371440741164804</v>
      </c>
      <c r="K14" s="607">
        <f t="shared" si="3"/>
        <v>5.486554585063625</v>
      </c>
      <c r="L14" s="608">
        <f t="shared" si="4"/>
        <v>8.7605139868113415</v>
      </c>
      <c r="M14" s="609">
        <f t="shared" si="6"/>
        <v>0.78911264983024221</v>
      </c>
      <c r="N14" s="610">
        <f t="shared" si="6"/>
        <v>0.484734171580673</v>
      </c>
      <c r="O14" s="611">
        <f t="shared" si="7"/>
        <v>0.31625199818082117</v>
      </c>
      <c r="P14" s="611">
        <f t="shared" si="8"/>
        <v>0.20003184430856663</v>
      </c>
      <c r="Q14" s="612">
        <f t="shared" si="9"/>
        <v>6.3879134932299908E-2</v>
      </c>
    </row>
    <row r="15" spans="2:17" ht="16" customHeight="1" x14ac:dyDescent="0.15">
      <c r="B15" s="1044"/>
      <c r="C15" s="552" t="s">
        <v>11</v>
      </c>
      <c r="D15" s="553" t="s">
        <v>18</v>
      </c>
      <c r="E15" s="627"/>
      <c r="F15" s="604">
        <v>0.64100000000000001</v>
      </c>
      <c r="G15" s="605">
        <f t="shared" si="10"/>
        <v>1.6664893596179335</v>
      </c>
      <c r="H15" s="606">
        <f t="shared" si="0"/>
        <v>1.5797731163668733</v>
      </c>
      <c r="I15" s="577">
        <f t="shared" si="1"/>
        <v>2.1039325945678171</v>
      </c>
      <c r="J15" s="607">
        <f t="shared" si="2"/>
        <v>2.5041274675458358</v>
      </c>
      <c r="K15" s="607">
        <f t="shared" si="3"/>
        <v>2.9169505741571164</v>
      </c>
      <c r="L15" s="608">
        <f t="shared" si="4"/>
        <v>3.9440212822330718</v>
      </c>
      <c r="M15" s="609">
        <f t="shared" si="6"/>
        <v>0.69522616466523368</v>
      </c>
      <c r="N15" s="610">
        <f t="shared" si="6"/>
        <v>0.37035925572306266</v>
      </c>
      <c r="O15" s="611">
        <f t="shared" si="7"/>
        <v>0.22040316025476506</v>
      </c>
      <c r="P15" s="611">
        <f t="shared" si="8"/>
        <v>0.12836908939175126</v>
      </c>
      <c r="Q15" s="612">
        <f t="shared" si="9"/>
        <v>3.471367860137603E-2</v>
      </c>
    </row>
    <row r="16" spans="2:17" ht="16" customHeight="1" x14ac:dyDescent="0.15">
      <c r="B16" s="1044"/>
      <c r="C16" s="552" t="s">
        <v>12</v>
      </c>
      <c r="D16" s="553" t="s">
        <v>18</v>
      </c>
      <c r="E16" s="627"/>
      <c r="F16" s="604">
        <v>0.65</v>
      </c>
      <c r="G16" s="605">
        <f t="shared" si="10"/>
        <v>1.7244797821818321</v>
      </c>
      <c r="H16" s="606">
        <f t="shared" si="0"/>
        <v>1.6353960182861222</v>
      </c>
      <c r="I16" s="577">
        <f t="shared" si="1"/>
        <v>2.216554166567688</v>
      </c>
      <c r="J16" s="607">
        <f t="shared" si="2"/>
        <v>2.667557931029477</v>
      </c>
      <c r="K16" s="607">
        <f t="shared" si="3"/>
        <v>3.138086153177658</v>
      </c>
      <c r="L16" s="608">
        <f t="shared" si="4"/>
        <v>4.3275038293531649</v>
      </c>
      <c r="M16" s="609">
        <f t="shared" si="6"/>
        <v>0.70709759705904096</v>
      </c>
      <c r="N16" s="610">
        <f t="shared" si="6"/>
        <v>0.38334938035373678</v>
      </c>
      <c r="O16" s="611">
        <f t="shared" si="7"/>
        <v>0.230674868221037</v>
      </c>
      <c r="P16" s="611">
        <f t="shared" si="8"/>
        <v>0.13568170389550771</v>
      </c>
      <c r="Q16" s="612">
        <f t="shared" si="9"/>
        <v>3.7421732140198283E-2</v>
      </c>
    </row>
    <row r="17" spans="2:17" ht="16" customHeight="1" x14ac:dyDescent="0.15">
      <c r="B17" s="1044"/>
      <c r="C17" s="552" t="s">
        <v>13</v>
      </c>
      <c r="D17" s="553" t="s">
        <v>18</v>
      </c>
      <c r="E17" s="627"/>
      <c r="F17" s="604">
        <v>0.61399999999999999</v>
      </c>
      <c r="G17" s="605">
        <f t="shared" si="10"/>
        <v>1.5064897058149995</v>
      </c>
      <c r="H17" s="606">
        <f t="shared" si="0"/>
        <v>1.4309260661262733</v>
      </c>
      <c r="I17" s="577">
        <f t="shared" si="1"/>
        <v>1.8072257172372399</v>
      </c>
      <c r="J17" s="607">
        <f t="shared" si="2"/>
        <v>2.080837141995147</v>
      </c>
      <c r="K17" s="607">
        <f t="shared" si="3"/>
        <v>2.3537354517228728</v>
      </c>
      <c r="L17" s="608">
        <f t="shared" si="4"/>
        <v>3.0014542046158081</v>
      </c>
      <c r="M17" s="609">
        <f t="shared" si="6"/>
        <v>0.65901715463013899</v>
      </c>
      <c r="N17" s="610">
        <f t="shared" si="6"/>
        <v>0.3329292207087079</v>
      </c>
      <c r="O17" s="611">
        <f t="shared" si="7"/>
        <v>0.19166711765232003</v>
      </c>
      <c r="P17" s="611">
        <f t="shared" si="8"/>
        <v>0.10840196979349229</v>
      </c>
      <c r="Q17" s="612">
        <f t="shared" si="9"/>
        <v>2.764656912686933E-2</v>
      </c>
    </row>
    <row r="18" spans="2:17" ht="16" customHeight="1" x14ac:dyDescent="0.15">
      <c r="B18" s="1044"/>
      <c r="C18" s="552" t="s">
        <v>14</v>
      </c>
      <c r="D18" s="553" t="s">
        <v>18</v>
      </c>
      <c r="E18" s="627"/>
      <c r="F18" s="604">
        <v>0.64500000000000002</v>
      </c>
      <c r="G18" s="605">
        <f t="shared" si="10"/>
        <v>1.6919537475709028</v>
      </c>
      <c r="H18" s="606">
        <f t="shared" si="0"/>
        <v>1.6040857503570642</v>
      </c>
      <c r="I18" s="577">
        <f t="shared" si="1"/>
        <v>2.1530505684628984</v>
      </c>
      <c r="J18" s="607">
        <f t="shared" si="2"/>
        <v>2.5752302383154801</v>
      </c>
      <c r="K18" s="607">
        <f t="shared" si="3"/>
        <v>3.0129243249674427</v>
      </c>
      <c r="L18" s="608">
        <f t="shared" si="4"/>
        <v>4.1095861041544506</v>
      </c>
      <c r="M18" s="609">
        <f t="shared" si="6"/>
        <v>0.70051557070195403</v>
      </c>
      <c r="N18" s="610">
        <f t="shared" si="6"/>
        <v>0.37610095295115858</v>
      </c>
      <c r="O18" s="611">
        <f t="shared" si="7"/>
        <v>0.22492424503174194</v>
      </c>
      <c r="P18" s="611">
        <f t="shared" si="8"/>
        <v>0.13157653240722497</v>
      </c>
      <c r="Q18" s="612">
        <f t="shared" si="9"/>
        <v>3.5893705543200836E-2</v>
      </c>
    </row>
    <row r="19" spans="2:17" ht="16" customHeight="1" x14ac:dyDescent="0.15">
      <c r="B19" s="1044"/>
      <c r="C19" s="552" t="s">
        <v>32</v>
      </c>
      <c r="D19" s="553" t="s">
        <v>18</v>
      </c>
      <c r="E19" s="627"/>
      <c r="F19" s="604">
        <v>0.60899999999999999</v>
      </c>
      <c r="G19" s="605">
        <f t="shared" si="10"/>
        <v>1.4789497063331831</v>
      </c>
      <c r="H19" s="606">
        <f t="shared" si="0"/>
        <v>1.4059692158759605</v>
      </c>
      <c r="I19" s="577">
        <f t="shared" si="1"/>
        <v>1.7582103070377142</v>
      </c>
      <c r="J19" s="607">
        <f t="shared" si="2"/>
        <v>2.0120227717328003</v>
      </c>
      <c r="K19" s="607">
        <f t="shared" si="3"/>
        <v>2.2636085444431702</v>
      </c>
      <c r="L19" s="608">
        <f t="shared" si="4"/>
        <v>2.8556140189654533</v>
      </c>
      <c r="M19" s="609">
        <f t="shared" si="6"/>
        <v>0.65222414153672648</v>
      </c>
      <c r="N19" s="610">
        <f t="shared" si="6"/>
        <v>0.32625101472709356</v>
      </c>
      <c r="O19" s="611">
        <f t="shared" si="7"/>
        <v>0.18667404818068398</v>
      </c>
      <c r="P19" s="611">
        <f t="shared" si="8"/>
        <v>0.10500799907993899</v>
      </c>
      <c r="Q19" s="612">
        <f t="shared" si="9"/>
        <v>2.649418479689894E-2</v>
      </c>
    </row>
    <row r="20" spans="2:17" ht="16" customHeight="1" thickBot="1" x14ac:dyDescent="0.2">
      <c r="B20" s="1045"/>
      <c r="C20" s="613" t="s">
        <v>17</v>
      </c>
      <c r="D20" s="614" t="s">
        <v>18</v>
      </c>
      <c r="E20" s="628"/>
      <c r="F20" s="615">
        <v>0.83799999999999997</v>
      </c>
      <c r="G20" s="616">
        <f t="shared" si="10"/>
        <v>4.0341605857315059</v>
      </c>
      <c r="H20" s="617">
        <f t="shared" si="0"/>
        <v>4.7601205878855648</v>
      </c>
      <c r="I20" s="618">
        <f t="shared" si="1"/>
        <v>9.1983891708834644</v>
      </c>
      <c r="J20" s="619">
        <f t="shared" si="2"/>
        <v>14.125022736115783</v>
      </c>
      <c r="K20" s="619">
        <f t="shared" si="3"/>
        <v>20.796776773011448</v>
      </c>
      <c r="L20" s="620">
        <f t="shared" si="4"/>
        <v>45.552036832602781</v>
      </c>
      <c r="M20" s="621">
        <f t="shared" si="6"/>
        <v>0.91846165612533537</v>
      </c>
      <c r="N20" s="622">
        <f t="shared" si="6"/>
        <v>0.70992889719497554</v>
      </c>
      <c r="O20" s="623">
        <f t="shared" si="7"/>
        <v>0.54508250630577881</v>
      </c>
      <c r="P20" s="623">
        <f t="shared" si="8"/>
        <v>0.40127226072800365</v>
      </c>
      <c r="Q20" s="624">
        <f t="shared" si="9"/>
        <v>0.17578466299307982</v>
      </c>
    </row>
    <row r="21" spans="2:17" ht="16" customHeight="1" x14ac:dyDescent="0.15">
      <c r="B21" s="1043" t="s">
        <v>289</v>
      </c>
      <c r="C21" s="593" t="s">
        <v>8</v>
      </c>
      <c r="D21" s="594" t="s">
        <v>18</v>
      </c>
      <c r="E21" s="594">
        <v>7599</v>
      </c>
      <c r="F21" s="629">
        <v>0.71</v>
      </c>
      <c r="G21" s="596">
        <f t="shared" ref="G21:G28" si="11" xml:space="preserve"> ( _xlfn.NORM.DIST(SQRT(2)*_xlfn.NORM.S.INV(F21)/2,SQRT(2)*_xlfn.NORM.S.INV(F21)*SQRT(2)*_xlfn.NORM.S.INV(F21),SQRT(2)*_xlfn.NORM.S.INV(F21),0) * _xlfn.NORM.DIST(-1*SQRT(2)*_xlfn.NORM.S.INV(F21)/2,0,SQRT(2)*_xlfn.NORM.S.INV(F21),0) ) / ( _xlfn.NORM.DIST(SQRT(2)*_xlfn.NORM.S.INV(F21)/2,0,SQRT(2)*_xlfn.NORM.S.INV(F21),0) * _xlfn.NORM.DIST(-1*SQRT(2)*_xlfn.NORM.S.INV(F21)/2,SQRT(2)*_xlfn.NORM.S.INV(F21)*SQRT(2)*_xlfn.NORM.S.INV(F21),SQRT(2)*_xlfn.NORM.S.INV(F21),0) )</f>
        <v>2.1871606058603161</v>
      </c>
      <c r="H21" s="626">
        <f t="shared" si="0"/>
        <v>2.1135337126332989</v>
      </c>
      <c r="I21" s="597">
        <f t="shared" si="1"/>
        <v>3.2150177501672177</v>
      </c>
      <c r="J21" s="598">
        <f t="shared" si="2"/>
        <v>4.168770170084743</v>
      </c>
      <c r="K21" s="598">
        <f t="shared" si="3"/>
        <v>5.2435533102937404</v>
      </c>
      <c r="L21" s="599">
        <f t="shared" si="4"/>
        <v>8.275944557781699</v>
      </c>
      <c r="M21" s="609">
        <f t="shared" si="6"/>
        <v>0.78307020565528895</v>
      </c>
      <c r="N21" s="610">
        <f t="shared" si="6"/>
        <v>0.47646926074981588</v>
      </c>
      <c r="O21" s="611">
        <f t="shared" si="7"/>
        <v>0.30890822370077409</v>
      </c>
      <c r="P21" s="611">
        <f t="shared" si="8"/>
        <v>0.19427513124429974</v>
      </c>
      <c r="Q21" s="612">
        <f t="shared" si="9"/>
        <v>6.1325217777951885E-2</v>
      </c>
    </row>
    <row r="22" spans="2:17" ht="16" customHeight="1" x14ac:dyDescent="0.15">
      <c r="B22" s="1044"/>
      <c r="C22" s="552" t="s">
        <v>10</v>
      </c>
      <c r="D22" s="553" t="s">
        <v>18</v>
      </c>
      <c r="E22" s="553">
        <v>4530</v>
      </c>
      <c r="F22" s="630">
        <v>0.73</v>
      </c>
      <c r="G22" s="605">
        <f t="shared" si="11"/>
        <v>2.3789243770106845</v>
      </c>
      <c r="H22" s="606">
        <f t="shared" si="0"/>
        <v>2.3308158545398099</v>
      </c>
      <c r="I22" s="577">
        <f t="shared" si="1"/>
        <v>3.6827029302450702</v>
      </c>
      <c r="J22" s="607">
        <f t="shared" si="2"/>
        <v>4.8975250868374651</v>
      </c>
      <c r="K22" s="607">
        <f t="shared" si="3"/>
        <v>6.3033762989581987</v>
      </c>
      <c r="L22" s="608">
        <f t="shared" si="4"/>
        <v>10.425472167311035</v>
      </c>
      <c r="M22" s="609">
        <f t="shared" si="6"/>
        <v>0.80693266889521709</v>
      </c>
      <c r="N22" s="610">
        <f t="shared" si="6"/>
        <v>0.50998336982832426</v>
      </c>
      <c r="O22" s="611">
        <f t="shared" si="7"/>
        <v>0.33910641197217162</v>
      </c>
      <c r="P22" s="611">
        <f t="shared" si="8"/>
        <v>0.21822403063769719</v>
      </c>
      <c r="Q22" s="612">
        <f t="shared" si="9"/>
        <v>7.2186349188266205E-2</v>
      </c>
    </row>
    <row r="23" spans="2:17" ht="16" customHeight="1" x14ac:dyDescent="0.15">
      <c r="B23" s="1044"/>
      <c r="C23" s="552" t="s">
        <v>11</v>
      </c>
      <c r="D23" s="553" t="s">
        <v>18</v>
      </c>
      <c r="E23" s="553">
        <v>1484</v>
      </c>
      <c r="F23" s="630">
        <v>0.68</v>
      </c>
      <c r="G23" s="605">
        <f t="shared" si="11"/>
        <v>1.9375532869582266</v>
      </c>
      <c r="H23" s="606">
        <f t="shared" si="0"/>
        <v>1.84780147877987</v>
      </c>
      <c r="I23" s="577">
        <f t="shared" si="1"/>
        <v>2.6540291789820412</v>
      </c>
      <c r="J23" s="607">
        <f t="shared" si="2"/>
        <v>3.3147527203998637</v>
      </c>
      <c r="K23" s="607">
        <f t="shared" si="3"/>
        <v>4.0308699059773074</v>
      </c>
      <c r="L23" s="608">
        <f t="shared" si="4"/>
        <v>5.9415827937872603</v>
      </c>
      <c r="M23" s="609">
        <f t="shared" si="6"/>
        <v>0.74583041684243678</v>
      </c>
      <c r="N23" s="610">
        <f t="shared" si="6"/>
        <v>0.42849964416117059</v>
      </c>
      <c r="O23" s="611">
        <f t="shared" si="7"/>
        <v>0.26758755591587419</v>
      </c>
      <c r="P23" s="611">
        <f t="shared" si="8"/>
        <v>0.1626985056326265</v>
      </c>
      <c r="Q23" s="612">
        <f t="shared" si="9"/>
        <v>4.796417025776202E-2</v>
      </c>
    </row>
    <row r="24" spans="2:17" ht="16" customHeight="1" x14ac:dyDescent="0.15">
      <c r="B24" s="1044"/>
      <c r="C24" s="552" t="s">
        <v>12</v>
      </c>
      <c r="D24" s="553" t="s">
        <v>18</v>
      </c>
      <c r="E24" s="553">
        <v>1757</v>
      </c>
      <c r="F24" s="630">
        <v>0.71</v>
      </c>
      <c r="G24" s="605">
        <f t="shared" si="11"/>
        <v>2.1871606058603161</v>
      </c>
      <c r="H24" s="606">
        <f t="shared" si="0"/>
        <v>2.1135337126332989</v>
      </c>
      <c r="I24" s="577">
        <f t="shared" si="1"/>
        <v>3.2150177501672177</v>
      </c>
      <c r="J24" s="607">
        <f t="shared" si="2"/>
        <v>4.168770170084743</v>
      </c>
      <c r="K24" s="607">
        <f t="shared" si="3"/>
        <v>5.2435533102937404</v>
      </c>
      <c r="L24" s="608">
        <f t="shared" si="4"/>
        <v>8.275944557781699</v>
      </c>
      <c r="M24" s="609">
        <f t="shared" si="6"/>
        <v>0.78307020565528895</v>
      </c>
      <c r="N24" s="610">
        <f t="shared" si="6"/>
        <v>0.47646926074981588</v>
      </c>
      <c r="O24" s="611">
        <f t="shared" si="7"/>
        <v>0.30890822370077409</v>
      </c>
      <c r="P24" s="611">
        <f t="shared" si="8"/>
        <v>0.19427513124429974</v>
      </c>
      <c r="Q24" s="612">
        <f t="shared" si="9"/>
        <v>6.1325217777951885E-2</v>
      </c>
    </row>
    <row r="25" spans="2:17" ht="16" customHeight="1" x14ac:dyDescent="0.15">
      <c r="B25" s="1044"/>
      <c r="C25" s="552" t="s">
        <v>13</v>
      </c>
      <c r="D25" s="553" t="s">
        <v>18</v>
      </c>
      <c r="E25" s="553">
        <v>1015</v>
      </c>
      <c r="F25" s="630">
        <v>0.64</v>
      </c>
      <c r="G25" s="605">
        <f t="shared" si="11"/>
        <v>1.6601986883245332</v>
      </c>
      <c r="H25" s="606">
        <f t="shared" si="0"/>
        <v>1.5737938213229257</v>
      </c>
      <c r="I25" s="577">
        <f t="shared" si="1"/>
        <v>2.0918793250631902</v>
      </c>
      <c r="J25" s="607">
        <f t="shared" si="2"/>
        <v>2.4867215023842233</v>
      </c>
      <c r="K25" s="607">
        <f t="shared" si="3"/>
        <v>2.8935125958928487</v>
      </c>
      <c r="L25" s="608">
        <f t="shared" si="4"/>
        <v>3.9037953317301541</v>
      </c>
      <c r="M25" s="609">
        <f t="shared" si="6"/>
        <v>0.69390058896161411</v>
      </c>
      <c r="N25" s="610">
        <f t="shared" si="6"/>
        <v>0.36893175625788777</v>
      </c>
      <c r="O25" s="611">
        <f t="shared" si="7"/>
        <v>0.21928380874767775</v>
      </c>
      <c r="P25" s="611">
        <f t="shared" si="8"/>
        <v>0.12757770877620042</v>
      </c>
      <c r="Q25" s="612">
        <f t="shared" si="9"/>
        <v>3.4424406353715714E-2</v>
      </c>
    </row>
    <row r="26" spans="2:17" ht="16" customHeight="1" x14ac:dyDescent="0.15">
      <c r="B26" s="1044"/>
      <c r="C26" s="552" t="s">
        <v>14</v>
      </c>
      <c r="D26" s="553" t="s">
        <v>18</v>
      </c>
      <c r="E26" s="553">
        <v>2220</v>
      </c>
      <c r="F26" s="604">
        <v>0.7</v>
      </c>
      <c r="G26" s="605">
        <f t="shared" si="11"/>
        <v>2.099321751713588</v>
      </c>
      <c r="H26" s="606">
        <f t="shared" si="0"/>
        <v>2.0178677214742495</v>
      </c>
      <c r="I26" s="577">
        <f t="shared" si="1"/>
        <v>3.0115252283241252</v>
      </c>
      <c r="J26" s="607">
        <f t="shared" si="2"/>
        <v>3.8562146609488739</v>
      </c>
      <c r="K26" s="607">
        <f t="shared" si="3"/>
        <v>4.795709937419673</v>
      </c>
      <c r="L26" s="608">
        <f t="shared" si="4"/>
        <v>7.3969128320067803</v>
      </c>
      <c r="M26" s="609">
        <f t="shared" si="6"/>
        <v>0.77083947673802555</v>
      </c>
      <c r="N26" s="610">
        <f t="shared" si="6"/>
        <v>0.46016941724695837</v>
      </c>
      <c r="O26" s="611">
        <f t="shared" si="7"/>
        <v>0.29462015447825673</v>
      </c>
      <c r="P26" s="611">
        <f t="shared" si="8"/>
        <v>0.1831994495125448</v>
      </c>
      <c r="Q26" s="612">
        <f t="shared" si="9"/>
        <v>5.6513442095322636E-2</v>
      </c>
    </row>
    <row r="27" spans="2:17" ht="16" customHeight="1" x14ac:dyDescent="0.15">
      <c r="B27" s="1044"/>
      <c r="C27" s="552" t="s">
        <v>32</v>
      </c>
      <c r="D27" s="553" t="s">
        <v>18</v>
      </c>
      <c r="E27" s="553">
        <v>6096</v>
      </c>
      <c r="F27" s="630">
        <v>0.67</v>
      </c>
      <c r="G27" s="605">
        <f t="shared" si="11"/>
        <v>1.862893949027548</v>
      </c>
      <c r="H27" s="606">
        <f t="shared" si="0"/>
        <v>1.7719097469589224</v>
      </c>
      <c r="I27" s="577">
        <f t="shared" si="1"/>
        <v>2.496467784330012</v>
      </c>
      <c r="J27" s="607">
        <f t="shared" si="2"/>
        <v>3.0795432438942081</v>
      </c>
      <c r="K27" s="607">
        <f t="shared" si="3"/>
        <v>3.7034715961370326</v>
      </c>
      <c r="L27" s="608">
        <f t="shared" si="4"/>
        <v>5.3382049636755475</v>
      </c>
      <c r="M27" s="609">
        <f t="shared" si="6"/>
        <v>0.73307218810968267</v>
      </c>
      <c r="N27" s="610">
        <f t="shared" si="6"/>
        <v>0.41313415775920809</v>
      </c>
      <c r="O27" s="611">
        <f t="shared" si="7"/>
        <v>0.25481292277379364</v>
      </c>
      <c r="P27" s="611">
        <f t="shared" si="8"/>
        <v>0.15321954402372323</v>
      </c>
      <c r="Q27" s="612">
        <f t="shared" si="9"/>
        <v>4.4170304371835264E-2</v>
      </c>
    </row>
    <row r="28" spans="2:17" ht="16" customHeight="1" thickBot="1" x14ac:dyDescent="0.2">
      <c r="B28" s="1045"/>
      <c r="C28" s="613" t="s">
        <v>17</v>
      </c>
      <c r="D28" s="614" t="s">
        <v>18</v>
      </c>
      <c r="E28" s="614">
        <v>2598</v>
      </c>
      <c r="F28" s="631">
        <v>0.88</v>
      </c>
      <c r="G28" s="616">
        <f t="shared" si="11"/>
        <v>5.2681658027318212</v>
      </c>
      <c r="H28" s="617">
        <f t="shared" si="0"/>
        <v>7.3531628885082281</v>
      </c>
      <c r="I28" s="618">
        <f t="shared" si="1"/>
        <v>15.334854326856393</v>
      </c>
      <c r="J28" s="619">
        <f t="shared" si="2"/>
        <v>25.035975300281628</v>
      </c>
      <c r="K28" s="619">
        <f t="shared" si="3"/>
        <v>39.149930742230097</v>
      </c>
      <c r="L28" s="620">
        <f t="shared" si="4"/>
        <v>97.788066314757174</v>
      </c>
      <c r="M28" s="621">
        <f t="shared" si="6"/>
        <v>0.95171174972432593</v>
      </c>
      <c r="N28" s="622">
        <f t="shared" si="6"/>
        <v>0.79390933985993228</v>
      </c>
      <c r="O28" s="623">
        <f t="shared" si="7"/>
        <v>0.6480757978413455</v>
      </c>
      <c r="P28" s="623">
        <f t="shared" si="8"/>
        <v>0.50671333515325989</v>
      </c>
      <c r="Q28" s="624">
        <f t="shared" si="9"/>
        <v>0.25313219498306394</v>
      </c>
    </row>
    <row r="30" spans="2:17" ht="54" customHeight="1" x14ac:dyDescent="0.15">
      <c r="B30" s="1039" t="s">
        <v>407</v>
      </c>
      <c r="C30" s="1039"/>
      <c r="D30" s="1039"/>
      <c r="E30" s="1039"/>
      <c r="F30" s="1039"/>
      <c r="G30" s="1039"/>
      <c r="H30" s="1039"/>
      <c r="I30" s="1039"/>
      <c r="J30" s="1039"/>
      <c r="K30" s="1039"/>
      <c r="L30" s="1039"/>
      <c r="M30" s="1039"/>
      <c r="N30" s="1039"/>
      <c r="O30" s="1039"/>
      <c r="P30" s="1039"/>
      <c r="Q30" s="1039"/>
    </row>
    <row r="33" spans="2:2" x14ac:dyDescent="0.15">
      <c r="B33" s="633"/>
    </row>
  </sheetData>
  <sortState xmlns:xlrd2="http://schemas.microsoft.com/office/spreadsheetml/2017/richdata2" ref="A5:O12">
    <sortCondition ref="A5:A12"/>
  </sortState>
  <mergeCells count="12">
    <mergeCell ref="B30:Q30"/>
    <mergeCell ref="M2:Q2"/>
    <mergeCell ref="B5:B12"/>
    <mergeCell ref="B21:B28"/>
    <mergeCell ref="B13:B20"/>
    <mergeCell ref="D3:D4"/>
    <mergeCell ref="G3:G4"/>
    <mergeCell ref="F3:F4"/>
    <mergeCell ref="E3:E4"/>
    <mergeCell ref="B2:G2"/>
    <mergeCell ref="B3:C4"/>
    <mergeCell ref="H2:L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9821D-E7D4-4F5A-B57E-573B696DF7BC}">
  <dimension ref="B1:Q31"/>
  <sheetViews>
    <sheetView zoomScaleNormal="100" workbookViewId="0">
      <selection activeCell="S21" sqref="S21"/>
    </sheetView>
  </sheetViews>
  <sheetFormatPr baseColWidth="10" defaultColWidth="11.1640625" defaultRowHeight="13" x14ac:dyDescent="0.15"/>
  <cols>
    <col min="1" max="2" width="3.83203125" style="546" customWidth="1"/>
    <col min="3" max="3" width="10.83203125" style="546" customWidth="1"/>
    <col min="4" max="4" width="5.83203125" style="577" customWidth="1"/>
    <col min="5" max="16" width="6.83203125" style="634" customWidth="1"/>
    <col min="17" max="20" width="6.83203125" style="546" customWidth="1"/>
    <col min="21" max="16384" width="11.1640625" style="546"/>
  </cols>
  <sheetData>
    <row r="1" spans="2:16" ht="14" thickBot="1" x14ac:dyDescent="0.2"/>
    <row r="2" spans="2:16" s="635" customFormat="1" ht="103.75" customHeight="1" x14ac:dyDescent="0.2">
      <c r="C2" s="1069" t="s">
        <v>3</v>
      </c>
      <c r="D2" s="1067" t="s">
        <v>39</v>
      </c>
      <c r="E2" s="1075" t="s">
        <v>34</v>
      </c>
      <c r="F2" s="1076"/>
      <c r="G2" s="1073" t="s">
        <v>325</v>
      </c>
      <c r="H2" s="1074"/>
      <c r="I2" s="1077" t="s">
        <v>35</v>
      </c>
      <c r="J2" s="1078"/>
      <c r="K2" s="1079" t="s">
        <v>36</v>
      </c>
      <c r="L2" s="1080"/>
      <c r="M2" s="1071" t="s">
        <v>37</v>
      </c>
      <c r="N2" s="1072"/>
      <c r="O2" s="1073" t="s">
        <v>38</v>
      </c>
      <c r="P2" s="1074"/>
    </row>
    <row r="3" spans="2:16" s="636" customFormat="1" ht="40" thickBot="1" x14ac:dyDescent="0.25">
      <c r="C3" s="1070"/>
      <c r="D3" s="1068"/>
      <c r="E3" s="637" t="s">
        <v>40</v>
      </c>
      <c r="F3" s="638" t="s">
        <v>41</v>
      </c>
      <c r="G3" s="639" t="s">
        <v>40</v>
      </c>
      <c r="H3" s="640" t="s">
        <v>41</v>
      </c>
      <c r="I3" s="641" t="s">
        <v>40</v>
      </c>
      <c r="J3" s="642" t="s">
        <v>41</v>
      </c>
      <c r="K3" s="639" t="s">
        <v>40</v>
      </c>
      <c r="L3" s="640" t="s">
        <v>41</v>
      </c>
      <c r="M3" s="641" t="s">
        <v>40</v>
      </c>
      <c r="N3" s="642" t="s">
        <v>41</v>
      </c>
      <c r="O3" s="639" t="s">
        <v>42</v>
      </c>
      <c r="P3" s="643" t="s">
        <v>43</v>
      </c>
    </row>
    <row r="4" spans="2:16" ht="16" customHeight="1" x14ac:dyDescent="0.15">
      <c r="B4" s="1063" t="s">
        <v>318</v>
      </c>
      <c r="C4" s="565" t="s">
        <v>8</v>
      </c>
      <c r="D4" s="644">
        <f>'S4 - Summ PRS Characteristics'!F5</f>
        <v>0.64300000000000002</v>
      </c>
      <c r="E4" s="645"/>
      <c r="F4" s="646">
        <v>14.28</v>
      </c>
      <c r="G4" s="645"/>
      <c r="H4" s="647">
        <v>19.46</v>
      </c>
      <c r="I4" s="648"/>
      <c r="J4" s="646">
        <v>25.29</v>
      </c>
      <c r="K4" s="648"/>
      <c r="L4" s="646">
        <v>29.53</v>
      </c>
      <c r="M4" s="648"/>
      <c r="N4" s="646">
        <v>33.729999999999997</v>
      </c>
      <c r="O4" s="648"/>
      <c r="P4" s="649">
        <v>43.4</v>
      </c>
    </row>
    <row r="5" spans="2:16" ht="16" customHeight="1" x14ac:dyDescent="0.15">
      <c r="B5" s="1064"/>
      <c r="C5" s="552" t="s">
        <v>10</v>
      </c>
      <c r="D5" s="650">
        <f>'S4 - Summ PRS Characteristics'!F6</f>
        <v>0.69899999999999995</v>
      </c>
      <c r="E5" s="634">
        <v>15.23</v>
      </c>
      <c r="F5" s="651"/>
      <c r="G5" s="634">
        <v>22.58</v>
      </c>
      <c r="H5" s="652"/>
      <c r="I5" s="653">
        <v>31.94</v>
      </c>
      <c r="J5" s="651"/>
      <c r="K5" s="653">
        <v>39.14</v>
      </c>
      <c r="L5" s="651"/>
      <c r="M5" s="653">
        <v>46.41</v>
      </c>
      <c r="N5" s="651"/>
      <c r="O5" s="653">
        <v>63.19</v>
      </c>
      <c r="P5" s="654"/>
    </row>
    <row r="6" spans="2:16" ht="16" customHeight="1" x14ac:dyDescent="0.15">
      <c r="B6" s="1064"/>
      <c r="C6" s="552" t="s">
        <v>11</v>
      </c>
      <c r="D6" s="650">
        <f>'S4 - Summ PRS Characteristics'!F7</f>
        <v>0.61699999999999999</v>
      </c>
      <c r="E6" s="634">
        <v>7.6</v>
      </c>
      <c r="F6" s="655">
        <v>5.87</v>
      </c>
      <c r="G6" s="634">
        <v>9.98</v>
      </c>
      <c r="H6" s="634">
        <v>7.73</v>
      </c>
      <c r="I6" s="653">
        <v>12.56</v>
      </c>
      <c r="J6" s="655">
        <v>9.75</v>
      </c>
      <c r="K6" s="653">
        <v>14.41</v>
      </c>
      <c r="L6" s="655">
        <v>11.21</v>
      </c>
      <c r="M6" s="653">
        <v>16.239999999999998</v>
      </c>
      <c r="N6" s="655">
        <v>12.65</v>
      </c>
      <c r="O6" s="653">
        <v>20.49</v>
      </c>
      <c r="P6" s="656">
        <v>16.04</v>
      </c>
    </row>
    <row r="7" spans="2:16" ht="16" customHeight="1" x14ac:dyDescent="0.15">
      <c r="B7" s="1064"/>
      <c r="C7" s="552" t="s">
        <v>12</v>
      </c>
      <c r="D7" s="650">
        <f>'S4 - Summ PRS Characteristics'!F8</f>
        <v>0.57899999999999996</v>
      </c>
      <c r="E7" s="634">
        <v>1.79</v>
      </c>
      <c r="F7" s="655">
        <v>1.63</v>
      </c>
      <c r="G7" s="634">
        <v>2.19</v>
      </c>
      <c r="H7" s="634">
        <v>1.99</v>
      </c>
      <c r="I7" s="653">
        <v>2.58</v>
      </c>
      <c r="J7" s="655">
        <v>2.34</v>
      </c>
      <c r="K7" s="653">
        <v>2.84</v>
      </c>
      <c r="L7" s="655">
        <v>2.58</v>
      </c>
      <c r="M7" s="653">
        <v>3.09</v>
      </c>
      <c r="N7" s="655">
        <v>2.81</v>
      </c>
      <c r="O7" s="653">
        <v>3.66</v>
      </c>
      <c r="P7" s="656">
        <v>3.33</v>
      </c>
    </row>
    <row r="8" spans="2:16" ht="16" customHeight="1" x14ac:dyDescent="0.15">
      <c r="B8" s="1064"/>
      <c r="C8" s="552" t="s">
        <v>13</v>
      </c>
      <c r="D8" s="650">
        <f>'S4 - Summ PRS Characteristics'!F9</f>
        <v>0.55800000000000005</v>
      </c>
      <c r="E8" s="652"/>
      <c r="F8" s="655">
        <v>2.09</v>
      </c>
      <c r="G8" s="652"/>
      <c r="H8" s="634">
        <v>2.4300000000000002</v>
      </c>
      <c r="I8" s="657"/>
      <c r="J8" s="655">
        <v>2.74</v>
      </c>
      <c r="K8" s="657"/>
      <c r="L8" s="655">
        <v>2.95</v>
      </c>
      <c r="M8" s="657"/>
      <c r="N8" s="655">
        <v>3.14</v>
      </c>
      <c r="O8" s="657"/>
      <c r="P8" s="656">
        <v>3.54</v>
      </c>
    </row>
    <row r="9" spans="2:16" ht="16" customHeight="1" x14ac:dyDescent="0.15">
      <c r="B9" s="1064"/>
      <c r="C9" s="552" t="s">
        <v>14</v>
      </c>
      <c r="D9" s="650">
        <f>'S4 - Summ PRS Characteristics'!F10</f>
        <v>0.51700000000000002</v>
      </c>
      <c r="E9" s="634">
        <v>2.5499999999999998</v>
      </c>
      <c r="F9" s="655">
        <v>1.47</v>
      </c>
      <c r="G9" s="634">
        <v>2.67</v>
      </c>
      <c r="H9" s="634">
        <v>1.54</v>
      </c>
      <c r="I9" s="653">
        <v>2.77</v>
      </c>
      <c r="J9" s="655">
        <v>1.59</v>
      </c>
      <c r="K9" s="653">
        <v>2.83</v>
      </c>
      <c r="L9" s="655">
        <v>1.63</v>
      </c>
      <c r="M9" s="653">
        <v>2.88</v>
      </c>
      <c r="N9" s="655">
        <v>1.66</v>
      </c>
      <c r="O9" s="653">
        <v>2.99</v>
      </c>
      <c r="P9" s="656">
        <v>1.72</v>
      </c>
    </row>
    <row r="10" spans="2:16" ht="16" customHeight="1" x14ac:dyDescent="0.15">
      <c r="B10" s="1064"/>
      <c r="C10" s="552" t="s">
        <v>32</v>
      </c>
      <c r="D10" s="650">
        <f>'S4 - Summ PRS Characteristics'!F11</f>
        <v>0.55200000000000005</v>
      </c>
      <c r="E10" s="634">
        <v>8.36</v>
      </c>
      <c r="F10" s="655">
        <v>7.12</v>
      </c>
      <c r="G10" s="634">
        <v>9.57</v>
      </c>
      <c r="H10" s="634">
        <v>8.15</v>
      </c>
      <c r="I10" s="653">
        <v>10.65</v>
      </c>
      <c r="J10" s="655">
        <v>9.08</v>
      </c>
      <c r="K10" s="653">
        <v>11.35</v>
      </c>
      <c r="L10" s="655">
        <v>9.67</v>
      </c>
      <c r="M10" s="653">
        <v>12</v>
      </c>
      <c r="N10" s="655">
        <v>10.220000000000001</v>
      </c>
      <c r="O10" s="653">
        <v>13.37</v>
      </c>
      <c r="P10" s="656">
        <v>11.4</v>
      </c>
    </row>
    <row r="11" spans="2:16" ht="16" customHeight="1" thickBot="1" x14ac:dyDescent="0.2">
      <c r="B11" s="1065"/>
      <c r="C11" s="613" t="s">
        <v>17</v>
      </c>
      <c r="D11" s="658">
        <f>'S4 - Summ PRS Characteristics'!F12</f>
        <v>0.70299999999999996</v>
      </c>
      <c r="E11" s="659">
        <v>0.54</v>
      </c>
      <c r="F11" s="660"/>
      <c r="G11" s="659">
        <v>0.84</v>
      </c>
      <c r="H11" s="661"/>
      <c r="I11" s="662">
        <v>1.26</v>
      </c>
      <c r="J11" s="660"/>
      <c r="K11" s="662">
        <v>1.61</v>
      </c>
      <c r="L11" s="660"/>
      <c r="M11" s="662">
        <v>2.0099999999999998</v>
      </c>
      <c r="N11" s="660"/>
      <c r="O11" s="662">
        <v>3.1</v>
      </c>
      <c r="P11" s="663"/>
    </row>
    <row r="12" spans="2:16" ht="16" customHeight="1" x14ac:dyDescent="0.15">
      <c r="B12" s="1063" t="s">
        <v>288</v>
      </c>
      <c r="C12" s="552" t="s">
        <v>8</v>
      </c>
      <c r="D12" s="664">
        <f>'S4 - Summ PRS Characteristics'!F13</f>
        <v>0.68799999999999994</v>
      </c>
      <c r="E12" s="652"/>
      <c r="F12" s="655">
        <v>14.28</v>
      </c>
      <c r="G12" s="652"/>
      <c r="H12" s="634">
        <v>20.93</v>
      </c>
      <c r="I12" s="665"/>
      <c r="J12" s="666">
        <v>29.28</v>
      </c>
      <c r="K12" s="665"/>
      <c r="L12" s="666">
        <v>35.71</v>
      </c>
      <c r="M12" s="665"/>
      <c r="N12" s="666">
        <v>42.24</v>
      </c>
      <c r="O12" s="665"/>
      <c r="P12" s="667">
        <v>57.6</v>
      </c>
    </row>
    <row r="13" spans="2:16" ht="16" customHeight="1" x14ac:dyDescent="0.15">
      <c r="B13" s="1064"/>
      <c r="C13" s="552" t="s">
        <v>10</v>
      </c>
      <c r="D13" s="650">
        <f>'S4 - Summ PRS Characteristics'!F14</f>
        <v>0.71499999999999997</v>
      </c>
      <c r="E13" s="634">
        <v>15.23</v>
      </c>
      <c r="F13" s="651"/>
      <c r="G13" s="634">
        <v>23.08</v>
      </c>
      <c r="H13" s="652"/>
      <c r="I13" s="653">
        <v>33.47</v>
      </c>
      <c r="J13" s="651"/>
      <c r="K13" s="653">
        <v>41.58</v>
      </c>
      <c r="L13" s="651"/>
      <c r="M13" s="653">
        <v>49.82</v>
      </c>
      <c r="N13" s="651"/>
      <c r="O13" s="653">
        <v>66.78</v>
      </c>
      <c r="P13" s="654"/>
    </row>
    <row r="14" spans="2:16" ht="16" customHeight="1" x14ac:dyDescent="0.15">
      <c r="B14" s="1064"/>
      <c r="C14" s="552" t="s">
        <v>11</v>
      </c>
      <c r="D14" s="650">
        <f>'S4 - Summ PRS Characteristics'!F15</f>
        <v>0.64100000000000001</v>
      </c>
      <c r="E14" s="634">
        <v>7.6</v>
      </c>
      <c r="F14" s="655">
        <v>5.87</v>
      </c>
      <c r="G14" s="634">
        <v>10.45</v>
      </c>
      <c r="H14" s="634">
        <v>8.09</v>
      </c>
      <c r="I14" s="653">
        <v>13.74</v>
      </c>
      <c r="J14" s="655">
        <v>10.68</v>
      </c>
      <c r="K14" s="653">
        <v>16.2</v>
      </c>
      <c r="L14" s="655">
        <v>12.62</v>
      </c>
      <c r="M14" s="653">
        <v>18.690000000000001</v>
      </c>
      <c r="N14" s="655">
        <v>14.6</v>
      </c>
      <c r="O14" s="653">
        <v>24.66</v>
      </c>
      <c r="P14" s="656">
        <v>19.39</v>
      </c>
    </row>
    <row r="15" spans="2:16" ht="16" customHeight="1" x14ac:dyDescent="0.15">
      <c r="B15" s="1064"/>
      <c r="C15" s="552" t="s">
        <v>12</v>
      </c>
      <c r="D15" s="650">
        <f>'S4 - Summ PRS Characteristics'!F16</f>
        <v>0.65</v>
      </c>
      <c r="E15" s="634">
        <v>1.79</v>
      </c>
      <c r="F15" s="655">
        <v>1.63</v>
      </c>
      <c r="G15" s="634">
        <v>2.5299999999999998</v>
      </c>
      <c r="H15" s="634">
        <v>2.2999999999999998</v>
      </c>
      <c r="I15" s="653">
        <v>3.43</v>
      </c>
      <c r="J15" s="655">
        <v>3.12</v>
      </c>
      <c r="K15" s="653">
        <v>4.13</v>
      </c>
      <c r="L15" s="655">
        <v>3.75</v>
      </c>
      <c r="M15" s="653">
        <v>4.8499999999999996</v>
      </c>
      <c r="N15" s="655">
        <v>4.41</v>
      </c>
      <c r="O15" s="653">
        <v>6.68</v>
      </c>
      <c r="P15" s="656">
        <v>6.08</v>
      </c>
    </row>
    <row r="16" spans="2:16" ht="16" customHeight="1" x14ac:dyDescent="0.15">
      <c r="B16" s="1064"/>
      <c r="C16" s="552" t="s">
        <v>13</v>
      </c>
      <c r="D16" s="650">
        <f>'S4 - Summ PRS Characteristics'!F17</f>
        <v>0.61399999999999999</v>
      </c>
      <c r="E16" s="652"/>
      <c r="F16" s="655">
        <v>2.09</v>
      </c>
      <c r="G16" s="652"/>
      <c r="H16" s="634">
        <v>2.75</v>
      </c>
      <c r="I16" s="657"/>
      <c r="J16" s="655">
        <v>3.47</v>
      </c>
      <c r="K16" s="657"/>
      <c r="L16" s="655">
        <v>3.99</v>
      </c>
      <c r="M16" s="657"/>
      <c r="N16" s="655">
        <v>4.51</v>
      </c>
      <c r="O16" s="657"/>
      <c r="P16" s="656">
        <v>5.73</v>
      </c>
    </row>
    <row r="17" spans="2:17" ht="16" customHeight="1" x14ac:dyDescent="0.15">
      <c r="B17" s="1064"/>
      <c r="C17" s="552" t="s">
        <v>14</v>
      </c>
      <c r="D17" s="650">
        <f>'S4 - Summ PRS Characteristics'!F18</f>
        <v>0.64500000000000002</v>
      </c>
      <c r="E17" s="634">
        <v>2.5499999999999998</v>
      </c>
      <c r="F17" s="655">
        <v>1.47</v>
      </c>
      <c r="G17" s="634">
        <v>3.56</v>
      </c>
      <c r="H17" s="634">
        <v>2.0499999999999998</v>
      </c>
      <c r="I17" s="634">
        <v>4.76</v>
      </c>
      <c r="J17" s="655">
        <v>2.75</v>
      </c>
      <c r="K17" s="653">
        <v>5.67</v>
      </c>
      <c r="L17" s="655">
        <v>3.28</v>
      </c>
      <c r="M17" s="653">
        <v>6.61</v>
      </c>
      <c r="N17" s="655">
        <v>3.83</v>
      </c>
      <c r="O17" s="653">
        <v>8.94</v>
      </c>
      <c r="P17" s="656">
        <v>5.19</v>
      </c>
    </row>
    <row r="18" spans="2:17" ht="16" customHeight="1" x14ac:dyDescent="0.15">
      <c r="B18" s="1064"/>
      <c r="C18" s="552" t="s">
        <v>32</v>
      </c>
      <c r="D18" s="650">
        <f>'S4 - Summ PRS Characteristics'!F19</f>
        <v>0.60899999999999999</v>
      </c>
      <c r="E18" s="634">
        <v>8.36</v>
      </c>
      <c r="F18" s="655">
        <v>7.12</v>
      </c>
      <c r="G18" s="634">
        <v>10.87</v>
      </c>
      <c r="H18" s="634">
        <v>9.26</v>
      </c>
      <c r="I18" s="653">
        <v>13.53</v>
      </c>
      <c r="J18" s="655">
        <v>11.53</v>
      </c>
      <c r="K18" s="653">
        <v>15.44</v>
      </c>
      <c r="L18" s="655">
        <v>13.16</v>
      </c>
      <c r="M18" s="653">
        <v>17.32</v>
      </c>
      <c r="N18" s="655">
        <v>14.76</v>
      </c>
      <c r="O18" s="653">
        <v>21.7</v>
      </c>
      <c r="P18" s="656">
        <v>18.5</v>
      </c>
    </row>
    <row r="19" spans="2:17" ht="16" customHeight="1" thickBot="1" x14ac:dyDescent="0.2">
      <c r="B19" s="1065"/>
      <c r="C19" s="613" t="s">
        <v>17</v>
      </c>
      <c r="D19" s="658">
        <f>'S4 - Summ PRS Characteristics'!F20</f>
        <v>0.83799999999999997</v>
      </c>
      <c r="E19" s="659">
        <v>0.54</v>
      </c>
      <c r="F19" s="660"/>
      <c r="G19" s="659">
        <v>0.99</v>
      </c>
      <c r="H19" s="661"/>
      <c r="I19" s="662">
        <v>1.91</v>
      </c>
      <c r="J19" s="660"/>
      <c r="K19" s="662">
        <v>2.92</v>
      </c>
      <c r="L19" s="660"/>
      <c r="M19" s="662">
        <v>4.2699999999999996</v>
      </c>
      <c r="N19" s="660"/>
      <c r="O19" s="662">
        <v>9.15</v>
      </c>
      <c r="P19" s="663"/>
    </row>
    <row r="20" spans="2:17" ht="16" customHeight="1" x14ac:dyDescent="0.15">
      <c r="B20" s="1063" t="s">
        <v>295</v>
      </c>
      <c r="C20" s="552" t="s">
        <v>8</v>
      </c>
      <c r="D20" s="650">
        <f>'S4 - Summ PRS Characteristics'!F21</f>
        <v>0.71</v>
      </c>
      <c r="E20" s="668"/>
      <c r="F20" s="669">
        <v>14.28</v>
      </c>
      <c r="G20" s="668"/>
      <c r="H20" s="670">
        <v>21.61</v>
      </c>
      <c r="I20" s="671"/>
      <c r="J20" s="669">
        <v>31.31</v>
      </c>
      <c r="K20" s="671"/>
      <c r="L20" s="669">
        <v>38.979999999999997</v>
      </c>
      <c r="M20" s="671"/>
      <c r="N20" s="669">
        <v>46.81</v>
      </c>
      <c r="O20" s="671"/>
      <c r="P20" s="672">
        <v>65.3</v>
      </c>
    </row>
    <row r="21" spans="2:17" ht="16" customHeight="1" x14ac:dyDescent="0.15">
      <c r="B21" s="1064"/>
      <c r="C21" s="552" t="s">
        <v>10</v>
      </c>
      <c r="D21" s="650">
        <f>'S4 - Summ PRS Characteristics'!F22</f>
        <v>0.73</v>
      </c>
      <c r="E21" s="670">
        <v>15.23</v>
      </c>
      <c r="F21" s="673"/>
      <c r="G21" s="674">
        <v>23.55</v>
      </c>
      <c r="H21" s="668"/>
      <c r="I21" s="675">
        <v>34.909999999999997</v>
      </c>
      <c r="J21" s="673"/>
      <c r="K21" s="675">
        <v>43.92</v>
      </c>
      <c r="L21" s="673"/>
      <c r="M21" s="675">
        <v>53.11</v>
      </c>
      <c r="N21" s="673"/>
      <c r="O21" s="675">
        <v>74.02</v>
      </c>
      <c r="P21" s="676"/>
    </row>
    <row r="22" spans="2:17" ht="16" customHeight="1" x14ac:dyDescent="0.15">
      <c r="B22" s="1064"/>
      <c r="C22" s="552" t="s">
        <v>11</v>
      </c>
      <c r="D22" s="650">
        <f>'S4 - Summ PRS Characteristics'!F23</f>
        <v>0.68</v>
      </c>
      <c r="E22" s="670">
        <v>7.6</v>
      </c>
      <c r="F22" s="669">
        <v>5.87</v>
      </c>
      <c r="G22" s="670">
        <v>11.18</v>
      </c>
      <c r="H22" s="670">
        <v>8.66</v>
      </c>
      <c r="I22" s="675">
        <v>15.77</v>
      </c>
      <c r="J22" s="669">
        <v>12.28</v>
      </c>
      <c r="K22" s="675">
        <v>19.420000000000002</v>
      </c>
      <c r="L22" s="669">
        <v>15.18</v>
      </c>
      <c r="M22" s="675">
        <v>23.25</v>
      </c>
      <c r="N22" s="669">
        <v>18.25</v>
      </c>
      <c r="O22" s="675">
        <v>32.9</v>
      </c>
      <c r="P22" s="672">
        <v>26.1</v>
      </c>
    </row>
    <row r="23" spans="2:17" ht="16" customHeight="1" x14ac:dyDescent="0.15">
      <c r="B23" s="1064"/>
      <c r="C23" s="552" t="s">
        <v>12</v>
      </c>
      <c r="D23" s="650">
        <f>'S4 - Summ PRS Characteristics'!F24</f>
        <v>0.71</v>
      </c>
      <c r="E23" s="670">
        <v>1.79</v>
      </c>
      <c r="F23" s="669">
        <v>1.63</v>
      </c>
      <c r="G23" s="670">
        <v>2.8</v>
      </c>
      <c r="H23" s="670">
        <v>2.5499999999999998</v>
      </c>
      <c r="I23" s="675">
        <v>4.26</v>
      </c>
      <c r="J23" s="669">
        <v>3.87</v>
      </c>
      <c r="K23" s="675">
        <v>5.52</v>
      </c>
      <c r="L23" s="669">
        <v>5.0199999999999996</v>
      </c>
      <c r="M23" s="675">
        <v>6.94</v>
      </c>
      <c r="N23" s="669">
        <v>6.31</v>
      </c>
      <c r="O23" s="677">
        <v>10.92</v>
      </c>
      <c r="P23" s="672">
        <v>9.94</v>
      </c>
    </row>
    <row r="24" spans="2:17" ht="16" customHeight="1" x14ac:dyDescent="0.15">
      <c r="B24" s="1064"/>
      <c r="C24" s="552" t="s">
        <v>13</v>
      </c>
      <c r="D24" s="650">
        <f>'S4 - Summ PRS Characteristics'!F25</f>
        <v>0.64</v>
      </c>
      <c r="E24" s="668"/>
      <c r="F24" s="669">
        <v>2.09</v>
      </c>
      <c r="G24" s="668"/>
      <c r="H24" s="670">
        <v>2.9</v>
      </c>
      <c r="I24" s="671"/>
      <c r="J24" s="669">
        <v>3.84</v>
      </c>
      <c r="K24" s="671"/>
      <c r="L24" s="669">
        <v>4.5599999999999996</v>
      </c>
      <c r="M24" s="671"/>
      <c r="N24" s="669">
        <v>5.29</v>
      </c>
      <c r="O24" s="671"/>
      <c r="P24" s="672">
        <v>7.1</v>
      </c>
    </row>
    <row r="25" spans="2:17" ht="16" customHeight="1" x14ac:dyDescent="0.15">
      <c r="B25" s="1064"/>
      <c r="C25" s="552" t="s">
        <v>14</v>
      </c>
      <c r="D25" s="650">
        <f>'S4 - Summ PRS Characteristics'!F26</f>
        <v>0.7</v>
      </c>
      <c r="E25" s="674">
        <v>2.5499999999999998</v>
      </c>
      <c r="F25" s="678">
        <v>1.47</v>
      </c>
      <c r="G25" s="674">
        <v>3.91</v>
      </c>
      <c r="H25" s="674">
        <v>2.25</v>
      </c>
      <c r="I25" s="677">
        <v>5.8</v>
      </c>
      <c r="J25" s="678">
        <v>3.35</v>
      </c>
      <c r="K25" s="677">
        <v>7.38</v>
      </c>
      <c r="L25" s="678">
        <v>4.28</v>
      </c>
      <c r="M25" s="677">
        <v>9.1199999999999992</v>
      </c>
      <c r="N25" s="678">
        <v>5.3</v>
      </c>
      <c r="O25" s="677">
        <v>13.81</v>
      </c>
      <c r="P25" s="679">
        <v>8.09</v>
      </c>
    </row>
    <row r="26" spans="2:17" ht="16" customHeight="1" x14ac:dyDescent="0.15">
      <c r="B26" s="1064"/>
      <c r="C26" s="552" t="s">
        <v>32</v>
      </c>
      <c r="D26" s="650">
        <f>'S4 - Summ PRS Characteristics'!F27</f>
        <v>0.67</v>
      </c>
      <c r="E26" s="670">
        <v>8.36</v>
      </c>
      <c r="F26" s="669">
        <v>7.12</v>
      </c>
      <c r="G26" s="670">
        <v>12.19</v>
      </c>
      <c r="H26" s="670">
        <v>10.38</v>
      </c>
      <c r="I26" s="675">
        <v>17.04</v>
      </c>
      <c r="J26" s="669">
        <v>14.52</v>
      </c>
      <c r="K26" s="675">
        <v>20.9</v>
      </c>
      <c r="L26" s="669">
        <v>17.809999999999999</v>
      </c>
      <c r="M26" s="675">
        <v>24.79</v>
      </c>
      <c r="N26" s="669">
        <v>21.29</v>
      </c>
      <c r="O26" s="675">
        <v>35.4</v>
      </c>
      <c r="P26" s="672">
        <v>30.19</v>
      </c>
    </row>
    <row r="27" spans="2:17" ht="16" customHeight="1" thickBot="1" x14ac:dyDescent="0.2">
      <c r="B27" s="1065"/>
      <c r="C27" s="613" t="s">
        <v>17</v>
      </c>
      <c r="D27" s="658">
        <f>'S4 - Summ PRS Characteristics'!F28</f>
        <v>0.88</v>
      </c>
      <c r="E27" s="680">
        <v>0.54</v>
      </c>
      <c r="F27" s="681"/>
      <c r="G27" s="682">
        <v>1.03</v>
      </c>
      <c r="H27" s="683"/>
      <c r="I27" s="684">
        <v>2.13</v>
      </c>
      <c r="J27" s="681"/>
      <c r="K27" s="684">
        <v>3.46</v>
      </c>
      <c r="L27" s="681"/>
      <c r="M27" s="684">
        <v>5.37</v>
      </c>
      <c r="N27" s="681"/>
      <c r="O27" s="684">
        <v>12.95</v>
      </c>
      <c r="P27" s="685"/>
    </row>
    <row r="29" spans="2:17" ht="16" customHeight="1" x14ac:dyDescent="0.15">
      <c r="B29" s="1066" t="s">
        <v>379</v>
      </c>
      <c r="C29" s="1066"/>
      <c r="D29" s="1066"/>
      <c r="E29" s="1066"/>
      <c r="F29" s="1066"/>
      <c r="G29" s="1066"/>
      <c r="H29" s="1066"/>
      <c r="I29" s="1066"/>
      <c r="J29" s="1066"/>
      <c r="K29" s="1066"/>
      <c r="L29" s="1066"/>
      <c r="M29" s="1066"/>
      <c r="N29" s="1066"/>
      <c r="O29" s="1066"/>
      <c r="P29" s="1066"/>
      <c r="Q29" s="1066"/>
    </row>
    <row r="30" spans="2:17" x14ac:dyDescent="0.15">
      <c r="B30" s="1066"/>
      <c r="C30" s="1066"/>
      <c r="D30" s="1066"/>
      <c r="E30" s="1066"/>
      <c r="F30" s="1066"/>
      <c r="G30" s="1066"/>
      <c r="H30" s="1066"/>
      <c r="I30" s="1066"/>
      <c r="J30" s="1066"/>
      <c r="K30" s="1066"/>
      <c r="L30" s="1066"/>
      <c r="M30" s="1066"/>
      <c r="N30" s="1066"/>
      <c r="O30" s="1066"/>
      <c r="P30" s="1066"/>
      <c r="Q30" s="1066"/>
    </row>
    <row r="31" spans="2:17" x14ac:dyDescent="0.15">
      <c r="B31" s="1066"/>
      <c r="C31" s="1066"/>
      <c r="D31" s="1066"/>
      <c r="E31" s="1066"/>
      <c r="F31" s="1066"/>
      <c r="G31" s="1066"/>
      <c r="H31" s="1066"/>
      <c r="I31" s="1066"/>
      <c r="J31" s="1066"/>
      <c r="K31" s="1066"/>
      <c r="L31" s="1066"/>
      <c r="M31" s="1066"/>
      <c r="N31" s="1066"/>
      <c r="O31" s="1066"/>
      <c r="P31" s="1066"/>
      <c r="Q31" s="1066"/>
    </row>
  </sheetData>
  <mergeCells count="12">
    <mergeCell ref="B4:B11"/>
    <mergeCell ref="B12:B19"/>
    <mergeCell ref="B20:B27"/>
    <mergeCell ref="B29:Q31"/>
    <mergeCell ref="D2:D3"/>
    <mergeCell ref="C2:C3"/>
    <mergeCell ref="M2:N2"/>
    <mergeCell ref="O2:P2"/>
    <mergeCell ref="E2:F2"/>
    <mergeCell ref="I2:J2"/>
    <mergeCell ref="K2:L2"/>
    <mergeCell ref="G2:H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ADECF-955D-48A2-A28E-A91F4348106E}">
  <dimension ref="B1:AN153"/>
  <sheetViews>
    <sheetView zoomScale="87" zoomScaleNormal="87" workbookViewId="0">
      <selection activeCell="R8" sqref="R8"/>
    </sheetView>
  </sheetViews>
  <sheetFormatPr baseColWidth="10" defaultColWidth="11.1640625" defaultRowHeight="13" x14ac:dyDescent="0.15"/>
  <cols>
    <col min="1" max="1" width="3.83203125" style="546" customWidth="1"/>
    <col min="2" max="2" width="9.83203125" style="546" customWidth="1"/>
    <col min="3" max="3" width="11.5" style="740" customWidth="1"/>
    <col min="4" max="4" width="10.83203125" style="546" customWidth="1"/>
    <col min="5" max="6" width="8.33203125" style="546" customWidth="1"/>
    <col min="7" max="7" width="9.33203125" style="706" customWidth="1"/>
    <col min="8" max="8" width="8.33203125" style="546" hidden="1" customWidth="1"/>
    <col min="9" max="9" width="0.33203125" style="546" hidden="1" customWidth="1"/>
    <col min="10" max="10" width="8.33203125" style="546" customWidth="1"/>
    <col min="11" max="11" width="9.33203125" style="546" customWidth="1"/>
    <col min="12" max="16" width="8.33203125" style="546" customWidth="1"/>
    <col min="17" max="22" width="8.33203125" style="706" customWidth="1"/>
    <col min="23" max="40" width="8.33203125" style="546" customWidth="1"/>
    <col min="41" max="16384" width="11.1640625" style="546"/>
  </cols>
  <sheetData>
    <row r="1" spans="2:40" ht="16" customHeight="1" thickBot="1" x14ac:dyDescent="0.2">
      <c r="B1" s="737"/>
      <c r="C1" s="738"/>
    </row>
    <row r="2" spans="2:40" ht="13" customHeight="1" x14ac:dyDescent="0.15">
      <c r="B2" s="1116" t="s">
        <v>181</v>
      </c>
      <c r="C2" s="1116" t="s">
        <v>380</v>
      </c>
      <c r="D2" s="1136" t="s">
        <v>182</v>
      </c>
      <c r="E2" s="1119" t="s">
        <v>183</v>
      </c>
      <c r="F2" s="1120"/>
      <c r="G2" s="1125" t="s">
        <v>184</v>
      </c>
      <c r="H2" s="1126"/>
      <c r="I2" s="1126"/>
      <c r="J2" s="1127"/>
      <c r="K2" s="1087" t="s">
        <v>208</v>
      </c>
      <c r="L2" s="1088"/>
      <c r="M2" s="1088"/>
      <c r="N2" s="1088"/>
      <c r="O2" s="1088"/>
      <c r="P2" s="1089"/>
      <c r="Q2" s="1104" t="s">
        <v>208</v>
      </c>
      <c r="R2" s="1105"/>
      <c r="S2" s="1105"/>
      <c r="T2" s="1105"/>
      <c r="U2" s="1105"/>
      <c r="V2" s="1105"/>
      <c r="W2" s="1087" t="s">
        <v>208</v>
      </c>
      <c r="X2" s="1088"/>
      <c r="Y2" s="1088"/>
      <c r="Z2" s="1088"/>
      <c r="AA2" s="1088"/>
      <c r="AB2" s="1088"/>
      <c r="AC2" s="1104" t="s">
        <v>208</v>
      </c>
      <c r="AD2" s="1105"/>
      <c r="AE2" s="1105"/>
      <c r="AF2" s="1105"/>
      <c r="AG2" s="1105"/>
      <c r="AH2" s="1105"/>
      <c r="AI2" s="1087" t="s">
        <v>208</v>
      </c>
      <c r="AJ2" s="1088"/>
      <c r="AK2" s="1088"/>
      <c r="AL2" s="1088"/>
      <c r="AM2" s="1088"/>
      <c r="AN2" s="1089"/>
    </row>
    <row r="3" spans="2:40" ht="13" customHeight="1" x14ac:dyDescent="0.15">
      <c r="B3" s="1117"/>
      <c r="C3" s="1117"/>
      <c r="D3" s="1137"/>
      <c r="E3" s="1121"/>
      <c r="F3" s="1122"/>
      <c r="G3" s="1128"/>
      <c r="H3" s="1129"/>
      <c r="I3" s="1129"/>
      <c r="J3" s="1130"/>
      <c r="K3" s="1090">
        <v>0.5</v>
      </c>
      <c r="L3" s="1091"/>
      <c r="M3" s="1091"/>
      <c r="N3" s="1091"/>
      <c r="O3" s="1091"/>
      <c r="P3" s="1092"/>
      <c r="Q3" s="1106">
        <v>0.2</v>
      </c>
      <c r="R3" s="1107"/>
      <c r="S3" s="1107"/>
      <c r="T3" s="1107"/>
      <c r="U3" s="1107"/>
      <c r="V3" s="1107"/>
      <c r="W3" s="1090">
        <v>0.1</v>
      </c>
      <c r="X3" s="1091"/>
      <c r="Y3" s="1091"/>
      <c r="Z3" s="1091"/>
      <c r="AA3" s="1091"/>
      <c r="AB3" s="1091"/>
      <c r="AC3" s="1106">
        <v>0.05</v>
      </c>
      <c r="AD3" s="1107"/>
      <c r="AE3" s="1107"/>
      <c r="AF3" s="1107"/>
      <c r="AG3" s="1107"/>
      <c r="AH3" s="1107"/>
      <c r="AI3" s="1090">
        <v>0.01</v>
      </c>
      <c r="AJ3" s="1091"/>
      <c r="AK3" s="1091"/>
      <c r="AL3" s="1091"/>
      <c r="AM3" s="1091"/>
      <c r="AN3" s="1092"/>
    </row>
    <row r="4" spans="2:40" ht="13" customHeight="1" x14ac:dyDescent="0.15">
      <c r="B4" s="1117"/>
      <c r="C4" s="1117"/>
      <c r="D4" s="1137"/>
      <c r="E4" s="1123"/>
      <c r="F4" s="1124"/>
      <c r="G4" s="1131"/>
      <c r="H4" s="1132"/>
      <c r="I4" s="1132"/>
      <c r="J4" s="1133"/>
      <c r="K4" s="1093" t="s">
        <v>185</v>
      </c>
      <c r="L4" s="1094"/>
      <c r="M4" s="1094"/>
      <c r="N4" s="1094"/>
      <c r="O4" s="1094"/>
      <c r="P4" s="1095"/>
      <c r="Q4" s="1108" t="s">
        <v>185</v>
      </c>
      <c r="R4" s="1109"/>
      <c r="S4" s="1109"/>
      <c r="T4" s="1109"/>
      <c r="U4" s="1109"/>
      <c r="V4" s="1109"/>
      <c r="W4" s="1093" t="s">
        <v>185</v>
      </c>
      <c r="X4" s="1094"/>
      <c r="Y4" s="1094"/>
      <c r="Z4" s="1094"/>
      <c r="AA4" s="1094"/>
      <c r="AB4" s="1094"/>
      <c r="AC4" s="1108" t="s">
        <v>185</v>
      </c>
      <c r="AD4" s="1109"/>
      <c r="AE4" s="1109"/>
      <c r="AF4" s="1109"/>
      <c r="AG4" s="1109"/>
      <c r="AH4" s="1109"/>
      <c r="AI4" s="1093" t="s">
        <v>185</v>
      </c>
      <c r="AJ4" s="1094"/>
      <c r="AK4" s="1094"/>
      <c r="AL4" s="1094"/>
      <c r="AM4" s="1094"/>
      <c r="AN4" s="1095"/>
    </row>
    <row r="5" spans="2:40" s="739" customFormat="1" ht="45" customHeight="1" x14ac:dyDescent="0.15">
      <c r="B5" s="1117"/>
      <c r="C5" s="1117"/>
      <c r="D5" s="1137"/>
      <c r="E5" s="1139" t="s">
        <v>40</v>
      </c>
      <c r="F5" s="1139" t="s">
        <v>41</v>
      </c>
      <c r="G5" s="1141" t="s">
        <v>209</v>
      </c>
      <c r="H5" s="1134" t="s">
        <v>187</v>
      </c>
      <c r="I5" s="1134" t="s">
        <v>188</v>
      </c>
      <c r="J5" s="1143" t="s">
        <v>291</v>
      </c>
      <c r="K5" s="1096" t="s">
        <v>354</v>
      </c>
      <c r="L5" s="1098" t="s">
        <v>346</v>
      </c>
      <c r="M5" s="1100" t="s">
        <v>355</v>
      </c>
      <c r="N5" s="1100" t="s">
        <v>356</v>
      </c>
      <c r="O5" s="1098" t="s">
        <v>357</v>
      </c>
      <c r="P5" s="1102" t="s">
        <v>212</v>
      </c>
      <c r="Q5" s="1112" t="s">
        <v>354</v>
      </c>
      <c r="R5" s="1114" t="s">
        <v>346</v>
      </c>
      <c r="S5" s="1145" t="s">
        <v>355</v>
      </c>
      <c r="T5" s="1145" t="s">
        <v>356</v>
      </c>
      <c r="U5" s="1114" t="s">
        <v>357</v>
      </c>
      <c r="V5" s="1110" t="s">
        <v>212</v>
      </c>
      <c r="W5" s="1096" t="s">
        <v>354</v>
      </c>
      <c r="X5" s="1098" t="s">
        <v>346</v>
      </c>
      <c r="Y5" s="1100" t="s">
        <v>355</v>
      </c>
      <c r="Z5" s="1100" t="s">
        <v>356</v>
      </c>
      <c r="AA5" s="1098" t="s">
        <v>357</v>
      </c>
      <c r="AB5" s="1102" t="s">
        <v>212</v>
      </c>
      <c r="AC5" s="1112" t="s">
        <v>354</v>
      </c>
      <c r="AD5" s="1114" t="s">
        <v>346</v>
      </c>
      <c r="AE5" s="1145" t="s">
        <v>355</v>
      </c>
      <c r="AF5" s="1145" t="s">
        <v>356</v>
      </c>
      <c r="AG5" s="1114" t="s">
        <v>357</v>
      </c>
      <c r="AH5" s="1110" t="s">
        <v>212</v>
      </c>
      <c r="AI5" s="1096" t="s">
        <v>354</v>
      </c>
      <c r="AJ5" s="1098" t="s">
        <v>346</v>
      </c>
      <c r="AK5" s="1100" t="s">
        <v>355</v>
      </c>
      <c r="AL5" s="1100" t="s">
        <v>356</v>
      </c>
      <c r="AM5" s="1098" t="s">
        <v>357</v>
      </c>
      <c r="AN5" s="1102" t="s">
        <v>212</v>
      </c>
    </row>
    <row r="6" spans="2:40" s="739" customFormat="1" ht="45" customHeight="1" thickBot="1" x14ac:dyDescent="0.2">
      <c r="B6" s="1118"/>
      <c r="C6" s="1118"/>
      <c r="D6" s="1138"/>
      <c r="E6" s="1140"/>
      <c r="F6" s="1140"/>
      <c r="G6" s="1142"/>
      <c r="H6" s="1135"/>
      <c r="I6" s="1135"/>
      <c r="J6" s="1144"/>
      <c r="K6" s="1097"/>
      <c r="L6" s="1099"/>
      <c r="M6" s="1101"/>
      <c r="N6" s="1101"/>
      <c r="O6" s="1099"/>
      <c r="P6" s="1103"/>
      <c r="Q6" s="1113"/>
      <c r="R6" s="1115"/>
      <c r="S6" s="1146"/>
      <c r="T6" s="1146"/>
      <c r="U6" s="1115"/>
      <c r="V6" s="1111"/>
      <c r="W6" s="1097"/>
      <c r="X6" s="1099"/>
      <c r="Y6" s="1101"/>
      <c r="Z6" s="1101"/>
      <c r="AA6" s="1099"/>
      <c r="AB6" s="1103"/>
      <c r="AC6" s="1113"/>
      <c r="AD6" s="1115"/>
      <c r="AE6" s="1146"/>
      <c r="AF6" s="1146"/>
      <c r="AG6" s="1115"/>
      <c r="AH6" s="1111"/>
      <c r="AI6" s="1097"/>
      <c r="AJ6" s="1099"/>
      <c r="AK6" s="1101"/>
      <c r="AL6" s="1101"/>
      <c r="AM6" s="1099"/>
      <c r="AN6" s="1103"/>
    </row>
    <row r="7" spans="2:40" ht="13" customHeight="1" thickBot="1" x14ac:dyDescent="0.2">
      <c r="B7" s="686" t="s">
        <v>8</v>
      </c>
      <c r="C7" s="687"/>
      <c r="D7" s="688"/>
      <c r="E7" s="689"/>
      <c r="F7" s="690"/>
      <c r="G7" s="691"/>
      <c r="H7" s="692"/>
      <c r="I7" s="692"/>
      <c r="J7" s="693"/>
      <c r="K7" s="694"/>
      <c r="L7" s="694"/>
      <c r="M7" s="694"/>
      <c r="N7" s="694"/>
      <c r="O7" s="694"/>
      <c r="P7" s="694"/>
      <c r="Q7" s="695"/>
      <c r="R7" s="696"/>
      <c r="S7" s="696"/>
      <c r="T7" s="696"/>
      <c r="U7" s="696"/>
      <c r="V7" s="697"/>
      <c r="W7" s="695"/>
      <c r="X7" s="696"/>
      <c r="Y7" s="696"/>
      <c r="Z7" s="696"/>
      <c r="AA7" s="696"/>
      <c r="AB7" s="697"/>
      <c r="AC7" s="696"/>
      <c r="AD7" s="696"/>
      <c r="AE7" s="696"/>
      <c r="AF7" s="698"/>
      <c r="AG7" s="696"/>
      <c r="AH7" s="697"/>
      <c r="AI7" s="695"/>
      <c r="AJ7" s="696"/>
      <c r="AK7" s="696"/>
      <c r="AL7" s="696"/>
      <c r="AM7" s="696"/>
      <c r="AN7" s="699"/>
    </row>
    <row r="8" spans="2:40" ht="11" customHeight="1" x14ac:dyDescent="0.15">
      <c r="B8" s="700" t="s">
        <v>8</v>
      </c>
      <c r="C8" s="1081" t="s">
        <v>162</v>
      </c>
      <c r="D8" s="593" t="s">
        <v>192</v>
      </c>
      <c r="E8" s="701">
        <f>VLOOKUP($B8&amp;"_"&amp;$D8,'App5 - CRUK Inci Rates'!C:H,6,FALSE)</f>
        <v>0</v>
      </c>
      <c r="F8" s="702">
        <f>VLOOKUP($B8&amp;"_"&amp;$D8,'App5 - CRUK Inci Rates'!C:H,3,FALSE)</f>
        <v>124.6</v>
      </c>
      <c r="G8" s="703">
        <f>VLOOKUP($B8&amp;"_"&amp;$D8,'App5 - CRUK Inci Rates'!C:J,8,FALSE)</f>
        <v>2054223.3333333333</v>
      </c>
      <c r="H8" s="704">
        <f>VLOOKUP($B8&amp;"_"&amp;$D8,'App5 - CRUK Inci Rates'!C:J,7,FALSE)</f>
        <v>0</v>
      </c>
      <c r="I8" s="704">
        <f>VLOOKUP($B8&amp;"_"&amp;$D8,'App5 - CRUK Inci Rates'!C:J,4,FALSE)</f>
        <v>2054223.3333333333</v>
      </c>
      <c r="J8" s="705">
        <f>VLOOKUP($B8&amp;"_"&amp;$D8,'App5 - CRUK Inci Rates'!C:K,9,FALSE)</f>
        <v>2559</v>
      </c>
      <c r="K8" s="706">
        <f>$G8*$K$3</f>
        <v>1027111.6666666666</v>
      </c>
      <c r="L8" s="706">
        <f>VLOOKUP("*"&amp;$B8&amp;"*",'S4 - Summ PRS Characteristics'!$C$5:$Q$12,11,FALSE)*$J8</f>
        <v>1785.8581995739924</v>
      </c>
      <c r="M8" s="706">
        <f>$J8-$L8</f>
        <v>773.14180042600765</v>
      </c>
      <c r="N8" s="706">
        <f>IF($C8="other",(1-$C$7)*L8,(1-(VLOOKUP($C8,'S3 - Screening Tool Metrics'!$C$3:$G$17,5,FALSE)/100))*L8)</f>
        <v>535.75745987219773</v>
      </c>
      <c r="O8" s="706">
        <f>IF($C8="other",$C$7*L8,(VLOOKUP($C8,'S3 - Screening Tool Metrics'!$C$3:$G$17,5,FALSE)/100)*L8)</f>
        <v>1250.1007397017945</v>
      </c>
      <c r="P8" s="706">
        <f>O8/J8*100</f>
        <v>48.851142622188142</v>
      </c>
      <c r="Q8" s="707">
        <f t="shared" ref="Q8:Q21" si="0">$G8*Q$3</f>
        <v>410844.66666666669</v>
      </c>
      <c r="R8" s="706">
        <f>VLOOKUP("*"&amp;$B8&amp;"*",'S4 - Summ PRS Characteristics'!$C$5:$Q$12,12,FALSE)*$J8</f>
        <v>955.07961416628802</v>
      </c>
      <c r="S8" s="706">
        <f>$J8-R8</f>
        <v>1603.9203858337119</v>
      </c>
      <c r="T8" s="706">
        <f>IF($C8="other",(1-$C7)*R8,(1-(VLOOKUP($C8,'S3 - Screening Tool Metrics'!$C$3:$G$17,5,FALSE)/100))*R8)</f>
        <v>286.52388424988646</v>
      </c>
      <c r="U8" s="706">
        <f>IF($C8="other",$C7*R8,(VLOOKUP($C8,'S3 - Screening Tool Metrics'!$C$3:$G$17,5,FALSE)/100)*R8)</f>
        <v>668.55572991640156</v>
      </c>
      <c r="V8" s="708">
        <f t="shared" ref="V8:V21" si="1">$U8/$J8*100</f>
        <v>26.125663537178646</v>
      </c>
      <c r="W8" s="707">
        <f t="shared" ref="W8:W21" si="2">$G8*W$3</f>
        <v>205422.33333333334</v>
      </c>
      <c r="X8" s="706">
        <f>VLOOKUP("*"&amp;$B8&amp;"*",'S4 - Summ PRS Characteristics'!$C$5:$Q$12,13,FALSE)*$J8</f>
        <v>569.77399305665142</v>
      </c>
      <c r="Y8" s="706">
        <f>$J8-X8</f>
        <v>1989.2260069433487</v>
      </c>
      <c r="Z8" s="706">
        <f>IF($C8="other",(1-$C7)*X8,(1-(VLOOKUP($C8,'S3 - Screening Tool Metrics'!$C$3:$G$17,5,FALSE)/100))*X8)</f>
        <v>170.93219791699545</v>
      </c>
      <c r="AA8" s="706">
        <f>IF($C8="other",$C7*X8,(VLOOKUP($C8,'S3 - Screening Tool Metrics'!$C$3:$G$17,5,FALSE)/100)*X8)</f>
        <v>398.84179513965597</v>
      </c>
      <c r="AB8" s="708">
        <f t="shared" ref="AB8:AB21" si="3">$AA8/$J8*100</f>
        <v>15.585845843675497</v>
      </c>
      <c r="AC8" s="707">
        <f t="shared" ref="AC8:AC21" si="4">$G8*AC$3</f>
        <v>102711.16666666667</v>
      </c>
      <c r="AD8" s="706">
        <f>VLOOKUP("*"&amp;$B8&amp;"*",'S4 - Summ PRS Characteristics'!$C$5:$Q$12,14,FALSE)*$J8</f>
        <v>332.57886363100272</v>
      </c>
      <c r="AE8" s="706">
        <f>$J8-AD8</f>
        <v>2226.4211363689974</v>
      </c>
      <c r="AF8" s="706">
        <f>IF($C8="other",(1-$C7)*AD8,(1-(VLOOKUP($C8,'S3 - Screening Tool Metrics'!$C$3:$G$17,5,FALSE)/100))*AD8)</f>
        <v>99.773659089300835</v>
      </c>
      <c r="AG8" s="706">
        <f>IF($C8="other",$C7*AD8,(VLOOKUP($C8,'S3 - Screening Tool Metrics'!$C$3:$G$17,5,FALSE)/100)*AD8)</f>
        <v>232.8052045417019</v>
      </c>
      <c r="AH8" s="708">
        <f t="shared" ref="AH8:AH21" si="5">$AG8/$J8*100</f>
        <v>9.0975070160883895</v>
      </c>
      <c r="AI8" s="707">
        <f>$G8*AI$3</f>
        <v>20542.233333333334</v>
      </c>
      <c r="AJ8" s="706">
        <f>VLOOKUP("*"&amp;$B8&amp;"*",'S4 - Summ PRS Characteristics'!$C$5:$Q$12,15,FALSE)*$J8</f>
        <v>90.330315474518386</v>
      </c>
      <c r="AK8" s="706">
        <f>$J8-AJ8</f>
        <v>2468.6696845254814</v>
      </c>
      <c r="AL8" s="706">
        <f>IF($C8="other",(1-$C7)*AJ8,(1-(VLOOKUP($C8,'S3 - Screening Tool Metrics'!$C$3:$G$17,5,FALSE)/100))*AJ8)</f>
        <v>27.099094642355521</v>
      </c>
      <c r="AM8" s="706">
        <f>IF($C8="other",$C7*AJ8,(VLOOKUP($C8,'S3 - Screening Tool Metrics'!$C$3:$G$17,5,FALSE)/100)*AJ8)</f>
        <v>63.231220832162869</v>
      </c>
      <c r="AN8" s="709">
        <f t="shared" ref="AN8:AN21" si="6">$AM8/$J8*100</f>
        <v>2.4709347726519293</v>
      </c>
    </row>
    <row r="9" spans="2:40" ht="11" customHeight="1" x14ac:dyDescent="0.15">
      <c r="B9" s="700" t="s">
        <v>8</v>
      </c>
      <c r="C9" s="1082" t="str">
        <f>$C8</f>
        <v>Digital mammography</v>
      </c>
      <c r="D9" s="552" t="s">
        <v>193</v>
      </c>
      <c r="E9" s="710">
        <f>VLOOKUP($B9&amp;"_"&amp;$D9,'App5 - CRUK Inci Rates'!C:H,6,FALSE)</f>
        <v>0</v>
      </c>
      <c r="F9" s="711">
        <f>VLOOKUP($B9&amp;"_"&amp;$D9,'App5 - CRUK Inci Rates'!C:H,3,FALSE)</f>
        <v>214.8</v>
      </c>
      <c r="G9" s="712">
        <f>VLOOKUP($B9&amp;"_"&amp;$D9,'App5 - CRUK Inci Rates'!C:J,8,FALSE)</f>
        <v>2315479.3333333335</v>
      </c>
      <c r="H9" s="713">
        <f>VLOOKUP($B9&amp;"_"&amp;$D9,'App5 - CRUK Inci Rates'!C:J,7,FALSE)</f>
        <v>0</v>
      </c>
      <c r="I9" s="713">
        <f>VLOOKUP($B9&amp;"_"&amp;$D9,'App5 - CRUK Inci Rates'!C:J,4,FALSE)</f>
        <v>2315479.3333333335</v>
      </c>
      <c r="J9" s="709">
        <f>VLOOKUP($B9&amp;"_"&amp;$D9,'App5 - CRUK Inci Rates'!C:K,9,FALSE)</f>
        <v>4974</v>
      </c>
      <c r="K9" s="706">
        <f t="shared" ref="K9:K73" si="7">$G9*$K$3</f>
        <v>1157739.6666666667</v>
      </c>
      <c r="L9" s="706">
        <f>VLOOKUP("*"&amp;$B9&amp;"*",'S4 - Summ PRS Characteristics'!$C$5:$Q$12,11,FALSE)*$J9</f>
        <v>3471.2226200394834</v>
      </c>
      <c r="M9" s="706">
        <f t="shared" ref="M9:M73" si="8">$J9-$L9</f>
        <v>1502.7773799605166</v>
      </c>
      <c r="N9" s="706">
        <f>IF($C9="other",(1-$C$7)*L9,(1-(VLOOKUP($C9,'S3 - Screening Tool Metrics'!$C$3:$G$17,5,FALSE)/100))*L9)</f>
        <v>1041.3667860118451</v>
      </c>
      <c r="O9" s="706">
        <f>IF($C9="other",$C$7*L9,(VLOOKUP($C9,'S3 - Screening Tool Metrics'!$C$3:$G$17,5,FALSE)/100)*L9)</f>
        <v>2429.8558340276381</v>
      </c>
      <c r="P9" s="706">
        <f t="shared" ref="P9:P73" si="9">O9/J9*100</f>
        <v>48.851142622188142</v>
      </c>
      <c r="Q9" s="707">
        <f t="shared" si="0"/>
        <v>463095.8666666667</v>
      </c>
      <c r="R9" s="706">
        <f>VLOOKUP("*"&amp;$B9&amp;"*",'S4 - Summ PRS Characteristics'!$C$5:$Q$12,12,FALSE)*$J9</f>
        <v>1856.4150061989515</v>
      </c>
      <c r="S9" s="706">
        <f t="shared" ref="S9:S21" si="10">$J9-R9</f>
        <v>3117.5849938010488</v>
      </c>
      <c r="T9" s="706">
        <f>IF($C9="other",(1-$C7)*R9,(1-(VLOOKUP($C9,'S3 - Screening Tool Metrics'!$C$3:$G$17,5,FALSE)/100))*R9)</f>
        <v>556.92450185968551</v>
      </c>
      <c r="U9" s="706">
        <f>IF($C9="other",$C7*R9,(VLOOKUP($C9,'S3 - Screening Tool Metrics'!$C$3:$G$17,5,FALSE)/100)*R9)</f>
        <v>1299.490504339266</v>
      </c>
      <c r="V9" s="708">
        <f t="shared" si="1"/>
        <v>26.125663537178649</v>
      </c>
      <c r="W9" s="707">
        <f t="shared" si="2"/>
        <v>231547.93333333335</v>
      </c>
      <c r="X9" s="706">
        <f>VLOOKUP("*"&amp;$B9&amp;"*",'S4 - Summ PRS Characteristics'!$C$5:$Q$12,13,FALSE)*$J9</f>
        <v>1107.4856746634562</v>
      </c>
      <c r="Y9" s="706">
        <f t="shared" ref="Y9:Y21" si="11">$J9-X9</f>
        <v>3866.5143253365441</v>
      </c>
      <c r="Z9" s="706">
        <f>IF($C9="other",(1-$C7)*X9,(1-(VLOOKUP($C9,'S3 - Screening Tool Metrics'!$C$3:$G$17,5,FALSE)/100))*X9)</f>
        <v>332.24570239903687</v>
      </c>
      <c r="AA9" s="706">
        <f>IF($C9="other",$C7*X9,(VLOOKUP($C9,'S3 - Screening Tool Metrics'!$C$3:$G$17,5,FALSE)/100)*X9)</f>
        <v>775.23997226441929</v>
      </c>
      <c r="AB9" s="708">
        <f t="shared" si="3"/>
        <v>15.585845843675497</v>
      </c>
      <c r="AC9" s="707">
        <f t="shared" si="4"/>
        <v>115773.96666666667</v>
      </c>
      <c r="AD9" s="706">
        <f>VLOOKUP("*"&amp;$B9&amp;"*",'S4 - Summ PRS Characteristics'!$C$5:$Q$12,14,FALSE)*$J9</f>
        <v>646.4428556860521</v>
      </c>
      <c r="AE9" s="706">
        <f>$J9-AD9</f>
        <v>4327.5571443139479</v>
      </c>
      <c r="AF9" s="706">
        <f>IF($C9="other",(1-$C7)*AD9,(1-(VLOOKUP($C9,'S3 - Screening Tool Metrics'!$C$3:$G$17,5,FALSE)/100))*AD9)</f>
        <v>193.93285670581565</v>
      </c>
      <c r="AG9" s="706">
        <f>IF($C9="other",$C7*AD9,(VLOOKUP($C9,'S3 - Screening Tool Metrics'!$C$3:$G$17,5,FALSE)/100)*AD9)</f>
        <v>452.50999898023645</v>
      </c>
      <c r="AH9" s="708">
        <f t="shared" si="5"/>
        <v>9.0975070160883877</v>
      </c>
      <c r="AI9" s="707">
        <f t="shared" ref="AI9:AI21" si="12">$G9*AI$3</f>
        <v>23154.793333333335</v>
      </c>
      <c r="AJ9" s="706">
        <f>VLOOKUP("*"&amp;$B9&amp;"*",'S4 - Summ PRS Characteristics'!$C$5:$Q$12,15,FALSE)*$J9</f>
        <v>175.57756513100995</v>
      </c>
      <c r="AK9" s="706">
        <f t="shared" ref="AK9:AK21" si="13">$J9-AJ9</f>
        <v>4798.4224348689904</v>
      </c>
      <c r="AL9" s="706">
        <f>IF($C9="other",(1-$C7)*AJ9,(1-(VLOOKUP($C9,'S3 - Screening Tool Metrics'!$C$3:$G$17,5,FALSE)/100))*AJ9)</f>
        <v>52.673269539302993</v>
      </c>
      <c r="AM9" s="706">
        <f>IF($C9="other",$C7*AJ9,(VLOOKUP($C9,'S3 - Screening Tool Metrics'!$C$3:$G$17,5,FALSE)/100)*AJ9)</f>
        <v>122.90429559170695</v>
      </c>
      <c r="AN9" s="709">
        <f t="shared" si="6"/>
        <v>2.4709347726519293</v>
      </c>
    </row>
    <row r="10" spans="2:40" ht="11" customHeight="1" x14ac:dyDescent="0.15">
      <c r="B10" s="700" t="s">
        <v>8</v>
      </c>
      <c r="C10" s="1082" t="str">
        <f>$C8</f>
        <v>Digital mammography</v>
      </c>
      <c r="D10" s="552" t="s">
        <v>194</v>
      </c>
      <c r="E10" s="710">
        <f>VLOOKUP($B10&amp;"_"&amp;$D10,'App5 - CRUK Inci Rates'!C:H,6,FALSE)</f>
        <v>0</v>
      </c>
      <c r="F10" s="711">
        <f>VLOOKUP($B10&amp;"_"&amp;$D10,'App5 - CRUK Inci Rates'!C:H,3,FALSE)</f>
        <v>279.8</v>
      </c>
      <c r="G10" s="712">
        <f>VLOOKUP($B10&amp;"_"&amp;$D10,'App5 - CRUK Inci Rates'!C:J,8,FALSE)</f>
        <v>2364638</v>
      </c>
      <c r="H10" s="713">
        <f>VLOOKUP($B10&amp;"_"&amp;$D10,'App5 - CRUK Inci Rates'!C:J,7,FALSE)</f>
        <v>0</v>
      </c>
      <c r="I10" s="713">
        <f>VLOOKUP($B10&amp;"_"&amp;$D10,'App5 - CRUK Inci Rates'!C:J,4,FALSE)</f>
        <v>2364638</v>
      </c>
      <c r="J10" s="709">
        <f>VLOOKUP($B10&amp;"_"&amp;$D10,'App5 - CRUK Inci Rates'!C:K,9,FALSE)</f>
        <v>6616</v>
      </c>
      <c r="K10" s="706">
        <f t="shared" si="7"/>
        <v>1182319</v>
      </c>
      <c r="L10" s="706">
        <f>VLOOKUP("*"&amp;$B10&amp;"*",'S4 - Summ PRS Characteristics'!$C$5:$Q$12,11,FALSE)*$J10</f>
        <v>4617.1308512628111</v>
      </c>
      <c r="M10" s="706">
        <f t="shared" si="8"/>
        <v>1998.8691487371889</v>
      </c>
      <c r="N10" s="706">
        <f>IF($C10="other",(1-$C$7)*L10,(1-(VLOOKUP($C10,'S3 - Screening Tool Metrics'!$C$3:$G$17,5,FALSE)/100))*L10)</f>
        <v>1385.1392553788435</v>
      </c>
      <c r="O10" s="706">
        <f>IF($C10="other",$C$7*L10,(VLOOKUP($C10,'S3 - Screening Tool Metrics'!$C$3:$G$17,5,FALSE)/100)*L10)</f>
        <v>3231.9915958839674</v>
      </c>
      <c r="P10" s="706">
        <f t="shared" si="9"/>
        <v>48.851142622188142</v>
      </c>
      <c r="Q10" s="707">
        <f t="shared" si="0"/>
        <v>472927.60000000003</v>
      </c>
      <c r="R10" s="706">
        <f>VLOOKUP("*"&amp;$B10&amp;"*",'S4 - Summ PRS Characteristics'!$C$5:$Q$12,12,FALSE)*$J10</f>
        <v>2469.2484280281992</v>
      </c>
      <c r="S10" s="706">
        <f t="shared" si="10"/>
        <v>4146.7515719718012</v>
      </c>
      <c r="T10" s="706">
        <f>IF($C10="other",(1-$C7)*R10,(1-(VLOOKUP($C10,'S3 - Screening Tool Metrics'!$C$3:$G$17,5,FALSE)/100))*R10)</f>
        <v>740.7745284084599</v>
      </c>
      <c r="U10" s="706">
        <f>IF($C10="other",$C7*R10,(VLOOKUP($C10,'S3 - Screening Tool Metrics'!$C$3:$G$17,5,FALSE)/100)*R10)</f>
        <v>1728.4738996197393</v>
      </c>
      <c r="V10" s="708">
        <f t="shared" si="1"/>
        <v>26.125663537178646</v>
      </c>
      <c r="W10" s="707">
        <f t="shared" si="2"/>
        <v>236463.80000000002</v>
      </c>
      <c r="X10" s="706">
        <f>VLOOKUP("*"&amp;$B10&amp;"*",'S4 - Summ PRS Characteristics'!$C$5:$Q$12,13,FALSE)*$J10</f>
        <v>1473.0850871679584</v>
      </c>
      <c r="Y10" s="706">
        <f t="shared" si="11"/>
        <v>5142.9149128320414</v>
      </c>
      <c r="Z10" s="706">
        <f>IF($C10="other",(1-$C7)*X10,(1-(VLOOKUP($C10,'S3 - Screening Tool Metrics'!$C$3:$G$17,5,FALSE)/100))*X10)</f>
        <v>441.92552615038755</v>
      </c>
      <c r="AA10" s="706">
        <f>IF($C10="other",$C7*X10,(VLOOKUP($C10,'S3 - Screening Tool Metrics'!$C$3:$G$17,5,FALSE)/100)*X10)</f>
        <v>1031.1595610175707</v>
      </c>
      <c r="AB10" s="708">
        <f t="shared" si="3"/>
        <v>15.585845843675495</v>
      </c>
      <c r="AC10" s="707">
        <f t="shared" si="4"/>
        <v>118231.90000000001</v>
      </c>
      <c r="AD10" s="706">
        <f>VLOOKUP("*"&amp;$B10&amp;"*",'S4 - Summ PRS Characteristics'!$C$5:$Q$12,14,FALSE)*$J10</f>
        <v>859.84437740629699</v>
      </c>
      <c r="AE10" s="706">
        <f t="shared" ref="AE10:AE21" si="14">$J10-AD10</f>
        <v>5756.1556225937029</v>
      </c>
      <c r="AF10" s="706">
        <f>IF($C10="other",(1-$C7)*AD10,(1-(VLOOKUP($C10,'S3 - Screening Tool Metrics'!$C$3:$G$17,5,FALSE)/100))*AD10)</f>
        <v>257.95331322188912</v>
      </c>
      <c r="AG10" s="706">
        <f>IF($C10="other",$C7*AD10,(VLOOKUP($C10,'S3 - Screening Tool Metrics'!$C$3:$G$17,5,FALSE)/100)*AD10)</f>
        <v>601.89106418440781</v>
      </c>
      <c r="AH10" s="708">
        <f t="shared" si="5"/>
        <v>9.0975070160883895</v>
      </c>
      <c r="AI10" s="707">
        <f t="shared" si="12"/>
        <v>23646.38</v>
      </c>
      <c r="AJ10" s="706">
        <f>VLOOKUP("*"&amp;$B10&amp;"*",'S4 - Summ PRS Characteristics'!$C$5:$Q$12,15,FALSE)*$J10</f>
        <v>233.53863508378808</v>
      </c>
      <c r="AK10" s="706">
        <f t="shared" si="13"/>
        <v>6382.461364916212</v>
      </c>
      <c r="AL10" s="706">
        <f>IF($C10="other",(1-$C7)*AJ10,(1-(VLOOKUP($C10,'S3 - Screening Tool Metrics'!$C$3:$G$17,5,FALSE)/100))*AJ10)</f>
        <v>70.061590525136438</v>
      </c>
      <c r="AM10" s="706">
        <f>IF($C10="other",$C7*AJ10,(VLOOKUP($C10,'S3 - Screening Tool Metrics'!$C$3:$G$17,5,FALSE)/100)*AJ10)</f>
        <v>163.47704455865164</v>
      </c>
      <c r="AN10" s="709">
        <f t="shared" si="6"/>
        <v>2.4709347726519293</v>
      </c>
    </row>
    <row r="11" spans="2:40" ht="11" customHeight="1" x14ac:dyDescent="0.15">
      <c r="B11" s="700" t="s">
        <v>8</v>
      </c>
      <c r="C11" s="1082" t="str">
        <f>$C8</f>
        <v>Digital mammography</v>
      </c>
      <c r="D11" s="552" t="s">
        <v>195</v>
      </c>
      <c r="E11" s="710">
        <f>VLOOKUP($B11&amp;"_"&amp;$D11,'App5 - CRUK Inci Rates'!C:H,6,FALSE)</f>
        <v>0</v>
      </c>
      <c r="F11" s="711">
        <f>VLOOKUP($B11&amp;"_"&amp;$D11,'App5 - CRUK Inci Rates'!C:H,3,FALSE)</f>
        <v>285.5</v>
      </c>
      <c r="G11" s="712">
        <f>VLOOKUP($B11&amp;"_"&amp;$D11,'App5 - CRUK Inci Rates'!C:J,8,FALSE)</f>
        <v>2119687.3333333335</v>
      </c>
      <c r="H11" s="713">
        <f>VLOOKUP($B11&amp;"_"&amp;$D11,'App5 - CRUK Inci Rates'!C:J,7,FALSE)</f>
        <v>0</v>
      </c>
      <c r="I11" s="713">
        <f>VLOOKUP($B11&amp;"_"&amp;$D11,'App5 - CRUK Inci Rates'!C:J,4,FALSE)</f>
        <v>2119687.3333333335</v>
      </c>
      <c r="J11" s="709">
        <f>VLOOKUP($B11&amp;"_"&amp;$D11,'App5 - CRUK Inci Rates'!C:K,9,FALSE)</f>
        <v>6052</v>
      </c>
      <c r="K11" s="706">
        <f t="shared" si="7"/>
        <v>1059843.6666666667</v>
      </c>
      <c r="L11" s="706">
        <f>VLOOKUP("*"&amp;$B11&amp;"*",'S4 - Summ PRS Characteristics'!$C$5:$Q$12,11,FALSE)*$J11</f>
        <v>4223.5302164211807</v>
      </c>
      <c r="M11" s="706">
        <f t="shared" si="8"/>
        <v>1828.4697835788193</v>
      </c>
      <c r="N11" s="706">
        <f>IF($C11="other",(1-$C$7)*L11,(1-(VLOOKUP($C11,'S3 - Screening Tool Metrics'!$C$3:$G$17,5,FALSE)/100))*L11)</f>
        <v>1267.0590649263545</v>
      </c>
      <c r="O11" s="706">
        <f>IF($C11="other",$C$7*L11,(VLOOKUP($C11,'S3 - Screening Tool Metrics'!$C$3:$G$17,5,FALSE)/100)*L11)</f>
        <v>2956.4711514948262</v>
      </c>
      <c r="P11" s="706">
        <f t="shared" si="9"/>
        <v>48.851142622188142</v>
      </c>
      <c r="Q11" s="707">
        <f t="shared" si="0"/>
        <v>423937.46666666673</v>
      </c>
      <c r="R11" s="706">
        <f>VLOOKUP("*"&amp;$B11&amp;"*",'S4 - Summ PRS Characteristics'!$C$5:$Q$12,12,FALSE)*$J11</f>
        <v>2258.7502246715026</v>
      </c>
      <c r="S11" s="706">
        <f t="shared" si="10"/>
        <v>3793.2497753284974</v>
      </c>
      <c r="T11" s="706">
        <f>IF($C11="other",(1-$C7)*R11,(1-(VLOOKUP($C11,'S3 - Screening Tool Metrics'!$C$3:$G$17,5,FALSE)/100))*R11)</f>
        <v>677.62506740145091</v>
      </c>
      <c r="U11" s="706">
        <f>IF($C11="other",$C7*R11,(VLOOKUP($C11,'S3 - Screening Tool Metrics'!$C$3:$G$17,5,FALSE)/100)*R11)</f>
        <v>1581.1251572700517</v>
      </c>
      <c r="V11" s="708">
        <f t="shared" si="1"/>
        <v>26.125663537178646</v>
      </c>
      <c r="W11" s="707">
        <f t="shared" si="2"/>
        <v>211968.73333333337</v>
      </c>
      <c r="X11" s="706">
        <f>VLOOKUP("*"&amp;$B11&amp;"*",'S4 - Summ PRS Characteristics'!$C$5:$Q$12,13,FALSE)*$J11</f>
        <v>1347.5077006560587</v>
      </c>
      <c r="Y11" s="706">
        <f t="shared" si="11"/>
        <v>4704.4922993439413</v>
      </c>
      <c r="Z11" s="706">
        <f>IF($C11="other",(1-$C7)*X11,(1-(VLOOKUP($C11,'S3 - Screening Tool Metrics'!$C$3:$G$17,5,FALSE)/100))*X11)</f>
        <v>404.25231019681763</v>
      </c>
      <c r="AA11" s="706">
        <f>IF($C11="other",$C7*X11,(VLOOKUP($C11,'S3 - Screening Tool Metrics'!$C$3:$G$17,5,FALSE)/100)*X11)</f>
        <v>943.25539045924097</v>
      </c>
      <c r="AB11" s="708">
        <f t="shared" si="3"/>
        <v>15.585845843675495</v>
      </c>
      <c r="AC11" s="707">
        <f t="shared" si="4"/>
        <v>105984.36666666668</v>
      </c>
      <c r="AD11" s="706">
        <f>VLOOKUP("*"&amp;$B11&amp;"*",'S4 - Summ PRS Characteristics'!$C$5:$Q$12,14,FALSE)*$J11</f>
        <v>786.54446373381336</v>
      </c>
      <c r="AE11" s="706">
        <f t="shared" si="14"/>
        <v>5265.4555362661868</v>
      </c>
      <c r="AF11" s="706">
        <f>IF($C11="other",(1-$C7)*AD11,(1-(VLOOKUP($C11,'S3 - Screening Tool Metrics'!$C$3:$G$17,5,FALSE)/100))*AD11)</f>
        <v>235.96333912014404</v>
      </c>
      <c r="AG11" s="706">
        <f>IF($C11="other",$C7*AD11,(VLOOKUP($C11,'S3 - Screening Tool Metrics'!$C$3:$G$17,5,FALSE)/100)*AD11)</f>
        <v>550.58112461366932</v>
      </c>
      <c r="AH11" s="708">
        <f t="shared" si="5"/>
        <v>9.0975070160883895</v>
      </c>
      <c r="AI11" s="707">
        <f t="shared" si="12"/>
        <v>21196.873333333337</v>
      </c>
      <c r="AJ11" s="706">
        <f>VLOOKUP("*"&amp;$B11&amp;"*",'S4 - Summ PRS Characteristics'!$C$5:$Q$12,15,FALSE)*$J11</f>
        <v>213.62996062984968</v>
      </c>
      <c r="AK11" s="706">
        <f t="shared" si="13"/>
        <v>5838.3700393701502</v>
      </c>
      <c r="AL11" s="706">
        <f>IF($C11="other",(1-$C7)*AJ11,(1-(VLOOKUP($C11,'S3 - Screening Tool Metrics'!$C$3:$G$17,5,FALSE)/100))*AJ11)</f>
        <v>64.088988188954914</v>
      </c>
      <c r="AM11" s="706">
        <f>IF($C11="other",$C7*AJ11,(VLOOKUP($C11,'S3 - Screening Tool Metrics'!$C$3:$G$17,5,FALSE)/100)*AJ11)</f>
        <v>149.54097244089476</v>
      </c>
      <c r="AN11" s="709">
        <f t="shared" si="6"/>
        <v>2.4709347726519293</v>
      </c>
    </row>
    <row r="12" spans="2:40" ht="11" customHeight="1" x14ac:dyDescent="0.15">
      <c r="B12" s="700" t="s">
        <v>8</v>
      </c>
      <c r="C12" s="1082" t="str">
        <f>$C8</f>
        <v>Digital mammography</v>
      </c>
      <c r="D12" s="552" t="s">
        <v>196</v>
      </c>
      <c r="E12" s="710">
        <f>VLOOKUP($B12&amp;"_"&amp;$D12,'App5 - CRUK Inci Rates'!C:H,6,FALSE)</f>
        <v>0</v>
      </c>
      <c r="F12" s="711">
        <f>VLOOKUP($B12&amp;"_"&amp;$D12,'App5 - CRUK Inci Rates'!C:H,3,FALSE)</f>
        <v>337.96472190440318</v>
      </c>
      <c r="G12" s="712">
        <f>VLOOKUP($B12&amp;"_"&amp;$D12,'App5 - CRUK Inci Rates'!C:J,8,FALSE)</f>
        <v>1837174</v>
      </c>
      <c r="H12" s="713">
        <f>VLOOKUP($B12&amp;"_"&amp;$D12,'App5 - CRUK Inci Rates'!C:J,7,FALSE)</f>
        <v>0</v>
      </c>
      <c r="I12" s="713">
        <f>VLOOKUP($B12&amp;"_"&amp;$D12,'App5 - CRUK Inci Rates'!C:J,4,FALSE)</f>
        <v>1837174</v>
      </c>
      <c r="J12" s="709">
        <f>VLOOKUP($B12&amp;"_"&amp;$D12,'App5 - CRUK Inci Rates'!C:K,9,FALSE)</f>
        <v>6209</v>
      </c>
      <c r="K12" s="706">
        <f t="shared" si="7"/>
        <v>918587</v>
      </c>
      <c r="L12" s="706">
        <f>VLOOKUP("*"&amp;$B12&amp;"*",'S4 - Summ PRS Characteristics'!$C$5:$Q$12,11,FALSE)*$J12</f>
        <v>4333.0963505880882</v>
      </c>
      <c r="M12" s="706">
        <f t="shared" si="8"/>
        <v>1875.9036494119118</v>
      </c>
      <c r="N12" s="706">
        <f>IF($C12="other",(1-$C$7)*L12,(1-(VLOOKUP($C12,'S3 - Screening Tool Metrics'!$C$3:$G$17,5,FALSE)/100))*L12)</f>
        <v>1299.9289051764267</v>
      </c>
      <c r="O12" s="706">
        <f>IF($C12="other",$C$7*L12,(VLOOKUP($C12,'S3 - Screening Tool Metrics'!$C$3:$G$17,5,FALSE)/100)*L12)</f>
        <v>3033.1674454116614</v>
      </c>
      <c r="P12" s="706">
        <f t="shared" si="9"/>
        <v>48.851142622188135</v>
      </c>
      <c r="Q12" s="707">
        <f t="shared" si="0"/>
        <v>367434.80000000005</v>
      </c>
      <c r="R12" s="706">
        <f>VLOOKUP("*"&amp;$B12&amp;"*",'S4 - Summ PRS Characteristics'!$C$5:$Q$12,12,FALSE)*$J12</f>
        <v>2317.3463557477462</v>
      </c>
      <c r="S12" s="706">
        <f t="shared" si="10"/>
        <v>3891.6536442522538</v>
      </c>
      <c r="T12" s="706">
        <f>IF($C12="other",(1-$C7)*R12,(1-(VLOOKUP($C12,'S3 - Screening Tool Metrics'!$C$3:$G$17,5,FALSE)/100))*R12)</f>
        <v>695.20390672432393</v>
      </c>
      <c r="U12" s="706">
        <f>IF($C12="other",$C7*R12,(VLOOKUP($C12,'S3 - Screening Tool Metrics'!$C$3:$G$17,5,FALSE)/100)*R12)</f>
        <v>1622.1424490234222</v>
      </c>
      <c r="V12" s="708">
        <f t="shared" si="1"/>
        <v>26.125663537178646</v>
      </c>
      <c r="W12" s="707">
        <f t="shared" si="2"/>
        <v>183717.40000000002</v>
      </c>
      <c r="X12" s="706">
        <f>VLOOKUP("*"&amp;$B12&amp;"*",'S4 - Summ PRS Characteristics'!$C$5:$Q$12,13,FALSE)*$J12</f>
        <v>1382.4645263340167</v>
      </c>
      <c r="Y12" s="706">
        <f t="shared" si="11"/>
        <v>4826.5354736659829</v>
      </c>
      <c r="Z12" s="706">
        <f>IF($C12="other",(1-$C7)*X12,(1-(VLOOKUP($C12,'S3 - Screening Tool Metrics'!$C$3:$G$17,5,FALSE)/100))*X12)</f>
        <v>414.73935790020505</v>
      </c>
      <c r="AA12" s="706">
        <f>IF($C12="other",$C7*X12,(VLOOKUP($C12,'S3 - Screening Tool Metrics'!$C$3:$G$17,5,FALSE)/100)*X12)</f>
        <v>967.72516843381163</v>
      </c>
      <c r="AB12" s="708">
        <f t="shared" si="3"/>
        <v>15.585845843675497</v>
      </c>
      <c r="AC12" s="707">
        <f t="shared" si="4"/>
        <v>91858.700000000012</v>
      </c>
      <c r="AD12" s="706">
        <f>VLOOKUP("*"&amp;$B12&amp;"*",'S4 - Summ PRS Characteristics'!$C$5:$Q$12,14,FALSE)*$J12</f>
        <v>806.94887232704014</v>
      </c>
      <c r="AE12" s="706">
        <f t="shared" si="14"/>
        <v>5402.0511276729594</v>
      </c>
      <c r="AF12" s="706">
        <f>IF($C12="other",(1-$C7)*AD12,(1-(VLOOKUP($C12,'S3 - Screening Tool Metrics'!$C$3:$G$17,5,FALSE)/100))*AD12)</f>
        <v>242.08466169811209</v>
      </c>
      <c r="AG12" s="706">
        <f>IF($C12="other",$C7*AD12,(VLOOKUP($C12,'S3 - Screening Tool Metrics'!$C$3:$G$17,5,FALSE)/100)*AD12)</f>
        <v>564.86421062892805</v>
      </c>
      <c r="AH12" s="708">
        <f t="shared" si="5"/>
        <v>9.0975070160883877</v>
      </c>
      <c r="AI12" s="707">
        <f t="shared" si="12"/>
        <v>18371.740000000002</v>
      </c>
      <c r="AJ12" s="706">
        <f>VLOOKUP("*"&amp;$B12&amp;"*",'S4 - Summ PRS Characteristics'!$C$5:$Q$12,15,FALSE)*$J12</f>
        <v>219.17191433422613</v>
      </c>
      <c r="AK12" s="706">
        <f t="shared" si="13"/>
        <v>5989.8280856657739</v>
      </c>
      <c r="AL12" s="706">
        <f>IF($C12="other",(1-$C7)*AJ12,(1-(VLOOKUP($C12,'S3 - Screening Tool Metrics'!$C$3:$G$17,5,FALSE)/100))*AJ12)</f>
        <v>65.751574300267848</v>
      </c>
      <c r="AM12" s="706">
        <f>IF($C12="other",$C7*AJ12,(VLOOKUP($C12,'S3 - Screening Tool Metrics'!$C$3:$G$17,5,FALSE)/100)*AJ12)</f>
        <v>153.42034003395827</v>
      </c>
      <c r="AN12" s="709">
        <f t="shared" si="6"/>
        <v>2.4709347726519288</v>
      </c>
    </row>
    <row r="13" spans="2:40" ht="11" customHeight="1" x14ac:dyDescent="0.15">
      <c r="B13" s="700" t="s">
        <v>8</v>
      </c>
      <c r="C13" s="1082" t="str">
        <f>$C8</f>
        <v>Digital mammography</v>
      </c>
      <c r="D13" s="552" t="s">
        <v>197</v>
      </c>
      <c r="E13" s="710">
        <f>VLOOKUP($B13&amp;"_"&amp;$D13,'App5 - CRUK Inci Rates'!C:H,6,FALSE)</f>
        <v>0</v>
      </c>
      <c r="F13" s="711">
        <f>VLOOKUP($B13&amp;"_"&amp;$D13,'App5 - CRUK Inci Rates'!C:H,3,FALSE)</f>
        <v>412.3</v>
      </c>
      <c r="G13" s="712">
        <f>VLOOKUP($B13&amp;"_"&amp;$D13,'App5 - CRUK Inci Rates'!C:J,8,FALSE)</f>
        <v>1805190</v>
      </c>
      <c r="H13" s="713">
        <f>VLOOKUP($B13&amp;"_"&amp;$D13,'App5 - CRUK Inci Rates'!C:J,7,FALSE)</f>
        <v>0</v>
      </c>
      <c r="I13" s="713">
        <f>VLOOKUP($B13&amp;"_"&amp;$D13,'App5 - CRUK Inci Rates'!C:J,4,FALSE)</f>
        <v>1805190</v>
      </c>
      <c r="J13" s="709">
        <f>VLOOKUP($B13&amp;"_"&amp;$D13,'App5 - CRUK Inci Rates'!C:K,9,FALSE)</f>
        <v>7443</v>
      </c>
      <c r="K13" s="706">
        <f t="shared" si="7"/>
        <v>902595</v>
      </c>
      <c r="L13" s="706">
        <f>VLOOKUP("*"&amp;$B13&amp;"*",'S4 - Summ PRS Characteristics'!$C$5:$Q$12,11,FALSE)*$J13</f>
        <v>5194.2722076706623</v>
      </c>
      <c r="M13" s="706">
        <f t="shared" si="8"/>
        <v>2248.7277923293377</v>
      </c>
      <c r="N13" s="706">
        <f>IF($C13="other",(1-$C$7)*L13,(1-(VLOOKUP($C13,'S3 - Screening Tool Metrics'!$C$3:$G$17,5,FALSE)/100))*L13)</f>
        <v>1558.2816623011988</v>
      </c>
      <c r="O13" s="706">
        <f>IF($C13="other",$C$7*L13,(VLOOKUP($C13,'S3 - Screening Tool Metrics'!$C$3:$G$17,5,FALSE)/100)*L13)</f>
        <v>3635.9905453694632</v>
      </c>
      <c r="P13" s="706">
        <f t="shared" si="9"/>
        <v>48.851142622188135</v>
      </c>
      <c r="Q13" s="707">
        <f t="shared" si="0"/>
        <v>361038</v>
      </c>
      <c r="R13" s="706">
        <f>VLOOKUP("*"&amp;$B13&amp;"*",'S4 - Summ PRS Characteristics'!$C$5:$Q$12,12,FALSE)*$J13</f>
        <v>2777.9044815317238</v>
      </c>
      <c r="S13" s="706">
        <f t="shared" si="10"/>
        <v>4665.0955184682762</v>
      </c>
      <c r="T13" s="706">
        <f>IF($C13="other",(1-$C7)*R13,(1-(VLOOKUP($C13,'S3 - Screening Tool Metrics'!$C$3:$G$17,5,FALSE)/100))*R13)</f>
        <v>833.37134445951722</v>
      </c>
      <c r="U13" s="706">
        <f>IF($C13="other",$C7*R13,(VLOOKUP($C13,'S3 - Screening Tool Metrics'!$C$3:$G$17,5,FALSE)/100)*R13)</f>
        <v>1944.5331370722065</v>
      </c>
      <c r="V13" s="708">
        <f t="shared" si="1"/>
        <v>26.125663537178646</v>
      </c>
      <c r="W13" s="707">
        <f t="shared" si="2"/>
        <v>180519</v>
      </c>
      <c r="X13" s="706">
        <f>VLOOKUP("*"&amp;$B13&amp;"*",'S4 - Summ PRS Characteristics'!$C$5:$Q$12,13,FALSE)*$J13</f>
        <v>1657.2207230639533</v>
      </c>
      <c r="Y13" s="706">
        <f t="shared" si="11"/>
        <v>5785.7792769360467</v>
      </c>
      <c r="Z13" s="706">
        <f>IF($C13="other",(1-$C7)*X13,(1-(VLOOKUP($C13,'S3 - Screening Tool Metrics'!$C$3:$G$17,5,FALSE)/100))*X13)</f>
        <v>497.16621691918607</v>
      </c>
      <c r="AA13" s="706">
        <f>IF($C13="other",$C7*X13,(VLOOKUP($C13,'S3 - Screening Tool Metrics'!$C$3:$G$17,5,FALSE)/100)*X13)</f>
        <v>1160.0545061447672</v>
      </c>
      <c r="AB13" s="708">
        <f t="shared" si="3"/>
        <v>15.585845843675497</v>
      </c>
      <c r="AC13" s="707">
        <f t="shared" si="4"/>
        <v>90259.5</v>
      </c>
      <c r="AD13" s="706">
        <f>VLOOKUP("*"&amp;$B13&amp;"*",'S4 - Summ PRS Characteristics'!$C$5:$Q$12,14,FALSE)*$J13</f>
        <v>967.32492458208412</v>
      </c>
      <c r="AE13" s="706">
        <f t="shared" si="14"/>
        <v>6475.6750754179157</v>
      </c>
      <c r="AF13" s="706">
        <f>IF($C13="other",(1-$C7)*AD13,(1-(VLOOKUP($C13,'S3 - Screening Tool Metrics'!$C$3:$G$17,5,FALSE)/100))*AD13)</f>
        <v>290.19747737462529</v>
      </c>
      <c r="AG13" s="706">
        <f>IF($C13="other",$C7*AD13,(VLOOKUP($C13,'S3 - Screening Tool Metrics'!$C$3:$G$17,5,FALSE)/100)*AD13)</f>
        <v>677.12744720745889</v>
      </c>
      <c r="AH13" s="708">
        <f t="shared" si="5"/>
        <v>9.0975070160883913</v>
      </c>
      <c r="AI13" s="707">
        <f t="shared" si="12"/>
        <v>18051.900000000001</v>
      </c>
      <c r="AJ13" s="706">
        <f>VLOOKUP("*"&amp;$B13&amp;"*",'S4 - Summ PRS Characteristics'!$C$5:$Q$12,15,FALSE)*$J13</f>
        <v>262.73096446926155</v>
      </c>
      <c r="AK13" s="706">
        <f t="shared" si="13"/>
        <v>7180.2690355307386</v>
      </c>
      <c r="AL13" s="706">
        <f>IF($C13="other",(1-$C7)*AJ13,(1-(VLOOKUP($C13,'S3 - Screening Tool Metrics'!$C$3:$G$17,5,FALSE)/100))*AJ13)</f>
        <v>78.819289340778482</v>
      </c>
      <c r="AM13" s="706">
        <f>IF($C13="other",$C7*AJ13,(VLOOKUP($C13,'S3 - Screening Tool Metrics'!$C$3:$G$17,5,FALSE)/100)*AJ13)</f>
        <v>183.91167512848307</v>
      </c>
      <c r="AN13" s="709">
        <f t="shared" si="6"/>
        <v>2.4709347726519288</v>
      </c>
    </row>
    <row r="14" spans="2:40" ht="11" customHeight="1" x14ac:dyDescent="0.15">
      <c r="B14" s="700" t="s">
        <v>8</v>
      </c>
      <c r="C14" s="1082" t="str">
        <f>$C8</f>
        <v>Digital mammography</v>
      </c>
      <c r="D14" s="552" t="s">
        <v>198</v>
      </c>
      <c r="E14" s="710">
        <f>VLOOKUP($B14&amp;"_"&amp;$D14,'App5 - CRUK Inci Rates'!C:H,6,FALSE)</f>
        <v>0</v>
      </c>
      <c r="F14" s="711">
        <f>VLOOKUP($B14&amp;"_"&amp;$D14,'App5 - CRUK Inci Rates'!C:H,3,FALSE)</f>
        <v>372.7</v>
      </c>
      <c r="G14" s="712">
        <f>VLOOKUP($B14&amp;"_"&amp;$D14,'App5 - CRUK Inci Rates'!C:J,8,FALSE)</f>
        <v>1603609.6666666667</v>
      </c>
      <c r="H14" s="713">
        <f>VLOOKUP($B14&amp;"_"&amp;$D14,'App5 - CRUK Inci Rates'!C:J,7,FALSE)</f>
        <v>0</v>
      </c>
      <c r="I14" s="713">
        <f>VLOOKUP($B14&amp;"_"&amp;$D14,'App5 - CRUK Inci Rates'!C:J,4,FALSE)</f>
        <v>1603609.6666666667</v>
      </c>
      <c r="J14" s="709">
        <f>VLOOKUP($B14&amp;"_"&amp;$D14,'App5 - CRUK Inci Rates'!C:K,9,FALSE)</f>
        <v>5977</v>
      </c>
      <c r="K14" s="706">
        <f t="shared" si="7"/>
        <v>801804.83333333337</v>
      </c>
      <c r="L14" s="706">
        <f>VLOOKUP("*"&amp;$B14&amp;"*",'S4 - Summ PRS Characteristics'!$C$5:$Q$12,11,FALSE)*$J14</f>
        <v>4171.1897064688364</v>
      </c>
      <c r="M14" s="706">
        <f t="shared" si="8"/>
        <v>1805.8102935311636</v>
      </c>
      <c r="N14" s="706">
        <f>IF($C14="other",(1-$C$7)*L14,(1-(VLOOKUP($C14,'S3 - Screening Tool Metrics'!$C$3:$G$17,5,FALSE)/100))*L14)</f>
        <v>1251.3569119406511</v>
      </c>
      <c r="O14" s="706">
        <f>IF($C14="other",$C$7*L14,(VLOOKUP($C14,'S3 - Screening Tool Metrics'!$C$3:$G$17,5,FALSE)/100)*L14)</f>
        <v>2919.8327945281853</v>
      </c>
      <c r="P14" s="706">
        <f t="shared" si="9"/>
        <v>48.851142622188142</v>
      </c>
      <c r="Q14" s="707">
        <f t="shared" si="0"/>
        <v>320721.93333333335</v>
      </c>
      <c r="R14" s="706">
        <f>VLOOKUP("*"&amp;$B14&amp;"*",'S4 - Summ PRS Characteristics'!$C$5:$Q$12,12,FALSE)*$J14</f>
        <v>2230.7584423102398</v>
      </c>
      <c r="S14" s="706">
        <f t="shared" si="10"/>
        <v>3746.2415576897602</v>
      </c>
      <c r="T14" s="706">
        <f>IF($C14="other",(1-$C7)*R14,(1-(VLOOKUP($C14,'S3 - Screening Tool Metrics'!$C$3:$G$17,5,FALSE)/100))*R14)</f>
        <v>669.22753269307202</v>
      </c>
      <c r="U14" s="706">
        <f>IF($C14="other",$C7*R14,(VLOOKUP($C14,'S3 - Screening Tool Metrics'!$C$3:$G$17,5,FALSE)/100)*R14)</f>
        <v>1561.5309096171677</v>
      </c>
      <c r="V14" s="708">
        <f t="shared" si="1"/>
        <v>26.125663537178646</v>
      </c>
      <c r="W14" s="707">
        <f t="shared" si="2"/>
        <v>160360.96666666667</v>
      </c>
      <c r="X14" s="706">
        <f>VLOOKUP("*"&amp;$B14&amp;"*",'S4 - Summ PRS Characteristics'!$C$5:$Q$12,13,FALSE)*$J14</f>
        <v>1330.8085801092636</v>
      </c>
      <c r="Y14" s="706">
        <f t="shared" si="11"/>
        <v>4646.1914198907361</v>
      </c>
      <c r="Z14" s="706">
        <f>IF($C14="other",(1-$C7)*X14,(1-(VLOOKUP($C14,'S3 - Screening Tool Metrics'!$C$3:$G$17,5,FALSE)/100))*X14)</f>
        <v>399.24257403277915</v>
      </c>
      <c r="AA14" s="706">
        <f>IF($C14="other",$C7*X14,(VLOOKUP($C14,'S3 - Screening Tool Metrics'!$C$3:$G$17,5,FALSE)/100)*X14)</f>
        <v>931.56600607648443</v>
      </c>
      <c r="AB14" s="708">
        <f t="shared" si="3"/>
        <v>15.585845843675497</v>
      </c>
      <c r="AC14" s="707">
        <f t="shared" si="4"/>
        <v>80180.483333333337</v>
      </c>
      <c r="AD14" s="706">
        <f>VLOOKUP("*"&amp;$B14&amp;"*",'S4 - Summ PRS Characteristics'!$C$5:$Q$12,14,FALSE)*$J14</f>
        <v>776.79713478800431</v>
      </c>
      <c r="AE14" s="706">
        <f t="shared" si="14"/>
        <v>5200.2028652119952</v>
      </c>
      <c r="AF14" s="706">
        <f>IF($C14="other",(1-$C7)*AD14,(1-(VLOOKUP($C14,'S3 - Screening Tool Metrics'!$C$3:$G$17,5,FALSE)/100))*AD14)</f>
        <v>233.03914043640134</v>
      </c>
      <c r="AG14" s="706">
        <f>IF($C14="other",$C7*AD14,(VLOOKUP($C14,'S3 - Screening Tool Metrics'!$C$3:$G$17,5,FALSE)/100)*AD14)</f>
        <v>543.75799435160297</v>
      </c>
      <c r="AH14" s="708">
        <f t="shared" si="5"/>
        <v>9.0975070160883877</v>
      </c>
      <c r="AI14" s="707">
        <f t="shared" si="12"/>
        <v>16036.096666666668</v>
      </c>
      <c r="AJ14" s="706">
        <f>VLOOKUP("*"&amp;$B14&amp;"*",'S4 - Summ PRS Characteristics'!$C$5:$Q$12,15,FALSE)*$J14</f>
        <v>210.98253051629402</v>
      </c>
      <c r="AK14" s="706">
        <f t="shared" si="13"/>
        <v>5766.017469483706</v>
      </c>
      <c r="AL14" s="706">
        <f>IF($C14="other",(1-$C7)*AJ14,(1-(VLOOKUP($C14,'S3 - Screening Tool Metrics'!$C$3:$G$17,5,FALSE)/100))*AJ14)</f>
        <v>63.294759154888219</v>
      </c>
      <c r="AM14" s="706">
        <f>IF($C14="other",$C7*AJ14,(VLOOKUP($C14,'S3 - Screening Tool Metrics'!$C$3:$G$17,5,FALSE)/100)*AJ14)</f>
        <v>147.68777136140579</v>
      </c>
      <c r="AN14" s="709">
        <f t="shared" si="6"/>
        <v>2.4709347726519288</v>
      </c>
    </row>
    <row r="15" spans="2:40" ht="11" customHeight="1" x14ac:dyDescent="0.15">
      <c r="B15" s="700" t="s">
        <v>8</v>
      </c>
      <c r="C15" s="1082" t="str">
        <f>$C8</f>
        <v>Digital mammography</v>
      </c>
      <c r="D15" s="552" t="s">
        <v>199</v>
      </c>
      <c r="E15" s="710">
        <f>VLOOKUP($B15&amp;"_"&amp;$D15,'App5 - CRUK Inci Rates'!C:H,6,FALSE)</f>
        <v>0</v>
      </c>
      <c r="F15" s="711">
        <f>VLOOKUP($B15&amp;"_"&amp;$D15,'App5 - CRUK Inci Rates'!C:H,3,FALSE)</f>
        <v>403</v>
      </c>
      <c r="G15" s="712">
        <f>VLOOKUP($B15&amp;"_"&amp;$D15,'App5 - CRUK Inci Rates'!C:J,8,FALSE)</f>
        <v>1181645.3333333333</v>
      </c>
      <c r="H15" s="713">
        <f>VLOOKUP($B15&amp;"_"&amp;$D15,'App5 - CRUK Inci Rates'!C:J,7,FALSE)</f>
        <v>0</v>
      </c>
      <c r="I15" s="713">
        <f>VLOOKUP($B15&amp;"_"&amp;$D15,'App5 - CRUK Inci Rates'!C:J,4,FALSE)</f>
        <v>1181645.3333333333</v>
      </c>
      <c r="J15" s="709">
        <f>VLOOKUP($B15&amp;"_"&amp;$D15,'App5 - CRUK Inci Rates'!C:K,9,FALSE)</f>
        <v>4762</v>
      </c>
      <c r="K15" s="706">
        <f t="shared" si="7"/>
        <v>590822.66666666663</v>
      </c>
      <c r="L15" s="706">
        <f>VLOOKUP("*"&amp;$B15&amp;"*",'S4 - Summ PRS Characteristics'!$C$5:$Q$12,11,FALSE)*$J15</f>
        <v>3323.2734452408563</v>
      </c>
      <c r="M15" s="706">
        <f t="shared" si="8"/>
        <v>1438.7265547591437</v>
      </c>
      <c r="N15" s="706">
        <f>IF($C15="other",(1-$C$7)*L15,(1-(VLOOKUP($C15,'S3 - Screening Tool Metrics'!$C$3:$G$17,5,FALSE)/100))*L15)</f>
        <v>996.98203357225702</v>
      </c>
      <c r="O15" s="706">
        <f>IF($C15="other",$C$7*L15,(VLOOKUP($C15,'S3 - Screening Tool Metrics'!$C$3:$G$17,5,FALSE)/100)*L15)</f>
        <v>2326.2914116685993</v>
      </c>
      <c r="P15" s="706">
        <f t="shared" si="9"/>
        <v>48.851142622188142</v>
      </c>
      <c r="Q15" s="707">
        <f t="shared" si="0"/>
        <v>236329.06666666665</v>
      </c>
      <c r="R15" s="706">
        <f>VLOOKUP("*"&amp;$B15&amp;"*",'S4 - Summ PRS Characteristics'!$C$5:$Q$12,12,FALSE)*$J15</f>
        <v>1777.2915680577817</v>
      </c>
      <c r="S15" s="706">
        <f t="shared" si="10"/>
        <v>2984.7084319422183</v>
      </c>
      <c r="T15" s="706">
        <f>IF($C15="other",(1-$C7)*R15,(1-(VLOOKUP($C15,'S3 - Screening Tool Metrics'!$C$3:$G$17,5,FALSE)/100))*R15)</f>
        <v>533.18747041733457</v>
      </c>
      <c r="U15" s="706">
        <f>IF($C15="other",$C7*R15,(VLOOKUP($C15,'S3 - Screening Tool Metrics'!$C$3:$G$17,5,FALSE)/100)*R15)</f>
        <v>1244.104097640447</v>
      </c>
      <c r="V15" s="708">
        <f t="shared" si="1"/>
        <v>26.125663537178646</v>
      </c>
      <c r="W15" s="707">
        <f t="shared" si="2"/>
        <v>118164.53333333333</v>
      </c>
      <c r="X15" s="706">
        <f>VLOOKUP("*"&amp;$B15&amp;"*",'S4 - Summ PRS Characteristics'!$C$5:$Q$12,13,FALSE)*$J15</f>
        <v>1060.2828272511817</v>
      </c>
      <c r="Y15" s="706">
        <f t="shared" si="11"/>
        <v>3701.7171727488185</v>
      </c>
      <c r="Z15" s="706">
        <f>IF($C15="other",(1-$C7)*X15,(1-(VLOOKUP($C15,'S3 - Screening Tool Metrics'!$C$3:$G$17,5,FALSE)/100))*X15)</f>
        <v>318.08484817535458</v>
      </c>
      <c r="AA15" s="706">
        <f>IF($C15="other",$C7*X15,(VLOOKUP($C15,'S3 - Screening Tool Metrics'!$C$3:$G$17,5,FALSE)/100)*X15)</f>
        <v>742.19797907582722</v>
      </c>
      <c r="AB15" s="708">
        <f t="shared" si="3"/>
        <v>15.585845843675497</v>
      </c>
      <c r="AC15" s="707">
        <f t="shared" si="4"/>
        <v>59082.266666666663</v>
      </c>
      <c r="AD15" s="706">
        <f>VLOOKUP("*"&amp;$B15&amp;"*",'S4 - Summ PRS Characteristics'!$C$5:$Q$12,14,FALSE)*$J15</f>
        <v>618.89040586589874</v>
      </c>
      <c r="AE15" s="706">
        <f t="shared" si="14"/>
        <v>4143.1095941341009</v>
      </c>
      <c r="AF15" s="706">
        <f>IF($C15="other",(1-$C7)*AD15,(1-(VLOOKUP($C15,'S3 - Screening Tool Metrics'!$C$3:$G$17,5,FALSE)/100))*AD15)</f>
        <v>185.66712175976966</v>
      </c>
      <c r="AG15" s="706">
        <f>IF($C15="other",$C7*AD15,(VLOOKUP($C15,'S3 - Screening Tool Metrics'!$C$3:$G$17,5,FALSE)/100)*AD15)</f>
        <v>433.22328410612909</v>
      </c>
      <c r="AH15" s="708">
        <f t="shared" si="5"/>
        <v>9.0975070160883895</v>
      </c>
      <c r="AI15" s="707">
        <f t="shared" si="12"/>
        <v>11816.453333333333</v>
      </c>
      <c r="AJ15" s="706">
        <f>VLOOKUP("*"&amp;$B15&amp;"*",'S4 - Summ PRS Characteristics'!$C$5:$Q$12,15,FALSE)*$J15</f>
        <v>168.09416267669269</v>
      </c>
      <c r="AK15" s="706">
        <f t="shared" si="13"/>
        <v>4593.9058373233074</v>
      </c>
      <c r="AL15" s="706">
        <f>IF($C15="other",(1-$C7)*AJ15,(1-(VLOOKUP($C15,'S3 - Screening Tool Metrics'!$C$3:$G$17,5,FALSE)/100))*AJ15)</f>
        <v>50.428248803007811</v>
      </c>
      <c r="AM15" s="706">
        <f>IF($C15="other",$C7*AJ15,(VLOOKUP($C15,'S3 - Screening Tool Metrics'!$C$3:$G$17,5,FALSE)/100)*AJ15)</f>
        <v>117.66591387368487</v>
      </c>
      <c r="AN15" s="709">
        <f t="shared" si="6"/>
        <v>2.4709347726519293</v>
      </c>
    </row>
    <row r="16" spans="2:40" ht="11" customHeight="1" x14ac:dyDescent="0.15">
      <c r="B16" s="700" t="s">
        <v>8</v>
      </c>
      <c r="C16" s="1082" t="str">
        <f>$C8</f>
        <v>Digital mammography</v>
      </c>
      <c r="D16" s="552" t="s">
        <v>200</v>
      </c>
      <c r="E16" s="710">
        <f>VLOOKUP($B16&amp;"_"&amp;$D16,'App5 - CRUK Inci Rates'!C:H,6,FALSE)</f>
        <v>0</v>
      </c>
      <c r="F16" s="711">
        <f>VLOOKUP($B16&amp;"_"&amp;$D16,'App5 - CRUK Inci Rates'!C:H,3,FALSE)</f>
        <v>270.90219320904782</v>
      </c>
      <c r="G16" s="712">
        <f>VLOOKUP($B16&amp;"_"&amp;$D16,'App5 - CRUK Inci Rates'!C:J,8,FALSE)</f>
        <v>12496392</v>
      </c>
      <c r="H16" s="713">
        <f>VLOOKUP($B16&amp;"_"&amp;$D16,'App5 - CRUK Inci Rates'!C:J,7,FALSE)</f>
        <v>0</v>
      </c>
      <c r="I16" s="713">
        <f>VLOOKUP($B16&amp;"_"&amp;$D16,'App5 - CRUK Inci Rates'!C:J,4,FALSE)</f>
        <v>12496392</v>
      </c>
      <c r="J16" s="709">
        <f>VLOOKUP($B16&amp;"_"&amp;$D16,'App5 - CRUK Inci Rates'!C:K,9,FALSE)</f>
        <v>33853</v>
      </c>
      <c r="K16" s="706">
        <f t="shared" si="7"/>
        <v>6248196</v>
      </c>
      <c r="L16" s="706">
        <f>VLOOKUP("*"&amp;$B16&amp;"*",'S4 - Summ PRS Characteristics'!$C$5:$Q$12,11,FALSE)*$J16</f>
        <v>23625.11044555622</v>
      </c>
      <c r="M16" s="706">
        <f t="shared" si="8"/>
        <v>10227.88955444378</v>
      </c>
      <c r="N16" s="706">
        <f>IF($C16="other",(1-$C$7)*L16,(1-(VLOOKUP($C16,'S3 - Screening Tool Metrics'!$C$3:$G$17,5,FALSE)/100))*L16)</f>
        <v>7087.5331336668669</v>
      </c>
      <c r="O16" s="706">
        <f>IF($C16="other",$C$7*L16,(VLOOKUP($C16,'S3 - Screening Tool Metrics'!$C$3:$G$17,5,FALSE)/100)*L16)</f>
        <v>16537.577311889352</v>
      </c>
      <c r="P16" s="706">
        <f t="shared" si="9"/>
        <v>48.851142622188142</v>
      </c>
      <c r="Q16" s="707">
        <f t="shared" si="0"/>
        <v>2499278.4</v>
      </c>
      <c r="R16" s="706">
        <f>VLOOKUP("*"&amp;$B16&amp;"*",'S4 - Summ PRS Characteristics'!$C$5:$Q$12,12,FALSE)*$J16</f>
        <v>12634.744110344411</v>
      </c>
      <c r="S16" s="706">
        <f t="shared" si="10"/>
        <v>21218.255889655589</v>
      </c>
      <c r="T16" s="706">
        <f>IF($C16="other",(1-$C7)*R16,(1-(VLOOKUP($C16,'S3 - Screening Tool Metrics'!$C$3:$G$17,5,FALSE)/100))*R16)</f>
        <v>3790.4232331033236</v>
      </c>
      <c r="U16" s="706">
        <f>IF($C16="other",$C7*R16,(VLOOKUP($C16,'S3 - Screening Tool Metrics'!$C$3:$G$17,5,FALSE)/100)*R16)</f>
        <v>8844.3208772410871</v>
      </c>
      <c r="V16" s="708">
        <f t="shared" si="1"/>
        <v>26.125663537178646</v>
      </c>
      <c r="W16" s="707">
        <f t="shared" si="2"/>
        <v>1249639.2</v>
      </c>
      <c r="X16" s="706">
        <f>VLOOKUP("*"&amp;$B16&amp;"*",'S4 - Summ PRS Characteristics'!$C$5:$Q$12,13,FALSE)*$J16</f>
        <v>7537.537704942094</v>
      </c>
      <c r="Y16" s="706">
        <f t="shared" si="11"/>
        <v>26315.462295057907</v>
      </c>
      <c r="Z16" s="706">
        <f>IF($C16="other",(1-$C7)*X16,(1-(VLOOKUP($C16,'S3 - Screening Tool Metrics'!$C$3:$G$17,5,FALSE)/100))*X16)</f>
        <v>2261.2613114826286</v>
      </c>
      <c r="AA16" s="706">
        <f>IF($C16="other",$C7*X16,(VLOOKUP($C16,'S3 - Screening Tool Metrics'!$C$3:$G$17,5,FALSE)/100)*X16)</f>
        <v>5276.2763934594659</v>
      </c>
      <c r="AB16" s="708">
        <f t="shared" si="3"/>
        <v>15.585845843675497</v>
      </c>
      <c r="AC16" s="707">
        <f t="shared" si="4"/>
        <v>624819.6</v>
      </c>
      <c r="AD16" s="706">
        <f>VLOOKUP("*"&amp;$B16&amp;"*",'S4 - Summ PRS Characteristics'!$C$5:$Q$12,14,FALSE)*$J16</f>
        <v>4399.6843573662891</v>
      </c>
      <c r="AE16" s="706">
        <f t="shared" si="14"/>
        <v>29453.315642633712</v>
      </c>
      <c r="AF16" s="706">
        <f>IF($C16="other",(1-$C7)*AD16,(1-(VLOOKUP($C16,'S3 - Screening Tool Metrics'!$C$3:$G$17,5,FALSE)/100))*AD16)</f>
        <v>1319.9053072098868</v>
      </c>
      <c r="AG16" s="706">
        <f>IF($C16="other",$C7*AD16,(VLOOKUP($C16,'S3 - Screening Tool Metrics'!$C$3:$G$17,5,FALSE)/100)*AD16)</f>
        <v>3079.7790501564023</v>
      </c>
      <c r="AH16" s="708">
        <f t="shared" si="5"/>
        <v>9.0975070160883895</v>
      </c>
      <c r="AI16" s="707">
        <f t="shared" si="12"/>
        <v>124963.92</v>
      </c>
      <c r="AJ16" s="706">
        <f>VLOOKUP("*"&amp;$B16&amp;"*",'S4 - Summ PRS Characteristics'!$C$5:$Q$12,15,FALSE)*$J16</f>
        <v>1194.9793551226537</v>
      </c>
      <c r="AK16" s="706">
        <f t="shared" si="13"/>
        <v>32658.020644877346</v>
      </c>
      <c r="AL16" s="706">
        <f>IF($C16="other",(1-$C7)*AJ16,(1-(VLOOKUP($C16,'S3 - Screening Tool Metrics'!$C$3:$G$17,5,FALSE)/100))*AJ16)</f>
        <v>358.49380653679617</v>
      </c>
      <c r="AM16" s="706">
        <f>IF($C16="other",$C7*AJ16,(VLOOKUP($C16,'S3 - Screening Tool Metrics'!$C$3:$G$17,5,FALSE)/100)*AJ16)</f>
        <v>836.4855485858576</v>
      </c>
      <c r="AN16" s="709">
        <f t="shared" si="6"/>
        <v>2.4709347726519293</v>
      </c>
    </row>
    <row r="17" spans="2:40" ht="11" customHeight="1" x14ac:dyDescent="0.15">
      <c r="B17" s="700" t="s">
        <v>8</v>
      </c>
      <c r="C17" s="1082" t="str">
        <f>$C8</f>
        <v>Digital mammography</v>
      </c>
      <c r="D17" s="552" t="s">
        <v>201</v>
      </c>
      <c r="E17" s="710">
        <f>VLOOKUP($B17&amp;"_"&amp;$D17,'App5 - CRUK Inci Rates'!C:H,6,FALSE)</f>
        <v>0</v>
      </c>
      <c r="F17" s="711">
        <f>VLOOKUP($B17&amp;"_"&amp;$D17,'App5 - CRUK Inci Rates'!C:H,3,FALSE)</f>
        <v>172.39159216630148</v>
      </c>
      <c r="G17" s="712">
        <f>VLOOKUP($B17&amp;"_"&amp;$D17,'App5 - CRUK Inci Rates'!C:J,8,FALSE)</f>
        <v>4369702.666666667</v>
      </c>
      <c r="H17" s="713">
        <f>VLOOKUP($B17&amp;"_"&amp;$D17,'App5 - CRUK Inci Rates'!C:J,7,FALSE)</f>
        <v>0</v>
      </c>
      <c r="I17" s="713">
        <f>VLOOKUP($B17&amp;"_"&amp;$D17,'App5 - CRUK Inci Rates'!C:J,4,FALSE)</f>
        <v>4369702.666666667</v>
      </c>
      <c r="J17" s="709">
        <f>VLOOKUP($B17&amp;"_"&amp;$D17,'App5 - CRUK Inci Rates'!C:K,9,FALSE)</f>
        <v>7533</v>
      </c>
      <c r="K17" s="706">
        <f t="shared" si="7"/>
        <v>2184851.3333333335</v>
      </c>
      <c r="L17" s="706">
        <f>VLOOKUP("*"&amp;$B17&amp;"*",'S4 - Summ PRS Characteristics'!$C$5:$Q$12,11,FALSE)*$J17</f>
        <v>5257.0808196134758</v>
      </c>
      <c r="M17" s="706">
        <f t="shared" si="8"/>
        <v>2275.9191803865242</v>
      </c>
      <c r="N17" s="706">
        <f>IF($C17="other",(1-$C$7)*L17,(1-(VLOOKUP($C17,'S3 - Screening Tool Metrics'!$C$3:$G$17,5,FALSE)/100))*L17)</f>
        <v>1577.1242458840429</v>
      </c>
      <c r="O17" s="706">
        <f>IF($C17="other",$C$7*L17,(VLOOKUP($C17,'S3 - Screening Tool Metrics'!$C$3:$G$17,5,FALSE)/100)*L17)</f>
        <v>3679.9565737294329</v>
      </c>
      <c r="P17" s="706">
        <f t="shared" si="9"/>
        <v>48.851142622188142</v>
      </c>
      <c r="Q17" s="707">
        <f t="shared" si="0"/>
        <v>873940.53333333344</v>
      </c>
      <c r="R17" s="706">
        <f>VLOOKUP("*"&amp;$B17&amp;"*",'S4 - Summ PRS Characteristics'!$C$5:$Q$12,12,FALSE)*$J17</f>
        <v>2811.4946203652394</v>
      </c>
      <c r="S17" s="706">
        <f t="shared" si="10"/>
        <v>4721.5053796347602</v>
      </c>
      <c r="T17" s="706">
        <f>IF($C17="other",(1-$C7)*R17,(1-(VLOOKUP($C17,'S3 - Screening Tool Metrics'!$C$3:$G$17,5,FALSE)/100))*R17)</f>
        <v>843.44838610957197</v>
      </c>
      <c r="U17" s="706">
        <f>IF($C17="other",$C7*R17,(VLOOKUP($C17,'S3 - Screening Tool Metrics'!$C$3:$G$17,5,FALSE)/100)*R17)</f>
        <v>1968.0462342556675</v>
      </c>
      <c r="V17" s="708">
        <f t="shared" si="1"/>
        <v>26.125663537178646</v>
      </c>
      <c r="W17" s="707">
        <f t="shared" si="2"/>
        <v>436970.26666666672</v>
      </c>
      <c r="X17" s="706">
        <f>VLOOKUP("*"&amp;$B17&amp;"*",'S4 - Summ PRS Characteristics'!$C$5:$Q$12,13,FALSE)*$J17</f>
        <v>1677.2596677201075</v>
      </c>
      <c r="Y17" s="706">
        <f t="shared" si="11"/>
        <v>5855.7403322798928</v>
      </c>
      <c r="Z17" s="706">
        <f>IF($C17="other",(1-$C7)*X17,(1-(VLOOKUP($C17,'S3 - Screening Tool Metrics'!$C$3:$G$17,5,FALSE)/100))*X17)</f>
        <v>503.17790031603232</v>
      </c>
      <c r="AA17" s="706">
        <f>IF($C17="other",$C7*X17,(VLOOKUP($C17,'S3 - Screening Tool Metrics'!$C$3:$G$17,5,FALSE)/100)*X17)</f>
        <v>1174.0817674040752</v>
      </c>
      <c r="AB17" s="708">
        <f t="shared" si="3"/>
        <v>15.585845843675497</v>
      </c>
      <c r="AC17" s="707">
        <f t="shared" si="4"/>
        <v>218485.13333333336</v>
      </c>
      <c r="AD17" s="706">
        <f>VLOOKUP("*"&amp;$B17&amp;"*",'S4 - Summ PRS Characteristics'!$C$5:$Q$12,14,FALSE)*$J17</f>
        <v>979.02171931705482</v>
      </c>
      <c r="AE17" s="706">
        <f t="shared" si="14"/>
        <v>6553.9782806829453</v>
      </c>
      <c r="AF17" s="706">
        <f>IF($C17="other",(1-$C7)*AD17,(1-(VLOOKUP($C17,'S3 - Screening Tool Metrics'!$C$3:$G$17,5,FALSE)/100))*AD17)</f>
        <v>293.7065157951165</v>
      </c>
      <c r="AG17" s="706">
        <f>IF($C17="other",$C7*AD17,(VLOOKUP($C17,'S3 - Screening Tool Metrics'!$C$3:$G$17,5,FALSE)/100)*AD17)</f>
        <v>685.31520352193832</v>
      </c>
      <c r="AH17" s="708">
        <f t="shared" si="5"/>
        <v>9.0975070160883877</v>
      </c>
      <c r="AI17" s="707">
        <f t="shared" si="12"/>
        <v>43697.026666666672</v>
      </c>
      <c r="AJ17" s="706">
        <f>VLOOKUP("*"&amp;$B17&amp;"*",'S4 - Summ PRS Characteristics'!$C$5:$Q$12,15,FALSE)*$J17</f>
        <v>265.90788060552836</v>
      </c>
      <c r="AK17" s="706">
        <f t="shared" si="13"/>
        <v>7267.0921193944714</v>
      </c>
      <c r="AL17" s="706">
        <f>IF($C17="other",(1-$C7)*AJ17,(1-(VLOOKUP($C17,'S3 - Screening Tool Metrics'!$C$3:$G$17,5,FALSE)/100))*AJ17)</f>
        <v>79.772364181658517</v>
      </c>
      <c r="AM17" s="706">
        <f>IF($C17="other",$C7*AJ17,(VLOOKUP($C17,'S3 - Screening Tool Metrics'!$C$3:$G$17,5,FALSE)/100)*AJ17)</f>
        <v>186.13551642386983</v>
      </c>
      <c r="AN17" s="709">
        <f t="shared" si="6"/>
        <v>2.4709347726519293</v>
      </c>
    </row>
    <row r="18" spans="2:40" ht="11" customHeight="1" x14ac:dyDescent="0.15">
      <c r="B18" s="700" t="s">
        <v>8</v>
      </c>
      <c r="C18" s="1082" t="str">
        <f>$C8</f>
        <v>Digital mammography</v>
      </c>
      <c r="D18" s="552" t="s">
        <v>202</v>
      </c>
      <c r="E18" s="710">
        <f>VLOOKUP($B18&amp;"_"&amp;$D18,'App5 - CRUK Inci Rates'!C:H,6,FALSE)</f>
        <v>0</v>
      </c>
      <c r="F18" s="711">
        <f>VLOOKUP($B18&amp;"_"&amp;$D18,'App5 - CRUK Inci Rates'!C:H,3,FALSE)</f>
        <v>282.4951148355575</v>
      </c>
      <c r="G18" s="712">
        <f>VLOOKUP($B18&amp;"_"&amp;$D18,'App5 - CRUK Inci Rates'!C:J,8,FALSE)</f>
        <v>4484325.333333334</v>
      </c>
      <c r="H18" s="713">
        <f>VLOOKUP($B18&amp;"_"&amp;$D18,'App5 - CRUK Inci Rates'!C:J,7,FALSE)</f>
        <v>0</v>
      </c>
      <c r="I18" s="713">
        <f>VLOOKUP($B18&amp;"_"&amp;$D18,'App5 - CRUK Inci Rates'!C:J,4,FALSE)</f>
        <v>4484325.333333334</v>
      </c>
      <c r="J18" s="709">
        <f>VLOOKUP($B18&amp;"_"&amp;$D18,'App5 - CRUK Inci Rates'!C:K,9,FALSE)</f>
        <v>12668</v>
      </c>
      <c r="K18" s="706">
        <f t="shared" si="7"/>
        <v>2242162.666666667</v>
      </c>
      <c r="L18" s="706">
        <f>VLOOKUP("*"&amp;$B18&amp;"*",'S4 - Summ PRS Characteristics'!$C$5:$Q$12,11,FALSE)*$J18</f>
        <v>8840.6610676839919</v>
      </c>
      <c r="M18" s="706">
        <f t="shared" si="8"/>
        <v>3827.3389323160081</v>
      </c>
      <c r="N18" s="706">
        <f>IF($C18="other",(1-$C$7)*L18,(1-(VLOOKUP($C18,'S3 - Screening Tool Metrics'!$C$3:$G$17,5,FALSE)/100))*L18)</f>
        <v>2652.1983203051977</v>
      </c>
      <c r="O18" s="706">
        <f>IF($C18="other",$C$7*L18,(VLOOKUP($C18,'S3 - Screening Tool Metrics'!$C$3:$G$17,5,FALSE)/100)*L18)</f>
        <v>6188.4627473787941</v>
      </c>
      <c r="P18" s="706">
        <f t="shared" si="9"/>
        <v>48.851142622188142</v>
      </c>
      <c r="Q18" s="707">
        <f t="shared" si="0"/>
        <v>896865.06666666688</v>
      </c>
      <c r="R18" s="706">
        <f>VLOOKUP("*"&amp;$B18&amp;"*",'S4 - Summ PRS Characteristics'!$C$5:$Q$12,12,FALSE)*$J18</f>
        <v>4727.9986526997018</v>
      </c>
      <c r="S18" s="706">
        <f t="shared" si="10"/>
        <v>7940.0013473002982</v>
      </c>
      <c r="T18" s="706">
        <f>IF($C18="other",(1-$C7)*R18,(1-(VLOOKUP($C18,'S3 - Screening Tool Metrics'!$C$3:$G$17,5,FALSE)/100))*R18)</f>
        <v>1418.3995958099108</v>
      </c>
      <c r="U18" s="706">
        <f>IF($C18="other",$C7*R18,(VLOOKUP($C18,'S3 - Screening Tool Metrics'!$C$3:$G$17,5,FALSE)/100)*R18)</f>
        <v>3309.599056889791</v>
      </c>
      <c r="V18" s="708">
        <f t="shared" si="1"/>
        <v>26.125663537178646</v>
      </c>
      <c r="W18" s="707">
        <f t="shared" si="2"/>
        <v>448432.53333333344</v>
      </c>
      <c r="X18" s="706">
        <f>VLOOKUP("*"&amp;$B18&amp;"*",'S4 - Summ PRS Characteristics'!$C$5:$Q$12,13,FALSE)*$J18</f>
        <v>2820.5927878240173</v>
      </c>
      <c r="Y18" s="706">
        <f t="shared" si="11"/>
        <v>9847.4072121759818</v>
      </c>
      <c r="Z18" s="706">
        <f>IF($C18="other",(1-$C7)*X18,(1-(VLOOKUP($C18,'S3 - Screening Tool Metrics'!$C$3:$G$17,5,FALSE)/100))*X18)</f>
        <v>846.17783634720536</v>
      </c>
      <c r="AA18" s="706">
        <f>IF($C18="other",$C7*X18,(VLOOKUP($C18,'S3 - Screening Tool Metrics'!$C$3:$G$17,5,FALSE)/100)*X18)</f>
        <v>1974.4149514768119</v>
      </c>
      <c r="AB18" s="708">
        <f t="shared" si="3"/>
        <v>15.585845843675497</v>
      </c>
      <c r="AC18" s="707">
        <f t="shared" si="4"/>
        <v>224216.26666666672</v>
      </c>
      <c r="AD18" s="706">
        <f>VLOOKUP("*"&amp;$B18&amp;"*",'S4 - Summ PRS Characteristics'!$C$5:$Q$12,14,FALSE)*$J18</f>
        <v>1646.3888411401103</v>
      </c>
      <c r="AE18" s="706">
        <f t="shared" si="14"/>
        <v>11021.611158859891</v>
      </c>
      <c r="AF18" s="706">
        <f>IF($C18="other",(1-$C7)*AD18,(1-(VLOOKUP($C18,'S3 - Screening Tool Metrics'!$C$3:$G$17,5,FALSE)/100))*AD18)</f>
        <v>493.91665234203316</v>
      </c>
      <c r="AG18" s="706">
        <f>IF($C18="other",$C7*AD18,(VLOOKUP($C18,'S3 - Screening Tool Metrics'!$C$3:$G$17,5,FALSE)/100)*AD18)</f>
        <v>1152.4721887980772</v>
      </c>
      <c r="AH18" s="708">
        <f t="shared" si="5"/>
        <v>9.0975070160883895</v>
      </c>
      <c r="AI18" s="707">
        <f t="shared" si="12"/>
        <v>44843.253333333341</v>
      </c>
      <c r="AJ18" s="706">
        <f>VLOOKUP("*"&amp;$B18&amp;"*",'S4 - Summ PRS Characteristics'!$C$5:$Q$12,15,FALSE)*$J18</f>
        <v>447.16859571363773</v>
      </c>
      <c r="AK18" s="706">
        <f t="shared" si="13"/>
        <v>12220.831404286362</v>
      </c>
      <c r="AL18" s="706">
        <f>IF($C18="other",(1-$C7)*AJ18,(1-(VLOOKUP($C18,'S3 - Screening Tool Metrics'!$C$3:$G$17,5,FALSE)/100))*AJ18)</f>
        <v>134.15057871409132</v>
      </c>
      <c r="AM18" s="706">
        <f>IF($C18="other",$C7*AJ18,(VLOOKUP($C18,'S3 - Screening Tool Metrics'!$C$3:$G$17,5,FALSE)/100)*AJ18)</f>
        <v>313.01801699954638</v>
      </c>
      <c r="AN18" s="709">
        <f t="shared" si="6"/>
        <v>2.4709347726519293</v>
      </c>
    </row>
    <row r="19" spans="2:40" ht="11" customHeight="1" x14ac:dyDescent="0.15">
      <c r="B19" s="700" t="s">
        <v>8</v>
      </c>
      <c r="C19" s="1082" t="str">
        <f>$C8</f>
        <v>Digital mammography</v>
      </c>
      <c r="D19" s="552" t="s">
        <v>203</v>
      </c>
      <c r="E19" s="710">
        <f>VLOOKUP($B19&amp;"_"&amp;$D19,'App5 - CRUK Inci Rates'!C:H,6,FALSE)</f>
        <v>0</v>
      </c>
      <c r="F19" s="711">
        <f>VLOOKUP($B19&amp;"_"&amp;$D19,'App5 - CRUK Inci Rates'!C:H,3,FALSE)</f>
        <v>323.87112291893521</v>
      </c>
      <c r="G19" s="712">
        <f>VLOOKUP($B19&amp;"_"&amp;$D19,'App5 - CRUK Inci Rates'!C:J,8,FALSE)</f>
        <v>8126689.333333334</v>
      </c>
      <c r="H19" s="713">
        <f>VLOOKUP($B19&amp;"_"&amp;$D19,'App5 - CRUK Inci Rates'!C:J,7,FALSE)</f>
        <v>0</v>
      </c>
      <c r="I19" s="713">
        <f>VLOOKUP($B19&amp;"_"&amp;$D19,'App5 - CRUK Inci Rates'!C:J,4,FALSE)</f>
        <v>8126689.333333334</v>
      </c>
      <c r="J19" s="709">
        <f>VLOOKUP($B19&amp;"_"&amp;$D19,'App5 - CRUK Inci Rates'!C:K,9,FALSE)</f>
        <v>26320</v>
      </c>
      <c r="K19" s="706">
        <f t="shared" si="7"/>
        <v>4063344.666666667</v>
      </c>
      <c r="L19" s="706">
        <f>VLOOKUP("*"&amp;$B19&amp;"*",'S4 - Summ PRS Characteristics'!$C$5:$Q$12,11,FALSE)*$J19</f>
        <v>18368.029625942741</v>
      </c>
      <c r="M19" s="706">
        <f t="shared" si="8"/>
        <v>7951.9703740572586</v>
      </c>
      <c r="N19" s="706">
        <f>IF($C19="other",(1-$C$7)*L19,(1-(VLOOKUP($C19,'S3 - Screening Tool Metrics'!$C$3:$G$17,5,FALSE)/100))*L19)</f>
        <v>5510.4088877828235</v>
      </c>
      <c r="O19" s="706">
        <f>IF($C19="other",$C$7*L19,(VLOOKUP($C19,'S3 - Screening Tool Metrics'!$C$3:$G$17,5,FALSE)/100)*L19)</f>
        <v>12857.620738159918</v>
      </c>
      <c r="P19" s="706">
        <f t="shared" si="9"/>
        <v>48.851142622188135</v>
      </c>
      <c r="Q19" s="707">
        <f t="shared" si="0"/>
        <v>1625337.8666666669</v>
      </c>
      <c r="R19" s="706">
        <f>VLOOKUP("*"&amp;$B19&amp;"*",'S4 - Summ PRS Characteristics'!$C$5:$Q$12,12,FALSE)*$J19</f>
        <v>9823.2494899791709</v>
      </c>
      <c r="S19" s="706">
        <f t="shared" si="10"/>
        <v>16496.750510020829</v>
      </c>
      <c r="T19" s="706">
        <f>IF($C19="other",(1-$C7)*R19,(1-(VLOOKUP($C19,'S3 - Screening Tool Metrics'!$C$3:$G$17,5,FALSE)/100))*R19)</f>
        <v>2946.9748469937517</v>
      </c>
      <c r="U19" s="706">
        <f>IF($C19="other",$C7*R19,(VLOOKUP($C19,'S3 - Screening Tool Metrics'!$C$3:$G$17,5,FALSE)/100)*R19)</f>
        <v>6876.2746429854196</v>
      </c>
      <c r="V19" s="708">
        <f t="shared" si="1"/>
        <v>26.125663537178646</v>
      </c>
      <c r="W19" s="707">
        <f t="shared" si="2"/>
        <v>812668.93333333347</v>
      </c>
      <c r="X19" s="706">
        <f>VLOOKUP("*"&amp;$B19&amp;"*",'S4 - Summ PRS Characteristics'!$C$5:$Q$12,13,FALSE)*$J19</f>
        <v>5860.2780372219868</v>
      </c>
      <c r="Y19" s="706">
        <f t="shared" si="11"/>
        <v>20459.721962778014</v>
      </c>
      <c r="Z19" s="706">
        <f>IF($C19="other",(1-$C7)*X19,(1-(VLOOKUP($C19,'S3 - Screening Tool Metrics'!$C$3:$G$17,5,FALSE)/100))*X19)</f>
        <v>1758.0834111665963</v>
      </c>
      <c r="AA19" s="706">
        <f>IF($C19="other",$C7*X19,(VLOOKUP($C19,'S3 - Screening Tool Metrics'!$C$3:$G$17,5,FALSE)/100)*X19)</f>
        <v>4102.1946260553905</v>
      </c>
      <c r="AB19" s="708">
        <f t="shared" si="3"/>
        <v>15.585845843675497</v>
      </c>
      <c r="AC19" s="707">
        <f t="shared" si="4"/>
        <v>406334.46666666673</v>
      </c>
      <c r="AD19" s="706">
        <f>VLOOKUP("*"&amp;$B19&amp;"*",'S4 - Summ PRS Characteristics'!$C$5:$Q$12,14,FALSE)*$J19</f>
        <v>3420.6626380492344</v>
      </c>
      <c r="AE19" s="706">
        <f t="shared" si="14"/>
        <v>22899.337361950766</v>
      </c>
      <c r="AF19" s="706">
        <f>IF($C19="other",(1-$C7)*AD19,(1-(VLOOKUP($C19,'S3 - Screening Tool Metrics'!$C$3:$G$17,5,FALSE)/100))*AD19)</f>
        <v>1026.1987914147705</v>
      </c>
      <c r="AG19" s="706">
        <f>IF($C19="other",$C7*AD19,(VLOOKUP($C19,'S3 - Screening Tool Metrics'!$C$3:$G$17,5,FALSE)/100)*AD19)</f>
        <v>2394.4638466344641</v>
      </c>
      <c r="AH19" s="708">
        <f t="shared" si="5"/>
        <v>9.0975070160883895</v>
      </c>
      <c r="AI19" s="707">
        <f t="shared" si="12"/>
        <v>81266.893333333341</v>
      </c>
      <c r="AJ19" s="706">
        <f>VLOOKUP("*"&amp;$B19&amp;"*",'S4 - Summ PRS Characteristics'!$C$5:$Q$12,15,FALSE)*$J19</f>
        <v>929.07147451712547</v>
      </c>
      <c r="AK19" s="706">
        <f t="shared" si="13"/>
        <v>25390.928525482876</v>
      </c>
      <c r="AL19" s="706">
        <f>IF($C19="other",(1-$C7)*AJ19,(1-(VLOOKUP($C19,'S3 - Screening Tool Metrics'!$C$3:$G$17,5,FALSE)/100))*AJ19)</f>
        <v>278.7214423551377</v>
      </c>
      <c r="AM19" s="706">
        <f>IF($C19="other",$C7*AJ19,(VLOOKUP($C19,'S3 - Screening Tool Metrics'!$C$3:$G$17,5,FALSE)/100)*AJ19)</f>
        <v>650.35003216198777</v>
      </c>
      <c r="AN19" s="709">
        <f t="shared" si="6"/>
        <v>2.4709347726519293</v>
      </c>
    </row>
    <row r="20" spans="2:40" ht="11" customHeight="1" x14ac:dyDescent="0.15">
      <c r="B20" s="700" t="s">
        <v>8</v>
      </c>
      <c r="C20" s="1082" t="str">
        <f>$C9</f>
        <v>Digital mammography</v>
      </c>
      <c r="D20" s="552" t="s">
        <v>292</v>
      </c>
      <c r="E20" s="710">
        <f>VLOOKUP($B20&amp;"_"&amp;$D20,'App5 - CRUK Inci Rates'!C:H,6,FALSE)</f>
        <v>0</v>
      </c>
      <c r="F20" s="711">
        <f>VLOOKUP($B20&amp;"_"&amp;$D20,'App5 - CRUK Inci Rates'!C:H,3,FALSE)</f>
        <v>374.17267503121917</v>
      </c>
      <c r="G20" s="712">
        <f>VLOOKUP($B20&amp;"_"&amp;$D20,'App5 - CRUK Inci Rates'!C:J,8,FALSE)</f>
        <v>5245973.666666667</v>
      </c>
      <c r="H20" s="713">
        <f>VLOOKUP($B20&amp;"_"&amp;$D20,'App5 - CRUK Inci Rates'!C:J,7,FALSE)</f>
        <v>0</v>
      </c>
      <c r="I20" s="713">
        <f>VLOOKUP($B20&amp;"_"&amp;$D20,'App5 - CRUK Inci Rates'!C:J,4,FALSE)</f>
        <v>5245973.666666667</v>
      </c>
      <c r="J20" s="709">
        <f>VLOOKUP($B20&amp;"_"&amp;$D20,'App5 - CRUK Inci Rates'!C:K,9,FALSE)</f>
        <v>19629</v>
      </c>
      <c r="K20" s="706">
        <f t="shared" si="7"/>
        <v>2622986.8333333335</v>
      </c>
      <c r="L20" s="706">
        <f>VLOOKUP("*"&amp;$B20&amp;"*",'S4 - Summ PRS Characteristics'!$C$5:$Q$12,11,FALSE)*$J20</f>
        <v>13698.558264727588</v>
      </c>
      <c r="M20" s="706">
        <f t="shared" si="8"/>
        <v>5930.4417352724122</v>
      </c>
      <c r="N20" s="706">
        <f>IF($C20="other",(1-$C$7)*L20,(1-(VLOOKUP($C20,'S3 - Screening Tool Metrics'!$C$3:$G$17,5,FALSE)/100))*L20)</f>
        <v>4109.5674794182769</v>
      </c>
      <c r="O20" s="706">
        <f>IF($C20="other",$C$7*L20,(VLOOKUP($C20,'S3 - Screening Tool Metrics'!$C$3:$G$17,5,FALSE)/100)*L20)</f>
        <v>9588.99078530931</v>
      </c>
      <c r="P20" s="706">
        <f t="shared" si="9"/>
        <v>48.851142622188135</v>
      </c>
      <c r="Q20" s="707">
        <f>$G20*Q$3</f>
        <v>1049194.7333333334</v>
      </c>
      <c r="R20" s="706">
        <f>VLOOKUP("*"&amp;$B20&amp;"*",'S4 - Summ PRS Characteristics'!$C$5:$Q$12,12,FALSE)*$J20</f>
        <v>7326.0092795897099</v>
      </c>
      <c r="S20" s="706">
        <f>$J20-R20</f>
        <v>12302.990720410289</v>
      </c>
      <c r="T20" s="706">
        <f>IF($C20="other",(1-$C8)*R20,(1-(VLOOKUP($C20,'S3 - Screening Tool Metrics'!$C$3:$G$17,5,FALSE)/100))*R20)</f>
        <v>2197.8027838769135</v>
      </c>
      <c r="U20" s="706">
        <f>IF($C20="other",$C8*R20,(VLOOKUP($C20,'S3 - Screening Tool Metrics'!$C$3:$G$17,5,FALSE)/100)*R20)</f>
        <v>5128.2064957127968</v>
      </c>
      <c r="V20" s="708">
        <f t="shared" si="1"/>
        <v>26.125663537178649</v>
      </c>
      <c r="W20" s="707">
        <f>$G20*W$3</f>
        <v>524597.3666666667</v>
      </c>
      <c r="X20" s="706">
        <f>VLOOKUP("*"&amp;$B20&amp;"*",'S4 - Summ PRS Characteristics'!$C$5:$Q$12,13,FALSE)*$J20</f>
        <v>4370.4938295072334</v>
      </c>
      <c r="Y20" s="706">
        <f t="shared" ref="Y20" si="15">$J20-X20</f>
        <v>15258.506170492767</v>
      </c>
      <c r="Z20" s="706">
        <f>IF($C20="other",(1-$C8)*X20,(1-(VLOOKUP($C20,'S3 - Screening Tool Metrics'!$C$3:$G$17,5,FALSE)/100))*X20)</f>
        <v>1311.1481488521702</v>
      </c>
      <c r="AA20" s="706">
        <f>IF($C20="other",$C8*X20,(VLOOKUP($C20,'S3 - Screening Tool Metrics'!$C$3:$G$17,5,FALSE)/100)*X20)</f>
        <v>3059.345680655063</v>
      </c>
      <c r="AB20" s="708">
        <f t="shared" si="3"/>
        <v>15.585845843675495</v>
      </c>
      <c r="AC20" s="707">
        <f t="shared" si="4"/>
        <v>262298.68333333335</v>
      </c>
      <c r="AD20" s="706">
        <f>VLOOKUP("*"&amp;$B20&amp;"*",'S4 - Summ PRS Characteristics'!$C$5:$Q$12,14,FALSE)*$J20</f>
        <v>2551.0709316971288</v>
      </c>
      <c r="AE20" s="706">
        <f t="shared" ref="AE20" si="16">$J20-AD20</f>
        <v>17077.92906830287</v>
      </c>
      <c r="AF20" s="706">
        <f>IF($C20="other",(1-$C8)*AD20,(1-(VLOOKUP($C20,'S3 - Screening Tool Metrics'!$C$3:$G$17,5,FALSE)/100))*AD20)</f>
        <v>765.32127950913878</v>
      </c>
      <c r="AG20" s="706">
        <f>IF($C20="other",$C8*AD20,(VLOOKUP($C20,'S3 - Screening Tool Metrics'!$C$3:$G$17,5,FALSE)/100)*AD20)</f>
        <v>1785.74965218799</v>
      </c>
      <c r="AH20" s="708">
        <f t="shared" si="5"/>
        <v>9.0975070160883895</v>
      </c>
      <c r="AI20" s="707">
        <f t="shared" si="12"/>
        <v>52459.736666666671</v>
      </c>
      <c r="AJ20" s="706">
        <f>VLOOKUP("*"&amp;$B20&amp;"*",'S4 - Summ PRS Characteristics'!$C$5:$Q$12,15,FALSE)*$J20</f>
        <v>692.88540931978173</v>
      </c>
      <c r="AK20" s="706">
        <f t="shared" ref="AK20" si="17">$J20-AJ20</f>
        <v>18936.114590680219</v>
      </c>
      <c r="AL20" s="706">
        <f>IF($C20="other",(1-$C8)*AJ20,(1-(VLOOKUP($C20,'S3 - Screening Tool Metrics'!$C$3:$G$17,5,FALSE)/100))*AJ20)</f>
        <v>207.86562279593454</v>
      </c>
      <c r="AM20" s="706">
        <f>IF($C20="other",$C8*AJ20,(VLOOKUP($C20,'S3 - Screening Tool Metrics'!$C$3:$G$17,5,FALSE)/100)*AJ20)</f>
        <v>485.01978652384719</v>
      </c>
      <c r="AN20" s="709">
        <f t="shared" si="6"/>
        <v>2.4709347726519293</v>
      </c>
    </row>
    <row r="21" spans="2:40" ht="11" customHeight="1" x14ac:dyDescent="0.15">
      <c r="B21" s="700" t="s">
        <v>8</v>
      </c>
      <c r="C21" s="1082" t="str">
        <f>$C8</f>
        <v>Digital mammography</v>
      </c>
      <c r="D21" s="552" t="s">
        <v>204</v>
      </c>
      <c r="E21" s="710">
        <f>VLOOKUP($B21&amp;"_"&amp;$D21,'App5 - CRUK Inci Rates'!C:H,6,FALSE)</f>
        <v>0</v>
      </c>
      <c r="F21" s="711">
        <f>VLOOKUP($B21&amp;"_"&amp;$D21,'App5 - CRUK Inci Rates'!C:H,3,FALSE)</f>
        <v>291.80100809814547</v>
      </c>
      <c r="G21" s="712">
        <f>VLOOKUP($B21&amp;"_"&amp;$D21,'App5 - CRUK Inci Rates'!C:J,8,FALSE)</f>
        <v>15281647</v>
      </c>
      <c r="H21" s="713">
        <f>VLOOKUP($B21&amp;"_"&amp;$D21,'App5 - CRUK Inci Rates'!C:J,7,FALSE)</f>
        <v>0</v>
      </c>
      <c r="I21" s="713">
        <f>VLOOKUP($B21&amp;"_"&amp;$D21,'App5 - CRUK Inci Rates'!C:J,4,FALSE)</f>
        <v>15281647</v>
      </c>
      <c r="J21" s="709">
        <f>VLOOKUP($B21&amp;"_"&amp;$D21,'App5 - CRUK Inci Rates'!C:K,9,FALSE)</f>
        <v>44592</v>
      </c>
      <c r="K21" s="706">
        <f t="shared" si="7"/>
        <v>7640823.5</v>
      </c>
      <c r="L21" s="706">
        <f>VLOOKUP("*"&amp;$B21&amp;"*",'S4 - Summ PRS Characteristics'!$C$5:$Q$12,11,FALSE)*$J21</f>
        <v>31119.573597265909</v>
      </c>
      <c r="M21" s="706">
        <f t="shared" si="8"/>
        <v>13472.426402734091</v>
      </c>
      <c r="N21" s="706">
        <f>IF($C21="other",(1-$C$7)*L21,(1-(VLOOKUP($C21,'S3 - Screening Tool Metrics'!$C$3:$G$17,5,FALSE)/100))*L21)</f>
        <v>9335.872079179775</v>
      </c>
      <c r="O21" s="706">
        <f>IF($C21="other",$C$7*L21,(VLOOKUP($C21,'S3 - Screening Tool Metrics'!$C$3:$G$17,5,FALSE)/100)*L21)</f>
        <v>21783.701518086134</v>
      </c>
      <c r="P21" s="706">
        <f t="shared" si="9"/>
        <v>48.851142622188135</v>
      </c>
      <c r="Q21" s="707">
        <f t="shared" si="0"/>
        <v>3056329.4000000004</v>
      </c>
      <c r="R21" s="706">
        <f>VLOOKUP("*"&amp;$B21&amp;"*",'S4 - Summ PRS Characteristics'!$C$5:$Q$12,12,FALSE)*$J21</f>
        <v>16642.794120712431</v>
      </c>
      <c r="S21" s="706">
        <f t="shared" si="10"/>
        <v>27949.205879287569</v>
      </c>
      <c r="T21" s="706">
        <f>IF($C21="other",(1-$C7)*R21,(1-(VLOOKUP($C21,'S3 - Screening Tool Metrics'!$C$3:$G$17,5,FALSE)/100))*R21)</f>
        <v>4992.8382362137299</v>
      </c>
      <c r="U21" s="706">
        <f>IF($C21="other",$C7*R21,(VLOOKUP($C21,'S3 - Screening Tool Metrics'!$C$3:$G$17,5,FALSE)/100)*R21)</f>
        <v>11649.9558844987</v>
      </c>
      <c r="V21" s="708">
        <f t="shared" si="1"/>
        <v>26.125663537178646</v>
      </c>
      <c r="W21" s="707">
        <f t="shared" si="2"/>
        <v>1528164.7000000002</v>
      </c>
      <c r="X21" s="706">
        <f>VLOOKUP("*"&amp;$B21&amp;"*",'S4 - Summ PRS Characteristics'!$C$5:$Q$12,13,FALSE)*$J21</f>
        <v>9928.6291123025403</v>
      </c>
      <c r="Y21" s="706">
        <f t="shared" si="11"/>
        <v>34663.370887697456</v>
      </c>
      <c r="Z21" s="706">
        <f>IF($C21="other",(1-$C7)*X21,(1-(VLOOKUP($C21,'S3 - Screening Tool Metrics'!$C$3:$G$17,5,FALSE)/100))*X21)</f>
        <v>2978.5887336907626</v>
      </c>
      <c r="AA21" s="706">
        <f>IF($C21="other",$C7*X21,(VLOOKUP($C21,'S3 - Screening Tool Metrics'!$C$3:$G$17,5,FALSE)/100)*X21)</f>
        <v>6950.0403786117777</v>
      </c>
      <c r="AB21" s="708">
        <f t="shared" si="3"/>
        <v>15.585845843675497</v>
      </c>
      <c r="AC21" s="707">
        <f t="shared" si="4"/>
        <v>764082.35000000009</v>
      </c>
      <c r="AD21" s="706">
        <f>VLOOKUP("*"&amp;$B21&amp;"*",'S4 - Summ PRS Characteristics'!$C$5:$Q$12,14,FALSE)*$J21</f>
        <v>5795.3718980201929</v>
      </c>
      <c r="AE21" s="706">
        <f t="shared" si="14"/>
        <v>38796.628101979804</v>
      </c>
      <c r="AF21" s="706">
        <f>IF($C21="other",(1-$C7)*AD21,(1-(VLOOKUP($C21,'S3 - Screening Tool Metrics'!$C$3:$G$17,5,FALSE)/100))*AD21)</f>
        <v>1738.6115694060582</v>
      </c>
      <c r="AG21" s="706">
        <f>IF($C21="other",$C7*AD21,(VLOOKUP($C21,'S3 - Screening Tool Metrics'!$C$3:$G$17,5,FALSE)/100)*AD21)</f>
        <v>4056.7603286141348</v>
      </c>
      <c r="AH21" s="708">
        <f t="shared" si="5"/>
        <v>9.0975070160883895</v>
      </c>
      <c r="AI21" s="707">
        <f t="shared" si="12"/>
        <v>152816.47</v>
      </c>
      <c r="AJ21" s="706">
        <f>VLOOKUP("*"&amp;$B21&amp;"*",'S4 - Summ PRS Characteristics'!$C$5:$Q$12,15,FALSE)*$J21</f>
        <v>1574.0560483156405</v>
      </c>
      <c r="AK21" s="706">
        <f t="shared" si="13"/>
        <v>43017.943951684356</v>
      </c>
      <c r="AL21" s="706">
        <f>IF($C21="other",(1-$C7)*AJ21,(1-(VLOOKUP($C21,'S3 - Screening Tool Metrics'!$C$3:$G$17,5,FALSE)/100))*AJ21)</f>
        <v>472.21681449469224</v>
      </c>
      <c r="AM21" s="706">
        <f>IF($C21="other",$C7*AJ21,(VLOOKUP($C21,'S3 - Screening Tool Metrics'!$C$3:$G$17,5,FALSE)/100)*AJ21)</f>
        <v>1101.8392338209483</v>
      </c>
      <c r="AN21" s="709">
        <f t="shared" si="6"/>
        <v>2.4709347726519293</v>
      </c>
    </row>
    <row r="22" spans="2:40" ht="11" customHeight="1" thickBot="1" x14ac:dyDescent="0.2">
      <c r="B22" s="700" t="s">
        <v>8</v>
      </c>
      <c r="C22" s="1083" t="str">
        <f>$C9</f>
        <v>Digital mammography</v>
      </c>
      <c r="D22" s="552" t="s">
        <v>205</v>
      </c>
      <c r="E22" s="710">
        <f>VLOOKUP($B22&amp;"_"&amp;$D22,'App5 - CRUK Inci Rates'!C:H,6,FALSE)</f>
        <v>0</v>
      </c>
      <c r="F22" s="711">
        <f>VLOOKUP($B22&amp;"_"&amp;$D22,'App5 - CRUK Inci Rates'!C:H,3,FALSE)</f>
        <v>166.0138492223038</v>
      </c>
      <c r="G22" s="712">
        <f>VLOOKUP($B22&amp;"_"&amp;$D22,'App5 - CRUK Inci Rates'!C:J,8,FALSE)</f>
        <v>33458051.999999996</v>
      </c>
      <c r="H22" s="713">
        <f>VLOOKUP($B22&amp;"_"&amp;$D22,'App5 - CRUK Inci Rates'!C:J,7,FALSE)</f>
        <v>0</v>
      </c>
      <c r="I22" s="713">
        <f>VLOOKUP($B22&amp;"_"&amp;$D22,'App5 - CRUK Inci Rates'!C:J,4,FALSE)</f>
        <v>33458051.999999996</v>
      </c>
      <c r="J22" s="709">
        <f>VLOOKUP($B22&amp;"_"&amp;$D22,'App5 - CRUK Inci Rates'!C:K,9,FALSE)</f>
        <v>55545</v>
      </c>
      <c r="K22" s="714"/>
      <c r="L22" s="714"/>
      <c r="M22" s="714"/>
      <c r="N22" s="714"/>
      <c r="O22" s="714"/>
      <c r="P22" s="714"/>
      <c r="Q22" s="715"/>
      <c r="R22" s="716"/>
      <c r="S22" s="716"/>
      <c r="T22" s="716"/>
      <c r="U22" s="716"/>
      <c r="V22" s="717"/>
      <c r="W22" s="715"/>
      <c r="X22" s="716"/>
      <c r="Y22" s="716"/>
      <c r="Z22" s="716"/>
      <c r="AA22" s="716"/>
      <c r="AB22" s="717"/>
      <c r="AC22" s="716"/>
      <c r="AD22" s="716"/>
      <c r="AE22" s="716"/>
      <c r="AF22" s="716"/>
      <c r="AG22" s="716"/>
      <c r="AH22" s="717"/>
      <c r="AI22" s="715"/>
      <c r="AJ22" s="716"/>
      <c r="AK22" s="716"/>
      <c r="AL22" s="716"/>
      <c r="AM22" s="716"/>
      <c r="AN22" s="718"/>
    </row>
    <row r="23" spans="2:40" ht="11" customHeight="1" thickBot="1" x14ac:dyDescent="0.2">
      <c r="B23" s="686" t="s">
        <v>10</v>
      </c>
      <c r="C23" s="687"/>
      <c r="D23" s="688"/>
      <c r="E23" s="689"/>
      <c r="F23" s="690"/>
      <c r="G23" s="691"/>
      <c r="H23" s="692"/>
      <c r="I23" s="692"/>
      <c r="J23" s="693"/>
      <c r="K23" s="694"/>
      <c r="L23" s="694"/>
      <c r="M23" s="694"/>
      <c r="N23" s="694"/>
      <c r="O23" s="694"/>
      <c r="P23" s="694"/>
      <c r="Q23" s="695"/>
      <c r="R23" s="696"/>
      <c r="S23" s="696"/>
      <c r="T23" s="696"/>
      <c r="U23" s="696"/>
      <c r="V23" s="699"/>
      <c r="W23" s="696"/>
      <c r="X23" s="696"/>
      <c r="Y23" s="696"/>
      <c r="Z23" s="696"/>
      <c r="AA23" s="696"/>
      <c r="AB23" s="697"/>
      <c r="AC23" s="696"/>
      <c r="AD23" s="696"/>
      <c r="AE23" s="696"/>
      <c r="AF23" s="696"/>
      <c r="AG23" s="696"/>
      <c r="AH23" s="697"/>
      <c r="AI23" s="695"/>
      <c r="AJ23" s="696"/>
      <c r="AK23" s="696"/>
      <c r="AL23" s="696"/>
      <c r="AM23" s="696"/>
      <c r="AN23" s="699"/>
    </row>
    <row r="24" spans="2:40" ht="11" customHeight="1" x14ac:dyDescent="0.15">
      <c r="B24" s="700" t="s">
        <v>10</v>
      </c>
      <c r="C24" s="1081" t="s">
        <v>172</v>
      </c>
      <c r="D24" s="593" t="s">
        <v>192</v>
      </c>
      <c r="E24" s="701">
        <f>VLOOKUP($B24&amp;"_"&amp;$D24,'App5 - CRUK Inci Rates'!C:H,6,FALSE)</f>
        <v>4.3</v>
      </c>
      <c r="F24" s="702">
        <f>VLOOKUP($B24&amp;"_"&amp;$D24,'App5 - CRUK Inci Rates'!C:H,3,FALSE)</f>
        <v>0</v>
      </c>
      <c r="G24" s="703">
        <f>VLOOKUP($B24&amp;"_"&amp;$D24,'App5 - CRUK Inci Rates'!C:J,8,FALSE)</f>
        <v>2021384.6666666667</v>
      </c>
      <c r="H24" s="704">
        <f>VLOOKUP($B24&amp;"_"&amp;$D24,'App5 - CRUK Inci Rates'!C:J,7,FALSE)</f>
        <v>2021384.6666666667</v>
      </c>
      <c r="I24" s="704">
        <f>VLOOKUP($B24&amp;"_"&amp;$D24,'App5 - CRUK Inci Rates'!C:J,4,FALSE)</f>
        <v>0</v>
      </c>
      <c r="J24" s="705">
        <f>VLOOKUP($B24&amp;"_"&amp;$D24,'App5 - CRUK Inci Rates'!C:K,9,FALSE)</f>
        <v>88</v>
      </c>
      <c r="K24" s="706">
        <f t="shared" si="7"/>
        <v>1010692.3333333334</v>
      </c>
      <c r="L24" s="706">
        <f>VLOOKUP("*"&amp;$B24&amp;"*",'S4 - Summ PRS Characteristics'!$C$5:$Q$12,11,FALSE)*$J24</f>
        <v>67.725328944679177</v>
      </c>
      <c r="M24" s="706">
        <f t="shared" si="8"/>
        <v>20.274671055320823</v>
      </c>
      <c r="N24" s="706">
        <f>IF($C24="other",(1-$C$7)*L24,(1-(VLOOKUP($C24,'S3 - Screening Tool Metrics'!$C$3:$G$17,5,FALSE)/100))*L24)</f>
        <v>46.053223682381834</v>
      </c>
      <c r="O24" s="706">
        <f>IF($C24="other",$C$7*L24,(VLOOKUP($C24,'S3 - Screening Tool Metrics'!$C$3:$G$17,5,FALSE)/100)*L24)</f>
        <v>21.672105262297336</v>
      </c>
      <c r="P24" s="706">
        <f t="shared" si="9"/>
        <v>24.627392343519698</v>
      </c>
      <c r="Q24" s="707">
        <f t="shared" ref="Q24:Q38" si="18">$G24*Q$3</f>
        <v>404276.93333333335</v>
      </c>
      <c r="R24" s="706">
        <f>VLOOKUP("*"&amp;$B24&amp;"*",'S4 - Summ PRS Characteristics'!$C$5:$Q$12,12,FALSE)*$J24</f>
        <v>40.352962332429136</v>
      </c>
      <c r="S24" s="706">
        <f>$J24-R24</f>
        <v>47.647037667570864</v>
      </c>
      <c r="T24" s="706">
        <f>IF($C24="other",(1-$C23)*R24,(1-(VLOOKUP($C24,'S3 - Screening Tool Metrics'!$C$3:$G$17,5,FALSE)/100))*R24)</f>
        <v>27.440014386051811</v>
      </c>
      <c r="U24" s="706">
        <f>IF($C24="other",$C23*R24,(VLOOKUP($C24,'S3 - Screening Tool Metrics'!$C$3:$G$17,5,FALSE)/100)*R24)</f>
        <v>12.912947946377324</v>
      </c>
      <c r="V24" s="709">
        <f t="shared" ref="V24:V38" si="19">$U24/$J24*100</f>
        <v>14.673804484519687</v>
      </c>
      <c r="W24" s="706">
        <f t="shared" ref="W24:W38" si="20">$G24*W$3</f>
        <v>202138.46666666667</v>
      </c>
      <c r="X24" s="706">
        <f>VLOOKUP("*"&amp;$B24&amp;"*",'S4 - Summ PRS Characteristics'!$C$5:$Q$12,13,FALSE)*$J24</f>
        <v>25.803375920262219</v>
      </c>
      <c r="Y24" s="706">
        <f>$J24-X24</f>
        <v>62.196624079737781</v>
      </c>
      <c r="Z24" s="706">
        <f>IF($C24="other",(1-$C23)*X24,(1-(VLOOKUP($C24,'S3 - Screening Tool Metrics'!$C$3:$G$17,5,FALSE)/100))*X24)</f>
        <v>17.546295625778306</v>
      </c>
      <c r="AA24" s="706">
        <f>IF($C24="other",$C23*X24,(VLOOKUP($C24,'S3 - Screening Tool Metrics'!$C$3:$G$17,5,FALSE)/100)*X24)</f>
        <v>8.2570802944839095</v>
      </c>
      <c r="AB24" s="708">
        <f t="shared" ref="AB24:AB38" si="21">$AA24/$J24*100</f>
        <v>9.3830457891862604</v>
      </c>
      <c r="AC24" s="707">
        <f t="shared" ref="AC24:AC38" si="22">$G24*AC$3</f>
        <v>101069.23333333334</v>
      </c>
      <c r="AD24" s="706">
        <f>VLOOKUP("*"&amp;$B24&amp;"*",'S4 - Summ PRS Characteristics'!$C$5:$Q$12,14,FALSE)*$J24</f>
        <v>16.026834156676532</v>
      </c>
      <c r="AE24" s="706">
        <f>$J24-AD24</f>
        <v>71.973165843323471</v>
      </c>
      <c r="AF24" s="706">
        <f>IF($C24="other",(1-$C23)*AD24,(1-(VLOOKUP($C24,'S3 - Screening Tool Metrics'!$C$3:$G$17,5,FALSE)/100))*AD24)</f>
        <v>10.898247226540041</v>
      </c>
      <c r="AG24" s="706">
        <f>IF($C24="other",$C23*AD24,(VLOOKUP($C24,'S3 - Screening Tool Metrics'!$C$3:$G$17,5,FALSE)/100)*AD24)</f>
        <v>5.1285869301364908</v>
      </c>
      <c r="AH24" s="708">
        <f t="shared" ref="AH24:AH38" si="23">$AG24/$J24*100</f>
        <v>5.827939693336921</v>
      </c>
      <c r="AI24" s="707">
        <f t="shared" ref="AI24:AI38" si="24">$G24*AI$3</f>
        <v>20213.846666666668</v>
      </c>
      <c r="AJ24" s="706">
        <f>VLOOKUP("*"&amp;$B24&amp;"*",'S4 - Summ PRS Characteristics'!$C$5:$Q$12,15,FALSE)*$J24</f>
        <v>4.9326649831462372</v>
      </c>
      <c r="AK24" s="706">
        <f>$J24-AJ24</f>
        <v>83.067335016853761</v>
      </c>
      <c r="AL24" s="706">
        <f>IF($C24="other",(1-$C23)*AJ24,(1-(VLOOKUP($C24,'S3 - Screening Tool Metrics'!$C$3:$G$17,5,FALSE)/100))*AJ24)</f>
        <v>3.3542121885394409</v>
      </c>
      <c r="AM24" s="706">
        <f>IF($C24="other",$C23*AJ24,(VLOOKUP($C24,'S3 - Screening Tool Metrics'!$C$3:$G$17,5,FALSE)/100)*AJ24)</f>
        <v>1.5784527946067959</v>
      </c>
      <c r="AN24" s="709">
        <f t="shared" ref="AN24:AN38" si="25">$AM24/$J24*100</f>
        <v>1.7936963575077225</v>
      </c>
    </row>
    <row r="25" spans="2:40" ht="11" customHeight="1" x14ac:dyDescent="0.15">
      <c r="B25" s="700" t="s">
        <v>10</v>
      </c>
      <c r="C25" s="1082" t="str">
        <f>$C24</f>
        <v>PSA_3ng/mL cut-off</v>
      </c>
      <c r="D25" s="552" t="s">
        <v>193</v>
      </c>
      <c r="E25" s="710">
        <f>VLOOKUP($B25&amp;"_"&amp;$D25,'App5 - CRUK Inci Rates'!C:H,6,FALSE)</f>
        <v>20.5</v>
      </c>
      <c r="F25" s="711">
        <f>VLOOKUP($B25&amp;"_"&amp;$D25,'App5 - CRUK Inci Rates'!C:H,3,FALSE)</f>
        <v>0</v>
      </c>
      <c r="G25" s="712">
        <f>VLOOKUP($B25&amp;"_"&amp;$D25,'App5 - CRUK Inci Rates'!C:J,8,FALSE)</f>
        <v>2251680</v>
      </c>
      <c r="H25" s="713">
        <f>VLOOKUP($B25&amp;"_"&amp;$D25,'App5 - CRUK Inci Rates'!C:J,7,FALSE)</f>
        <v>2251680</v>
      </c>
      <c r="I25" s="713">
        <f>VLOOKUP($B25&amp;"_"&amp;$D25,'App5 - CRUK Inci Rates'!C:J,4,FALSE)</f>
        <v>0</v>
      </c>
      <c r="J25" s="709">
        <f>VLOOKUP($B25&amp;"_"&amp;$D25,'App5 - CRUK Inci Rates'!C:K,9,FALSE)</f>
        <v>461</v>
      </c>
      <c r="K25" s="706">
        <f t="shared" si="7"/>
        <v>1125840</v>
      </c>
      <c r="L25" s="706">
        <f>VLOOKUP("*"&amp;$B25&amp;"*",'S4 - Summ PRS Characteristics'!$C$5:$Q$12,11,FALSE)*$J25</f>
        <v>354.78837094883073</v>
      </c>
      <c r="M25" s="706">
        <f t="shared" si="8"/>
        <v>106.21162905116927</v>
      </c>
      <c r="N25" s="706">
        <f>IF($C25="other",(1-$C$7)*L25,(1-(VLOOKUP($C25,'S3 - Screening Tool Metrics'!$C$3:$G$17,5,FALSE)/100))*L25)</f>
        <v>241.25609224520488</v>
      </c>
      <c r="O25" s="706">
        <f>IF($C25="other",$C$7*L25,(VLOOKUP($C25,'S3 - Screening Tool Metrics'!$C$3:$G$17,5,FALSE)/100)*L25)</f>
        <v>113.53227870362583</v>
      </c>
      <c r="P25" s="706">
        <f t="shared" si="9"/>
        <v>24.627392343519706</v>
      </c>
      <c r="Q25" s="707">
        <f t="shared" si="18"/>
        <v>450336</v>
      </c>
      <c r="R25" s="706">
        <f>VLOOKUP("*"&amp;$B25&amp;"*",'S4 - Summ PRS Characteristics'!$C$5:$Q$12,12,FALSE)*$J25</f>
        <v>211.39449585511176</v>
      </c>
      <c r="S25" s="706">
        <f t="shared" ref="S25:S38" si="26">$J25-R25</f>
        <v>249.60550414488824</v>
      </c>
      <c r="T25" s="706">
        <f>IF($C25="other",(1-$C23)*R25,(1-(VLOOKUP($C25,'S3 - Screening Tool Metrics'!$C$3:$G$17,5,FALSE)/100))*R25)</f>
        <v>143.74825718147599</v>
      </c>
      <c r="U25" s="706">
        <f>IF($C25="other",$C23*R25,(VLOOKUP($C25,'S3 - Screening Tool Metrics'!$C$3:$G$17,5,FALSE)/100)*R25)</f>
        <v>67.646238673635764</v>
      </c>
      <c r="V25" s="709">
        <f t="shared" si="19"/>
        <v>14.673804484519689</v>
      </c>
      <c r="W25" s="706">
        <f t="shared" si="20"/>
        <v>225168</v>
      </c>
      <c r="X25" s="706">
        <f>VLOOKUP("*"&amp;$B25&amp;"*",'S4 - Summ PRS Characteristics'!$C$5:$Q$12,13,FALSE)*$J25</f>
        <v>135.1745034004646</v>
      </c>
      <c r="Y25" s="706">
        <f t="shared" ref="Y25:Y38" si="27">$J25-X25</f>
        <v>325.82549659953543</v>
      </c>
      <c r="Z25" s="706">
        <f>IF($C25="other",(1-$C23)*X25,(1-(VLOOKUP($C25,'S3 - Screening Tool Metrics'!$C$3:$G$17,5,FALSE)/100))*X25)</f>
        <v>91.918662312315917</v>
      </c>
      <c r="AA25" s="706">
        <f>IF($C25="other",$C23*X25,(VLOOKUP($C25,'S3 - Screening Tool Metrics'!$C$3:$G$17,5,FALSE)/100)*X25)</f>
        <v>43.255841088148671</v>
      </c>
      <c r="AB25" s="708">
        <f t="shared" si="21"/>
        <v>9.383045789186264</v>
      </c>
      <c r="AC25" s="707">
        <f t="shared" si="22"/>
        <v>112584</v>
      </c>
      <c r="AD25" s="706">
        <f>VLOOKUP("*"&amp;$B25&amp;"*",'S4 - Summ PRS Characteristics'!$C$5:$Q$12,14,FALSE)*$J25</f>
        <v>83.958756207135011</v>
      </c>
      <c r="AE25" s="706">
        <f>$J25-AD25</f>
        <v>377.04124379286498</v>
      </c>
      <c r="AF25" s="706">
        <f>IF($C25="other",(1-$C23)*AD25,(1-(VLOOKUP($C25,'S3 - Screening Tool Metrics'!$C$3:$G$17,5,FALSE)/100))*AD25)</f>
        <v>57.091954220851804</v>
      </c>
      <c r="AG25" s="706">
        <f>IF($C25="other",$C23*AD25,(VLOOKUP($C25,'S3 - Screening Tool Metrics'!$C$3:$G$17,5,FALSE)/100)*AD25)</f>
        <v>26.866801986283203</v>
      </c>
      <c r="AH25" s="708">
        <f t="shared" si="23"/>
        <v>5.827939693336921</v>
      </c>
      <c r="AI25" s="707">
        <f t="shared" si="24"/>
        <v>22516.799999999999</v>
      </c>
      <c r="AJ25" s="706">
        <f>VLOOKUP("*"&amp;$B25&amp;"*",'S4 - Summ PRS Characteristics'!$C$5:$Q$12,15,FALSE)*$J25</f>
        <v>25.840438150345626</v>
      </c>
      <c r="AK25" s="706">
        <f t="shared" ref="AK25:AK38" si="28">$J25-AJ25</f>
        <v>435.15956184965438</v>
      </c>
      <c r="AL25" s="706">
        <f>IF($C25="other",(1-$C23)*AJ25,(1-(VLOOKUP($C25,'S3 - Screening Tool Metrics'!$C$3:$G$17,5,FALSE)/100))*AJ25)</f>
        <v>17.571497942235023</v>
      </c>
      <c r="AM25" s="706">
        <f>IF($C25="other",$C23*AJ25,(VLOOKUP($C25,'S3 - Screening Tool Metrics'!$C$3:$G$17,5,FALSE)/100)*AJ25)</f>
        <v>8.2689402081106014</v>
      </c>
      <c r="AN25" s="709">
        <f t="shared" si="25"/>
        <v>1.7936963575077225</v>
      </c>
    </row>
    <row r="26" spans="2:40" ht="11" customHeight="1" x14ac:dyDescent="0.15">
      <c r="B26" s="700" t="s">
        <v>10</v>
      </c>
      <c r="C26" s="1082" t="str">
        <f>$C24</f>
        <v>PSA_3ng/mL cut-off</v>
      </c>
      <c r="D26" s="552" t="s">
        <v>194</v>
      </c>
      <c r="E26" s="710">
        <f>VLOOKUP($B26&amp;"_"&amp;$D26,'App5 - CRUK Inci Rates'!C:H,6,FALSE)</f>
        <v>75.7</v>
      </c>
      <c r="F26" s="711">
        <f>VLOOKUP($B26&amp;"_"&amp;$D26,'App5 - CRUK Inci Rates'!C:H,3,FALSE)</f>
        <v>0</v>
      </c>
      <c r="G26" s="712">
        <f>VLOOKUP($B26&amp;"_"&amp;$D26,'App5 - CRUK Inci Rates'!C:J,8,FALSE)</f>
        <v>2293472.6666666665</v>
      </c>
      <c r="H26" s="713">
        <f>VLOOKUP($B26&amp;"_"&amp;$D26,'App5 - CRUK Inci Rates'!C:J,7,FALSE)</f>
        <v>2293472.6666666665</v>
      </c>
      <c r="I26" s="713">
        <f>VLOOKUP($B26&amp;"_"&amp;$D26,'App5 - CRUK Inci Rates'!C:J,4,FALSE)</f>
        <v>0</v>
      </c>
      <c r="J26" s="709">
        <f>VLOOKUP($B26&amp;"_"&amp;$D26,'App5 - CRUK Inci Rates'!C:K,9,FALSE)</f>
        <v>1737</v>
      </c>
      <c r="K26" s="706">
        <f t="shared" si="7"/>
        <v>1146736.3333333333</v>
      </c>
      <c r="L26" s="706">
        <f>VLOOKUP("*"&amp;$B26&amp;"*",'S4 - Summ PRS Characteristics'!$C$5:$Q$12,11,FALSE)*$J26</f>
        <v>1336.8056406466787</v>
      </c>
      <c r="M26" s="706">
        <f t="shared" si="8"/>
        <v>400.19435935332126</v>
      </c>
      <c r="N26" s="706">
        <f>IF($C26="other",(1-$C$7)*L26,(1-(VLOOKUP($C26,'S3 - Screening Tool Metrics'!$C$3:$G$17,5,FALSE)/100))*L26)</f>
        <v>909.02783563974151</v>
      </c>
      <c r="O26" s="706">
        <f>IF($C26="other",$C$7*L26,(VLOOKUP($C26,'S3 - Screening Tool Metrics'!$C$3:$G$17,5,FALSE)/100)*L26)</f>
        <v>427.77780500693723</v>
      </c>
      <c r="P26" s="706">
        <f t="shared" si="9"/>
        <v>24.627392343519702</v>
      </c>
      <c r="Q26" s="707">
        <f t="shared" si="18"/>
        <v>458694.53333333333</v>
      </c>
      <c r="R26" s="706">
        <f>VLOOKUP("*"&amp;$B26&amp;"*",'S4 - Summ PRS Characteristics'!$C$5:$Q$12,12,FALSE)*$J26</f>
        <v>796.51244967533421</v>
      </c>
      <c r="S26" s="706">
        <f t="shared" si="26"/>
        <v>940.48755032466579</v>
      </c>
      <c r="T26" s="706">
        <f>IF($C26="other",(1-$C23)*R26,(1-(VLOOKUP($C26,'S3 - Screening Tool Metrics'!$C$3:$G$17,5,FALSE)/100))*R26)</f>
        <v>541.62846577922721</v>
      </c>
      <c r="U26" s="706">
        <f>IF($C26="other",$C23*R26,(VLOOKUP($C26,'S3 - Screening Tool Metrics'!$C$3:$G$17,5,FALSE)/100)*R26)</f>
        <v>254.88398389610694</v>
      </c>
      <c r="V26" s="709">
        <f t="shared" si="19"/>
        <v>14.673804484519687</v>
      </c>
      <c r="W26" s="706">
        <f t="shared" si="20"/>
        <v>229347.26666666666</v>
      </c>
      <c r="X26" s="706">
        <f>VLOOKUP("*"&amp;$B26&amp;"*",'S4 - Summ PRS Characteristics'!$C$5:$Q$12,13,FALSE)*$J26</f>
        <v>509.32345424426677</v>
      </c>
      <c r="Y26" s="706">
        <f t="shared" si="27"/>
        <v>1227.6765457557333</v>
      </c>
      <c r="Z26" s="706">
        <f>IF($C26="other",(1-$C23)*X26,(1-(VLOOKUP($C26,'S3 - Screening Tool Metrics'!$C$3:$G$17,5,FALSE)/100))*X26)</f>
        <v>346.33994888610135</v>
      </c>
      <c r="AA26" s="706">
        <f>IF($C26="other",$C23*X26,(VLOOKUP($C26,'S3 - Screening Tool Metrics'!$C$3:$G$17,5,FALSE)/100)*X26)</f>
        <v>162.98350535816536</v>
      </c>
      <c r="AB26" s="708">
        <f t="shared" si="21"/>
        <v>9.3830457891862622</v>
      </c>
      <c r="AC26" s="707">
        <f t="shared" si="22"/>
        <v>114673.63333333333</v>
      </c>
      <c r="AD26" s="706">
        <f>VLOOKUP("*"&amp;$B26&amp;"*",'S4 - Summ PRS Characteristics'!$C$5:$Q$12,14,FALSE)*$J26</f>
        <v>316.34785147894473</v>
      </c>
      <c r="AE26" s="706">
        <f t="shared" ref="AE26:AE38" si="29">$J26-AD26</f>
        <v>1420.6521485210553</v>
      </c>
      <c r="AF26" s="706">
        <f>IF($C26="other",(1-$C23)*AD26,(1-(VLOOKUP($C26,'S3 - Screening Tool Metrics'!$C$3:$G$17,5,FALSE)/100))*AD26)</f>
        <v>215.1165390056824</v>
      </c>
      <c r="AG26" s="706">
        <f>IF($C26="other",$C23*AD26,(VLOOKUP($C26,'S3 - Screening Tool Metrics'!$C$3:$G$17,5,FALSE)/100)*AD26)</f>
        <v>101.23131247326232</v>
      </c>
      <c r="AH26" s="708">
        <f t="shared" si="23"/>
        <v>5.827939693336921</v>
      </c>
      <c r="AI26" s="707">
        <f t="shared" si="24"/>
        <v>22934.726666666666</v>
      </c>
      <c r="AJ26" s="706">
        <f>VLOOKUP("*"&amp;$B26&amp;"*",'S4 - Summ PRS Characteristics'!$C$5:$Q$12,15,FALSE)*$J26</f>
        <v>97.364080405966064</v>
      </c>
      <c r="AK26" s="706">
        <f t="shared" si="28"/>
        <v>1639.635919594034</v>
      </c>
      <c r="AL26" s="706">
        <f>IF($C26="other",(1-$C23)*AJ26,(1-(VLOOKUP($C26,'S3 - Screening Tool Metrics'!$C$3:$G$17,5,FALSE)/100))*AJ26)</f>
        <v>66.207574676056922</v>
      </c>
      <c r="AM26" s="706">
        <f>IF($C26="other",$C23*AJ26,(VLOOKUP($C26,'S3 - Screening Tool Metrics'!$C$3:$G$17,5,FALSE)/100)*AJ26)</f>
        <v>31.156505729909142</v>
      </c>
      <c r="AN26" s="709">
        <f t="shared" si="25"/>
        <v>1.7936963575077225</v>
      </c>
    </row>
    <row r="27" spans="2:40" ht="11" customHeight="1" x14ac:dyDescent="0.15">
      <c r="B27" s="700" t="s">
        <v>10</v>
      </c>
      <c r="C27" s="1082" t="str">
        <f>$C24</f>
        <v>PSA_3ng/mL cut-off</v>
      </c>
      <c r="D27" s="552" t="s">
        <v>195</v>
      </c>
      <c r="E27" s="710">
        <f>VLOOKUP($B27&amp;"_"&amp;$D27,'App5 - CRUK Inci Rates'!C:H,6,FALSE)</f>
        <v>201.8</v>
      </c>
      <c r="F27" s="711">
        <f>VLOOKUP($B27&amp;"_"&amp;$D27,'App5 - CRUK Inci Rates'!C:H,3,FALSE)</f>
        <v>0</v>
      </c>
      <c r="G27" s="712">
        <f>VLOOKUP($B27&amp;"_"&amp;$D27,'App5 - CRUK Inci Rates'!C:J,8,FALSE)</f>
        <v>2061918.6666666667</v>
      </c>
      <c r="H27" s="713">
        <f>VLOOKUP($B27&amp;"_"&amp;$D27,'App5 - CRUK Inci Rates'!C:J,7,FALSE)</f>
        <v>2061918.6666666667</v>
      </c>
      <c r="I27" s="713">
        <f>VLOOKUP($B27&amp;"_"&amp;$D27,'App5 - CRUK Inci Rates'!C:J,4,FALSE)</f>
        <v>0</v>
      </c>
      <c r="J27" s="709">
        <f>VLOOKUP($B27&amp;"_"&amp;$D27,'App5 - CRUK Inci Rates'!C:K,9,FALSE)</f>
        <v>4160</v>
      </c>
      <c r="K27" s="706">
        <f t="shared" si="7"/>
        <v>1030959.3333333334</v>
      </c>
      <c r="L27" s="706">
        <f>VLOOKUP("*"&amp;$B27&amp;"*",'S4 - Summ PRS Characteristics'!$C$5:$Q$12,11,FALSE)*$J27</f>
        <v>3201.5610046575612</v>
      </c>
      <c r="M27" s="706">
        <f t="shared" si="8"/>
        <v>958.43899534243883</v>
      </c>
      <c r="N27" s="706">
        <f>IF($C27="other",(1-$C$7)*L27,(1-(VLOOKUP($C27,'S3 - Screening Tool Metrics'!$C$3:$G$17,5,FALSE)/100))*L27)</f>
        <v>2177.0614831671414</v>
      </c>
      <c r="O27" s="706">
        <f>IF($C27="other",$C$7*L27,(VLOOKUP($C27,'S3 - Screening Tool Metrics'!$C$3:$G$17,5,FALSE)/100)*L27)</f>
        <v>1024.4995214904195</v>
      </c>
      <c r="P27" s="706">
        <f t="shared" si="9"/>
        <v>24.627392343519698</v>
      </c>
      <c r="Q27" s="707">
        <f t="shared" si="18"/>
        <v>412383.7333333334</v>
      </c>
      <c r="R27" s="706">
        <f>VLOOKUP("*"&amp;$B27&amp;"*",'S4 - Summ PRS Characteristics'!$C$5:$Q$12,12,FALSE)*$J27</f>
        <v>1907.5945829875593</v>
      </c>
      <c r="S27" s="706">
        <f t="shared" si="26"/>
        <v>2252.4054170124409</v>
      </c>
      <c r="T27" s="706">
        <f>IF($C27="other",(1-$C23)*R27,(1-(VLOOKUP($C27,'S3 - Screening Tool Metrics'!$C$3:$G$17,5,FALSE)/100))*R27)</f>
        <v>1297.1643164315401</v>
      </c>
      <c r="U27" s="706">
        <f>IF($C27="other",$C23*R27,(VLOOKUP($C27,'S3 - Screening Tool Metrics'!$C$3:$G$17,5,FALSE)/100)*R27)</f>
        <v>610.43026655601898</v>
      </c>
      <c r="V27" s="709">
        <f t="shared" si="19"/>
        <v>14.673804484519687</v>
      </c>
      <c r="W27" s="706">
        <f t="shared" si="20"/>
        <v>206191.8666666667</v>
      </c>
      <c r="X27" s="706">
        <f>VLOOKUP("*"&amp;$B27&amp;"*",'S4 - Summ PRS Characteristics'!$C$5:$Q$12,13,FALSE)*$J27</f>
        <v>1219.795952594214</v>
      </c>
      <c r="Y27" s="706">
        <f t="shared" si="27"/>
        <v>2940.2040474057858</v>
      </c>
      <c r="Z27" s="706">
        <f>IF($C27="other",(1-$C23)*X27,(1-(VLOOKUP($C27,'S3 - Screening Tool Metrics'!$C$3:$G$17,5,FALSE)/100))*X27)</f>
        <v>829.46124776406543</v>
      </c>
      <c r="AA27" s="706">
        <f>IF($C27="other",$C23*X27,(VLOOKUP($C27,'S3 - Screening Tool Metrics'!$C$3:$G$17,5,FALSE)/100)*X27)</f>
        <v>390.3347048301485</v>
      </c>
      <c r="AB27" s="708">
        <f t="shared" si="21"/>
        <v>9.3830457891862622</v>
      </c>
      <c r="AC27" s="707">
        <f t="shared" si="22"/>
        <v>103095.93333333335</v>
      </c>
      <c r="AD27" s="706">
        <f>VLOOKUP("*"&amp;$B27&amp;"*",'S4 - Summ PRS Characteristics'!$C$5:$Q$12,14,FALSE)*$J27</f>
        <v>757.63216013379974</v>
      </c>
      <c r="AE27" s="706">
        <f t="shared" si="29"/>
        <v>3402.3678398662005</v>
      </c>
      <c r="AF27" s="706">
        <f>IF($C27="other",(1-$C23)*AD27,(1-(VLOOKUP($C27,'S3 - Screening Tool Metrics'!$C$3:$G$17,5,FALSE)/100))*AD27)</f>
        <v>515.1898688909838</v>
      </c>
      <c r="AG27" s="706">
        <f>IF($C27="other",$C23*AD27,(VLOOKUP($C27,'S3 - Screening Tool Metrics'!$C$3:$G$17,5,FALSE)/100)*AD27)</f>
        <v>242.44229124281591</v>
      </c>
      <c r="AH27" s="708">
        <f t="shared" si="23"/>
        <v>5.827939693336921</v>
      </c>
      <c r="AI27" s="707">
        <f t="shared" si="24"/>
        <v>20619.186666666668</v>
      </c>
      <c r="AJ27" s="706">
        <f>VLOOKUP("*"&amp;$B27&amp;"*",'S4 - Summ PRS Characteristics'!$C$5:$Q$12,15,FALSE)*$J27</f>
        <v>233.18052647600393</v>
      </c>
      <c r="AK27" s="706">
        <f t="shared" si="28"/>
        <v>3926.8194735239958</v>
      </c>
      <c r="AL27" s="706">
        <f>IF($C27="other",(1-$C23)*AJ27,(1-(VLOOKUP($C27,'S3 - Screening Tool Metrics'!$C$3:$G$17,5,FALSE)/100))*AJ27)</f>
        <v>158.56275800368266</v>
      </c>
      <c r="AM27" s="706">
        <f>IF($C27="other",$C23*AJ27,(VLOOKUP($C27,'S3 - Screening Tool Metrics'!$C$3:$G$17,5,FALSE)/100)*AJ27)</f>
        <v>74.617768472321259</v>
      </c>
      <c r="AN27" s="709">
        <f t="shared" si="25"/>
        <v>1.7936963575077225</v>
      </c>
    </row>
    <row r="28" spans="2:40" ht="11" customHeight="1" x14ac:dyDescent="0.15">
      <c r="B28" s="700" t="s">
        <v>10</v>
      </c>
      <c r="C28" s="1082" t="str">
        <f>$C24</f>
        <v>PSA_3ng/mL cut-off</v>
      </c>
      <c r="D28" s="552" t="s">
        <v>196</v>
      </c>
      <c r="E28" s="710">
        <f>VLOOKUP($B28&amp;"_"&amp;$D28,'App5 - CRUK Inci Rates'!C:H,6,FALSE)</f>
        <v>356.1</v>
      </c>
      <c r="F28" s="711">
        <f>VLOOKUP($B28&amp;"_"&amp;$D28,'App5 - CRUK Inci Rates'!C:H,3,FALSE)</f>
        <v>0</v>
      </c>
      <c r="G28" s="712">
        <f>VLOOKUP($B28&amp;"_"&amp;$D28,'App5 - CRUK Inci Rates'!C:J,8,FALSE)</f>
        <v>1764828</v>
      </c>
      <c r="H28" s="713">
        <f>VLOOKUP($B28&amp;"_"&amp;$D28,'App5 - CRUK Inci Rates'!C:J,7,FALSE)</f>
        <v>1764828</v>
      </c>
      <c r="I28" s="713">
        <f>VLOOKUP($B28&amp;"_"&amp;$D28,'App5 - CRUK Inci Rates'!C:J,4,FALSE)</f>
        <v>0</v>
      </c>
      <c r="J28" s="709">
        <f>VLOOKUP($B28&amp;"_"&amp;$D28,'App5 - CRUK Inci Rates'!C:K,9,FALSE)</f>
        <v>6285</v>
      </c>
      <c r="K28" s="706">
        <f t="shared" si="7"/>
        <v>882414</v>
      </c>
      <c r="L28" s="706">
        <f>VLOOKUP("*"&amp;$B28&amp;"*",'S4 - Summ PRS Characteristics'!$C$5:$Q$12,11,FALSE)*$J28</f>
        <v>4836.9737774694167</v>
      </c>
      <c r="M28" s="706">
        <f t="shared" si="8"/>
        <v>1448.0262225305833</v>
      </c>
      <c r="N28" s="706">
        <f>IF($C28="other",(1-$C$7)*L28,(1-(VLOOKUP($C28,'S3 - Screening Tool Metrics'!$C$3:$G$17,5,FALSE)/100))*L28)</f>
        <v>3289.1421686792032</v>
      </c>
      <c r="O28" s="706">
        <f>IF($C28="other",$C$7*L28,(VLOOKUP($C28,'S3 - Screening Tool Metrics'!$C$3:$G$17,5,FALSE)/100)*L28)</f>
        <v>1547.8316087902133</v>
      </c>
      <c r="P28" s="706">
        <f t="shared" si="9"/>
        <v>24.627392343519702</v>
      </c>
      <c r="Q28" s="707">
        <f t="shared" si="18"/>
        <v>352965.60000000003</v>
      </c>
      <c r="R28" s="706">
        <f>VLOOKUP("*"&amp;$B28&amp;"*",'S4 - Summ PRS Characteristics'!$C$5:$Q$12,12,FALSE)*$J28</f>
        <v>2882.0269120376947</v>
      </c>
      <c r="S28" s="706">
        <f t="shared" si="26"/>
        <v>3402.9730879623053</v>
      </c>
      <c r="T28" s="706">
        <f>IF($C28="other",(1-$C23)*R28,(1-(VLOOKUP($C28,'S3 - Screening Tool Metrics'!$C$3:$G$17,5,FALSE)/100))*R28)</f>
        <v>1959.7783001856321</v>
      </c>
      <c r="U28" s="706">
        <f>IF($C28="other",$C23*R28,(VLOOKUP($C28,'S3 - Screening Tool Metrics'!$C$3:$G$17,5,FALSE)/100)*R28)</f>
        <v>922.24861185206237</v>
      </c>
      <c r="V28" s="709">
        <f t="shared" si="19"/>
        <v>14.673804484519687</v>
      </c>
      <c r="W28" s="706">
        <f t="shared" si="20"/>
        <v>176482.80000000002</v>
      </c>
      <c r="X28" s="706">
        <f>VLOOKUP("*"&amp;$B28&amp;"*",'S4 - Summ PRS Characteristics'!$C$5:$Q$12,13,FALSE)*$J28</f>
        <v>1842.8888370323643</v>
      </c>
      <c r="Y28" s="706">
        <f t="shared" si="27"/>
        <v>4442.1111629676361</v>
      </c>
      <c r="Z28" s="706">
        <f>IF($C28="other",(1-$C23)*X28,(1-(VLOOKUP($C28,'S3 - Screening Tool Metrics'!$C$3:$G$17,5,FALSE)/100))*X28)</f>
        <v>1253.1644091820076</v>
      </c>
      <c r="AA28" s="706">
        <f>IF($C28="other",$C23*X28,(VLOOKUP($C28,'S3 - Screening Tool Metrics'!$C$3:$G$17,5,FALSE)/100)*X28)</f>
        <v>589.72442785035662</v>
      </c>
      <c r="AB28" s="708">
        <f t="shared" si="21"/>
        <v>9.383045789186264</v>
      </c>
      <c r="AC28" s="707">
        <f t="shared" si="22"/>
        <v>88241.400000000009</v>
      </c>
      <c r="AD28" s="706">
        <f>VLOOKUP("*"&amp;$B28&amp;"*",'S4 - Summ PRS Characteristics'!$C$5:$Q$12,14,FALSE)*$J28</f>
        <v>1144.6437803944546</v>
      </c>
      <c r="AE28" s="706">
        <f t="shared" si="29"/>
        <v>5140.3562196055454</v>
      </c>
      <c r="AF28" s="706">
        <f>IF($C28="other",(1-$C23)*AD28,(1-(VLOOKUP($C28,'S3 - Screening Tool Metrics'!$C$3:$G$17,5,FALSE)/100))*AD28)</f>
        <v>778.35777066822902</v>
      </c>
      <c r="AG28" s="706">
        <f>IF($C28="other",$C23*AD28,(VLOOKUP($C28,'S3 - Screening Tool Metrics'!$C$3:$G$17,5,FALSE)/100)*AD28)</f>
        <v>366.28600972622547</v>
      </c>
      <c r="AH28" s="708">
        <f t="shared" si="23"/>
        <v>5.827939693336921</v>
      </c>
      <c r="AI28" s="707">
        <f t="shared" si="24"/>
        <v>17648.28</v>
      </c>
      <c r="AJ28" s="706">
        <f>VLOOKUP("*"&amp;$B28&amp;"*",'S4 - Summ PRS Characteristics'!$C$5:$Q$12,15,FALSE)*$J28</f>
        <v>352.29317521675114</v>
      </c>
      <c r="AK28" s="706">
        <f t="shared" si="28"/>
        <v>5932.7068247832485</v>
      </c>
      <c r="AL28" s="706">
        <f>IF($C28="other",(1-$C23)*AJ28,(1-(VLOOKUP($C28,'S3 - Screening Tool Metrics'!$C$3:$G$17,5,FALSE)/100))*AJ28)</f>
        <v>239.55935914739075</v>
      </c>
      <c r="AM28" s="706">
        <f>IF($C28="other",$C23*AJ28,(VLOOKUP($C28,'S3 - Screening Tool Metrics'!$C$3:$G$17,5,FALSE)/100)*AJ28)</f>
        <v>112.73381606936037</v>
      </c>
      <c r="AN28" s="709">
        <f t="shared" si="25"/>
        <v>1.7936963575077225</v>
      </c>
    </row>
    <row r="29" spans="2:40" ht="11" customHeight="1" x14ac:dyDescent="0.15">
      <c r="B29" s="700" t="s">
        <v>10</v>
      </c>
      <c r="C29" s="1082" t="str">
        <f>$C24</f>
        <v>PSA_3ng/mL cut-off</v>
      </c>
      <c r="D29" s="552" t="s">
        <v>197</v>
      </c>
      <c r="E29" s="710">
        <f>VLOOKUP($B29&amp;"_"&amp;$D29,'App5 - CRUK Inci Rates'!C:H,6,FALSE)</f>
        <v>622.70000000000005</v>
      </c>
      <c r="F29" s="711">
        <f>VLOOKUP($B29&amp;"_"&amp;$D29,'App5 - CRUK Inci Rates'!C:H,3,FALSE)</f>
        <v>0</v>
      </c>
      <c r="G29" s="712">
        <f>VLOOKUP($B29&amp;"_"&amp;$D29,'App5 - CRUK Inci Rates'!C:J,8,FALSE)</f>
        <v>1696993.3333333333</v>
      </c>
      <c r="H29" s="713">
        <f>VLOOKUP($B29&amp;"_"&amp;$D29,'App5 - CRUK Inci Rates'!C:J,7,FALSE)</f>
        <v>1696993.3333333333</v>
      </c>
      <c r="I29" s="713">
        <f>VLOOKUP($B29&amp;"_"&amp;$D29,'App5 - CRUK Inci Rates'!C:J,4,FALSE)</f>
        <v>0</v>
      </c>
      <c r="J29" s="709">
        <f>VLOOKUP($B29&amp;"_"&amp;$D29,'App5 - CRUK Inci Rates'!C:K,9,FALSE)</f>
        <v>10568</v>
      </c>
      <c r="K29" s="706">
        <f t="shared" si="7"/>
        <v>848496.66666666663</v>
      </c>
      <c r="L29" s="706">
        <f>VLOOKUP("*"&amp;$B29&amp;"*",'S4 - Summ PRS Characteristics'!$C$5:$Q$12,11,FALSE)*$J29</f>
        <v>8133.1963214473817</v>
      </c>
      <c r="M29" s="706">
        <f t="shared" si="8"/>
        <v>2434.8036785526183</v>
      </c>
      <c r="N29" s="706">
        <f>IF($C29="other",(1-$C$7)*L29,(1-(VLOOKUP($C29,'S3 - Screening Tool Metrics'!$C$3:$G$17,5,FALSE)/100))*L29)</f>
        <v>5530.5734985842191</v>
      </c>
      <c r="O29" s="706">
        <f>IF($C29="other",$C$7*L29,(VLOOKUP($C29,'S3 - Screening Tool Metrics'!$C$3:$G$17,5,FALSE)/100)*L29)</f>
        <v>2602.6228228631621</v>
      </c>
      <c r="P29" s="706">
        <f t="shared" si="9"/>
        <v>24.627392343519702</v>
      </c>
      <c r="Q29" s="707">
        <f t="shared" si="18"/>
        <v>339398.66666666669</v>
      </c>
      <c r="R29" s="706">
        <f>VLOOKUP("*"&amp;$B29&amp;"*",'S4 - Summ PRS Characteristics'!$C$5:$Q$12,12,FALSE)*$J29</f>
        <v>4846.0239310126262</v>
      </c>
      <c r="S29" s="706">
        <f t="shared" si="26"/>
        <v>5721.9760689873738</v>
      </c>
      <c r="T29" s="706">
        <f>IF($C29="other",(1-$C23)*R29,(1-(VLOOKUP($C29,'S3 - Screening Tool Metrics'!$C$3:$G$17,5,FALSE)/100))*R29)</f>
        <v>3295.2962730885856</v>
      </c>
      <c r="U29" s="706">
        <f>IF($C29="other",$C23*R29,(VLOOKUP($C29,'S3 - Screening Tool Metrics'!$C$3:$G$17,5,FALSE)/100)*R29)</f>
        <v>1550.7276579240404</v>
      </c>
      <c r="V29" s="709">
        <f t="shared" si="19"/>
        <v>14.673804484519687</v>
      </c>
      <c r="W29" s="706">
        <f t="shared" si="20"/>
        <v>169699.33333333334</v>
      </c>
      <c r="X29" s="706">
        <f>VLOOKUP("*"&amp;$B29&amp;"*",'S4 - Summ PRS Characteristics'!$C$5:$Q$12,13,FALSE)*$J29</f>
        <v>3098.7508718787631</v>
      </c>
      <c r="Y29" s="706">
        <f t="shared" si="27"/>
        <v>7469.2491281212369</v>
      </c>
      <c r="Z29" s="706">
        <f>IF($C29="other",(1-$C23)*X29,(1-(VLOOKUP($C29,'S3 - Screening Tool Metrics'!$C$3:$G$17,5,FALSE)/100))*X29)</f>
        <v>2107.1505928775587</v>
      </c>
      <c r="AA29" s="706">
        <f>IF($C29="other",$C23*X29,(VLOOKUP($C29,'S3 - Screening Tool Metrics'!$C$3:$G$17,5,FALSE)/100)*X29)</f>
        <v>991.60027900120417</v>
      </c>
      <c r="AB29" s="708">
        <f t="shared" si="21"/>
        <v>9.3830457891862622</v>
      </c>
      <c r="AC29" s="707">
        <f t="shared" si="22"/>
        <v>84849.666666666672</v>
      </c>
      <c r="AD29" s="706">
        <f>VLOOKUP("*"&amp;$B29&amp;"*",'S4 - Summ PRS Characteristics'!$C$5:$Q$12,14,FALSE)*$J29</f>
        <v>1924.6770837245181</v>
      </c>
      <c r="AE29" s="706">
        <f t="shared" si="29"/>
        <v>8643.3229162754815</v>
      </c>
      <c r="AF29" s="706">
        <f>IF($C29="other",(1-$C23)*AD29,(1-(VLOOKUP($C29,'S3 - Screening Tool Metrics'!$C$3:$G$17,5,FALSE)/100))*AD29)</f>
        <v>1308.7804169326721</v>
      </c>
      <c r="AG29" s="706">
        <f>IF($C29="other",$C23*AD29,(VLOOKUP($C29,'S3 - Screening Tool Metrics'!$C$3:$G$17,5,FALSE)/100)*AD29)</f>
        <v>615.89666679184575</v>
      </c>
      <c r="AH29" s="708">
        <f t="shared" si="23"/>
        <v>5.827939693336921</v>
      </c>
      <c r="AI29" s="707">
        <f t="shared" si="24"/>
        <v>16969.933333333334</v>
      </c>
      <c r="AJ29" s="706">
        <f>VLOOKUP("*"&amp;$B29&amp;"*",'S4 - Summ PRS Characteristics'!$C$5:$Q$12,15,FALSE)*$J29</f>
        <v>592.36822206692534</v>
      </c>
      <c r="AK29" s="706">
        <f t="shared" si="28"/>
        <v>9975.6317779330748</v>
      </c>
      <c r="AL29" s="706">
        <f>IF($C29="other",(1-$C23)*AJ29,(1-(VLOOKUP($C29,'S3 - Screening Tool Metrics'!$C$3:$G$17,5,FALSE)/100))*AJ29)</f>
        <v>402.81039100550919</v>
      </c>
      <c r="AM29" s="706">
        <f>IF($C29="other",$C23*AJ29,(VLOOKUP($C29,'S3 - Screening Tool Metrics'!$C$3:$G$17,5,FALSE)/100)*AJ29)</f>
        <v>189.55783106141612</v>
      </c>
      <c r="AN29" s="709">
        <f t="shared" si="25"/>
        <v>1.7936963575077225</v>
      </c>
    </row>
    <row r="30" spans="2:40" ht="11" customHeight="1" x14ac:dyDescent="0.15">
      <c r="B30" s="700" t="s">
        <v>10</v>
      </c>
      <c r="C30" s="1082" t="str">
        <f>$C24</f>
        <v>PSA_3ng/mL cut-off</v>
      </c>
      <c r="D30" s="552" t="s">
        <v>198</v>
      </c>
      <c r="E30" s="710">
        <f>VLOOKUP($B30&amp;"_"&amp;$D30,'App5 - CRUK Inci Rates'!C:H,6,FALSE)</f>
        <v>759.8</v>
      </c>
      <c r="F30" s="711">
        <f>VLOOKUP($B30&amp;"_"&amp;$D30,'App5 - CRUK Inci Rates'!C:H,3,FALSE)</f>
        <v>0</v>
      </c>
      <c r="G30" s="712">
        <f>VLOOKUP($B30&amp;"_"&amp;$D30,'App5 - CRUK Inci Rates'!C:J,8,FALSE)</f>
        <v>1467965</v>
      </c>
      <c r="H30" s="713">
        <f>VLOOKUP($B30&amp;"_"&amp;$D30,'App5 - CRUK Inci Rates'!C:J,7,FALSE)</f>
        <v>1467965</v>
      </c>
      <c r="I30" s="713">
        <f>VLOOKUP($B30&amp;"_"&amp;$D30,'App5 - CRUK Inci Rates'!C:J,4,FALSE)</f>
        <v>0</v>
      </c>
      <c r="J30" s="709">
        <f>VLOOKUP($B30&amp;"_"&amp;$D30,'App5 - CRUK Inci Rates'!C:K,9,FALSE)</f>
        <v>11153</v>
      </c>
      <c r="K30" s="706">
        <f t="shared" si="7"/>
        <v>733982.5</v>
      </c>
      <c r="L30" s="706">
        <f>VLOOKUP("*"&amp;$B30&amp;"*",'S4 - Summ PRS Characteristics'!$C$5:$Q$12,11,FALSE)*$J30</f>
        <v>8583.4158377273507</v>
      </c>
      <c r="M30" s="706">
        <f t="shared" si="8"/>
        <v>2569.5841622726493</v>
      </c>
      <c r="N30" s="706">
        <f>IF($C30="other",(1-$C$7)*L30,(1-(VLOOKUP($C30,'S3 - Screening Tool Metrics'!$C$3:$G$17,5,FALSE)/100))*L30)</f>
        <v>5836.7227696545979</v>
      </c>
      <c r="O30" s="706">
        <f>IF($C30="other",$C$7*L30,(VLOOKUP($C30,'S3 - Screening Tool Metrics'!$C$3:$G$17,5,FALSE)/100)*L30)</f>
        <v>2746.6930680727523</v>
      </c>
      <c r="P30" s="706">
        <f t="shared" si="9"/>
        <v>24.627392343519702</v>
      </c>
      <c r="Q30" s="707">
        <f t="shared" si="18"/>
        <v>293593</v>
      </c>
      <c r="R30" s="706">
        <f>VLOOKUP("*"&amp;$B30&amp;"*",'S4 - Summ PRS Characteristics'!$C$5:$Q$12,12,FALSE)*$J30</f>
        <v>5114.279419245252</v>
      </c>
      <c r="S30" s="706">
        <f t="shared" si="26"/>
        <v>6038.720580754748</v>
      </c>
      <c r="T30" s="706">
        <f>IF($C30="other",(1-$C23)*R30,(1-(VLOOKUP($C30,'S3 - Screening Tool Metrics'!$C$3:$G$17,5,FALSE)/100))*R30)</f>
        <v>3477.7100050867712</v>
      </c>
      <c r="U30" s="706">
        <f>IF($C30="other",$C23*R30,(VLOOKUP($C30,'S3 - Screening Tool Metrics'!$C$3:$G$17,5,FALSE)/100)*R30)</f>
        <v>1636.5694141584806</v>
      </c>
      <c r="V30" s="709">
        <f t="shared" si="19"/>
        <v>14.673804484519687</v>
      </c>
      <c r="W30" s="706">
        <f t="shared" si="20"/>
        <v>146796.5</v>
      </c>
      <c r="X30" s="706">
        <f>VLOOKUP("*"&amp;$B30&amp;"*",'S4 - Summ PRS Characteristics'!$C$5:$Q$12,13,FALSE)*$J30</f>
        <v>3270.2846777123245</v>
      </c>
      <c r="Y30" s="706">
        <f t="shared" si="27"/>
        <v>7882.715322287675</v>
      </c>
      <c r="Z30" s="706">
        <f>IF($C30="other",(1-$C23)*X30,(1-(VLOOKUP($C30,'S3 - Screening Tool Metrics'!$C$3:$G$17,5,FALSE)/100))*X30)</f>
        <v>2223.7935808443804</v>
      </c>
      <c r="AA30" s="706">
        <f>IF($C30="other",$C23*X30,(VLOOKUP($C30,'S3 - Screening Tool Metrics'!$C$3:$G$17,5,FALSE)/100)*X30)</f>
        <v>1046.491096867944</v>
      </c>
      <c r="AB30" s="708">
        <f t="shared" si="21"/>
        <v>9.383045789186264</v>
      </c>
      <c r="AC30" s="707">
        <f t="shared" si="22"/>
        <v>73398.25</v>
      </c>
      <c r="AD30" s="706">
        <f>VLOOKUP("*"&amp;$B30&amp;"*",'S4 - Summ PRS Characteristics'!$C$5:$Q$12,14,FALSE)*$J30</f>
        <v>2031.2191062433337</v>
      </c>
      <c r="AE30" s="706">
        <f t="shared" si="29"/>
        <v>9121.780893756666</v>
      </c>
      <c r="AF30" s="706">
        <f>IF($C30="other",(1-$C23)*AD30,(1-(VLOOKUP($C30,'S3 - Screening Tool Metrics'!$C$3:$G$17,5,FALSE)/100))*AD30)</f>
        <v>1381.2289922454668</v>
      </c>
      <c r="AG30" s="706">
        <f>IF($C30="other",$C23*AD30,(VLOOKUP($C30,'S3 - Screening Tool Metrics'!$C$3:$G$17,5,FALSE)/100)*AD30)</f>
        <v>649.99011399786684</v>
      </c>
      <c r="AH30" s="708">
        <f t="shared" si="23"/>
        <v>5.827939693336921</v>
      </c>
      <c r="AI30" s="707">
        <f t="shared" si="24"/>
        <v>14679.65</v>
      </c>
      <c r="AJ30" s="706">
        <f>VLOOKUP("*"&amp;$B30&amp;"*",'S4 - Summ PRS Characteristics'!$C$5:$Q$12,15,FALSE)*$J30</f>
        <v>625.15923360261343</v>
      </c>
      <c r="AK30" s="706">
        <f t="shared" si="28"/>
        <v>10527.840766397387</v>
      </c>
      <c r="AL30" s="706">
        <f>IF($C30="other",(1-$C23)*AJ30,(1-(VLOOKUP($C30,'S3 - Screening Tool Metrics'!$C$3:$G$17,5,FALSE)/100))*AJ30)</f>
        <v>425.10827884977709</v>
      </c>
      <c r="AM30" s="706">
        <f>IF($C30="other",$C23*AJ30,(VLOOKUP($C30,'S3 - Screening Tool Metrics'!$C$3:$G$17,5,FALSE)/100)*AJ30)</f>
        <v>200.0509547528363</v>
      </c>
      <c r="AN30" s="709">
        <f t="shared" si="25"/>
        <v>1.7936963575077225</v>
      </c>
    </row>
    <row r="31" spans="2:40" ht="11" customHeight="1" x14ac:dyDescent="0.15">
      <c r="B31" s="700" t="s">
        <v>10</v>
      </c>
      <c r="C31" s="1082" t="str">
        <f>$C24</f>
        <v>PSA_3ng/mL cut-off</v>
      </c>
      <c r="D31" s="552" t="s">
        <v>199</v>
      </c>
      <c r="E31" s="710">
        <f>VLOOKUP($B31&amp;"_"&amp;$D31,'App5 - CRUK Inci Rates'!C:H,6,FALSE)</f>
        <v>867.2</v>
      </c>
      <c r="F31" s="711">
        <f>VLOOKUP($B31&amp;"_"&amp;$D31,'App5 - CRUK Inci Rates'!C:H,3,FALSE)</f>
        <v>0</v>
      </c>
      <c r="G31" s="712">
        <f>VLOOKUP($B31&amp;"_"&amp;$D31,'App5 - CRUK Inci Rates'!C:J,8,FALSE)</f>
        <v>1007365.3333333334</v>
      </c>
      <c r="H31" s="713">
        <f>VLOOKUP($B31&amp;"_"&amp;$D31,'App5 - CRUK Inci Rates'!C:J,7,FALSE)</f>
        <v>1007365.3333333334</v>
      </c>
      <c r="I31" s="713">
        <f>VLOOKUP($B31&amp;"_"&amp;$D31,'App5 - CRUK Inci Rates'!C:J,4,FALSE)</f>
        <v>0</v>
      </c>
      <c r="J31" s="709">
        <f>VLOOKUP($B31&amp;"_"&amp;$D31,'App5 - CRUK Inci Rates'!C:K,9,FALSE)</f>
        <v>8736</v>
      </c>
      <c r="K31" s="706">
        <f t="shared" si="7"/>
        <v>503682.66666666669</v>
      </c>
      <c r="L31" s="706">
        <f>VLOOKUP("*"&amp;$B31&amp;"*",'S4 - Summ PRS Characteristics'!$C$5:$Q$12,11,FALSE)*$J31</f>
        <v>6723.2781097808784</v>
      </c>
      <c r="M31" s="706">
        <f t="shared" si="8"/>
        <v>2012.7218902191216</v>
      </c>
      <c r="N31" s="706">
        <f>IF($C31="other",(1-$C$7)*L31,(1-(VLOOKUP($C31,'S3 - Screening Tool Metrics'!$C$3:$G$17,5,FALSE)/100))*L31)</f>
        <v>4571.8291146509973</v>
      </c>
      <c r="O31" s="706">
        <f>IF($C31="other",$C$7*L31,(VLOOKUP($C31,'S3 - Screening Tool Metrics'!$C$3:$G$17,5,FALSE)/100)*L31)</f>
        <v>2151.448995129881</v>
      </c>
      <c r="P31" s="706">
        <f t="shared" si="9"/>
        <v>24.627392343519698</v>
      </c>
      <c r="Q31" s="707">
        <f t="shared" si="18"/>
        <v>201473.06666666668</v>
      </c>
      <c r="R31" s="706">
        <f>VLOOKUP("*"&amp;$B31&amp;"*",'S4 - Summ PRS Characteristics'!$C$5:$Q$12,12,FALSE)*$J31</f>
        <v>4005.9486242738744</v>
      </c>
      <c r="S31" s="706">
        <f t="shared" si="26"/>
        <v>4730.0513757261251</v>
      </c>
      <c r="T31" s="706">
        <f>IF($C31="other",(1-$C23)*R31,(1-(VLOOKUP($C31,'S3 - Screening Tool Metrics'!$C$3:$G$17,5,FALSE)/100))*R31)</f>
        <v>2724.0450645062342</v>
      </c>
      <c r="U31" s="706">
        <f>IF($C31="other",$C23*R31,(VLOOKUP($C31,'S3 - Screening Tool Metrics'!$C$3:$G$17,5,FALSE)/100)*R31)</f>
        <v>1281.9035597676398</v>
      </c>
      <c r="V31" s="709">
        <f t="shared" si="19"/>
        <v>14.673804484519687</v>
      </c>
      <c r="W31" s="706">
        <f t="shared" si="20"/>
        <v>100736.53333333334</v>
      </c>
      <c r="X31" s="706">
        <f>VLOOKUP("*"&amp;$B31&amp;"*",'S4 - Summ PRS Characteristics'!$C$5:$Q$12,13,FALSE)*$J31</f>
        <v>2561.5715004478498</v>
      </c>
      <c r="Y31" s="706">
        <f t="shared" si="27"/>
        <v>6174.4284995521502</v>
      </c>
      <c r="Z31" s="706">
        <f>IF($C31="other",(1-$C23)*X31,(1-(VLOOKUP($C31,'S3 - Screening Tool Metrics'!$C$3:$G$17,5,FALSE)/100))*X31)</f>
        <v>1741.8686203045377</v>
      </c>
      <c r="AA31" s="706">
        <f>IF($C31="other",$C23*X31,(VLOOKUP($C31,'S3 - Screening Tool Metrics'!$C$3:$G$17,5,FALSE)/100)*X31)</f>
        <v>819.70288014331197</v>
      </c>
      <c r="AB31" s="708">
        <f t="shared" si="21"/>
        <v>9.383045789186264</v>
      </c>
      <c r="AC31" s="707">
        <f t="shared" si="22"/>
        <v>50368.26666666667</v>
      </c>
      <c r="AD31" s="706">
        <f>VLOOKUP("*"&amp;$B31&amp;"*",'S4 - Summ PRS Characteristics'!$C$5:$Q$12,14,FALSE)*$J31</f>
        <v>1591.0275362809793</v>
      </c>
      <c r="AE31" s="706">
        <f t="shared" si="29"/>
        <v>7144.9724637190211</v>
      </c>
      <c r="AF31" s="706">
        <f>IF($C31="other",(1-$C23)*AD31,(1-(VLOOKUP($C31,'S3 - Screening Tool Metrics'!$C$3:$G$17,5,FALSE)/100))*AD31)</f>
        <v>1081.8987246710658</v>
      </c>
      <c r="AG31" s="706">
        <f>IF($C31="other",$C23*AD31,(VLOOKUP($C31,'S3 - Screening Tool Metrics'!$C$3:$G$17,5,FALSE)/100)*AD31)</f>
        <v>509.12881160991338</v>
      </c>
      <c r="AH31" s="708">
        <f t="shared" si="23"/>
        <v>5.827939693336921</v>
      </c>
      <c r="AI31" s="707">
        <f t="shared" si="24"/>
        <v>10073.653333333334</v>
      </c>
      <c r="AJ31" s="706">
        <f>VLOOKUP("*"&amp;$B31&amp;"*",'S4 - Summ PRS Characteristics'!$C$5:$Q$12,15,FALSE)*$J31</f>
        <v>489.67910559960825</v>
      </c>
      <c r="AK31" s="706">
        <f t="shared" si="28"/>
        <v>8246.3208944003909</v>
      </c>
      <c r="AL31" s="706">
        <f>IF($C31="other",(1-$C23)*AJ31,(1-(VLOOKUP($C31,'S3 - Screening Tool Metrics'!$C$3:$G$17,5,FALSE)/100))*AJ31)</f>
        <v>332.9817918077336</v>
      </c>
      <c r="AM31" s="706">
        <f>IF($C31="other",$C23*AJ31,(VLOOKUP($C31,'S3 - Screening Tool Metrics'!$C$3:$G$17,5,FALSE)/100)*AJ31)</f>
        <v>156.69731379187465</v>
      </c>
      <c r="AN31" s="709">
        <f t="shared" si="25"/>
        <v>1.7936963575077225</v>
      </c>
    </row>
    <row r="32" spans="2:40" ht="11" customHeight="1" x14ac:dyDescent="0.15">
      <c r="B32" s="700" t="s">
        <v>10</v>
      </c>
      <c r="C32" s="1082" t="str">
        <f>$C24</f>
        <v>PSA_3ng/mL cut-off</v>
      </c>
      <c r="D32" s="552" t="s">
        <v>200</v>
      </c>
      <c r="E32" s="710">
        <f>VLOOKUP($B32&amp;"_"&amp;$D32,'App5 - CRUK Inci Rates'!C:H,6,FALSE)</f>
        <v>192.70856538388753</v>
      </c>
      <c r="F32" s="711">
        <f>VLOOKUP($B32&amp;"_"&amp;$D32,'App5 - CRUK Inci Rates'!C:H,3,FALSE)</f>
        <v>0</v>
      </c>
      <c r="G32" s="712">
        <f>VLOOKUP($B32&amp;"_"&amp;$D32,'App5 - CRUK Inci Rates'!C:J,8,FALSE)</f>
        <v>12090277.333333334</v>
      </c>
      <c r="H32" s="713">
        <f>VLOOKUP($B32&amp;"_"&amp;$D32,'App5 - CRUK Inci Rates'!C:J,7,FALSE)</f>
        <v>12090277.333333334</v>
      </c>
      <c r="I32" s="713">
        <f>VLOOKUP($B32&amp;"_"&amp;$D32,'App5 - CRUK Inci Rates'!C:J,4,FALSE)</f>
        <v>0</v>
      </c>
      <c r="J32" s="709">
        <f>VLOOKUP($B32&amp;"_"&amp;$D32,'App5 - CRUK Inci Rates'!C:K,9,FALSE)</f>
        <v>23299</v>
      </c>
      <c r="K32" s="706">
        <f t="shared" si="7"/>
        <v>6045138.666666667</v>
      </c>
      <c r="L32" s="706">
        <f>VLOOKUP("*"&amp;$B32&amp;"*",'S4 - Summ PRS Characteristics'!$C$5:$Q$12,11,FALSE)*$J32</f>
        <v>17931.050444114549</v>
      </c>
      <c r="M32" s="706">
        <f t="shared" si="8"/>
        <v>5367.9495558854505</v>
      </c>
      <c r="N32" s="706">
        <f>IF($C32="other",(1-$C$7)*L32,(1-(VLOOKUP($C32,'S3 - Screening Tool Metrics'!$C$3:$G$17,5,FALSE)/100))*L32)</f>
        <v>12193.114301997892</v>
      </c>
      <c r="O32" s="706">
        <f>IF($C32="other",$C$7*L32,(VLOOKUP($C32,'S3 - Screening Tool Metrics'!$C$3:$G$17,5,FALSE)/100)*L32)</f>
        <v>5737.9361421166559</v>
      </c>
      <c r="P32" s="706">
        <f t="shared" si="9"/>
        <v>24.627392343519706</v>
      </c>
      <c r="Q32" s="707">
        <f t="shared" si="18"/>
        <v>2418055.4666666668</v>
      </c>
      <c r="R32" s="706">
        <f>VLOOKUP("*"&amp;$B32&amp;"*",'S4 - Summ PRS Characteristics'!$C$5:$Q$12,12,FALSE)*$J32</f>
        <v>10683.905333900755</v>
      </c>
      <c r="S32" s="706">
        <f t="shared" si="26"/>
        <v>12615.094666099245</v>
      </c>
      <c r="T32" s="706">
        <f>IF($C32="other",(1-$C23)*R32,(1-(VLOOKUP($C32,'S3 - Screening Tool Metrics'!$C$3:$G$17,5,FALSE)/100))*R32)</f>
        <v>7265.055627052513</v>
      </c>
      <c r="U32" s="706">
        <f>IF($C32="other",$C23*R32,(VLOOKUP($C32,'S3 - Screening Tool Metrics'!$C$3:$G$17,5,FALSE)/100)*R32)</f>
        <v>3418.8497068482416</v>
      </c>
      <c r="V32" s="709">
        <f t="shared" si="19"/>
        <v>14.673804484519687</v>
      </c>
      <c r="W32" s="706">
        <f t="shared" si="20"/>
        <v>1209027.7333333334</v>
      </c>
      <c r="X32" s="706">
        <f>VLOOKUP("*"&amp;$B32&amp;"*",'S4 - Summ PRS Characteristics'!$C$5:$Q$12,13,FALSE)*$J32</f>
        <v>6831.7369950703351</v>
      </c>
      <c r="Y32" s="706">
        <f t="shared" si="27"/>
        <v>16467.263004929664</v>
      </c>
      <c r="Z32" s="706">
        <f>IF($C32="other",(1-$C23)*X32,(1-(VLOOKUP($C32,'S3 - Screening Tool Metrics'!$C$3:$G$17,5,FALSE)/100))*X32)</f>
        <v>4645.5811566478278</v>
      </c>
      <c r="AA32" s="706">
        <f>IF($C32="other",$C23*X32,(VLOOKUP($C32,'S3 - Screening Tool Metrics'!$C$3:$G$17,5,FALSE)/100)*X32)</f>
        <v>2186.1558384225073</v>
      </c>
      <c r="AB32" s="708">
        <f t="shared" si="21"/>
        <v>9.3830457891862622</v>
      </c>
      <c r="AC32" s="707">
        <f t="shared" si="22"/>
        <v>604513.8666666667</v>
      </c>
      <c r="AD32" s="706">
        <f>VLOOKUP("*"&amp;$B32&amp;"*",'S4 - Summ PRS Characteristics'!$C$5:$Q$12,14,FALSE)*$J32</f>
        <v>4243.2864660955292</v>
      </c>
      <c r="AE32" s="706">
        <f t="shared" si="29"/>
        <v>19055.713533904469</v>
      </c>
      <c r="AF32" s="706">
        <f>IF($C32="other",(1-$C23)*AD32,(1-(VLOOKUP($C32,'S3 - Screening Tool Metrics'!$C$3:$G$17,5,FALSE)/100))*AD32)</f>
        <v>2885.4347969449595</v>
      </c>
      <c r="AG32" s="706">
        <f>IF($C32="other",$C23*AD32,(VLOOKUP($C32,'S3 - Screening Tool Metrics'!$C$3:$G$17,5,FALSE)/100)*AD32)</f>
        <v>1357.8516691505695</v>
      </c>
      <c r="AH32" s="708">
        <f t="shared" si="23"/>
        <v>5.8279396933369219</v>
      </c>
      <c r="AI32" s="707">
        <f t="shared" si="24"/>
        <v>120902.77333333335</v>
      </c>
      <c r="AJ32" s="706">
        <f>VLOOKUP("*"&amp;$B32&amp;"*",'S4 - Summ PRS Characteristics'!$C$5:$Q$12,15,FALSE)*$J32</f>
        <v>1305.9791072991384</v>
      </c>
      <c r="AK32" s="706">
        <f t="shared" si="28"/>
        <v>21993.020892700861</v>
      </c>
      <c r="AL32" s="706">
        <f>IF($C32="other",(1-$C23)*AJ32,(1-(VLOOKUP($C32,'S3 - Screening Tool Metrics'!$C$3:$G$17,5,FALSE)/100))*AJ32)</f>
        <v>888.06579296341397</v>
      </c>
      <c r="AM32" s="706">
        <f>IF($C32="other",$C23*AJ32,(VLOOKUP($C32,'S3 - Screening Tool Metrics'!$C$3:$G$17,5,FALSE)/100)*AJ32)</f>
        <v>417.91331433572429</v>
      </c>
      <c r="AN32" s="709">
        <f t="shared" si="25"/>
        <v>1.7936963575077225</v>
      </c>
    </row>
    <row r="33" spans="2:40" ht="11" customHeight="1" x14ac:dyDescent="0.15">
      <c r="B33" s="700" t="s">
        <v>10</v>
      </c>
      <c r="C33" s="1082" t="str">
        <f>$C24</f>
        <v>PSA_3ng/mL cut-off</v>
      </c>
      <c r="D33" s="552" t="s">
        <v>201</v>
      </c>
      <c r="E33" s="710">
        <f>VLOOKUP($B33&amp;"_"&amp;$D33,'App5 - CRUK Inci Rates'!C:H,6,FALSE)</f>
        <v>12.847921640003264</v>
      </c>
      <c r="F33" s="711">
        <f>VLOOKUP($B33&amp;"_"&amp;$D33,'App5 - CRUK Inci Rates'!C:H,3,FALSE)</f>
        <v>0</v>
      </c>
      <c r="G33" s="712">
        <f>VLOOKUP($B33&amp;"_"&amp;$D33,'App5 - CRUK Inci Rates'!C:J,8,FALSE)</f>
        <v>4273064.666666667</v>
      </c>
      <c r="H33" s="713">
        <f>VLOOKUP($B33&amp;"_"&amp;$D33,'App5 - CRUK Inci Rates'!C:J,7,FALSE)</f>
        <v>4273064.666666667</v>
      </c>
      <c r="I33" s="713">
        <f>VLOOKUP($B33&amp;"_"&amp;$D33,'App5 - CRUK Inci Rates'!C:J,4,FALSE)</f>
        <v>0</v>
      </c>
      <c r="J33" s="709">
        <f>VLOOKUP($B33&amp;"_"&amp;$D33,'App5 - CRUK Inci Rates'!C:K,9,FALSE)</f>
        <v>549</v>
      </c>
      <c r="K33" s="706">
        <f t="shared" si="7"/>
        <v>2136532.3333333335</v>
      </c>
      <c r="L33" s="706">
        <f>VLOOKUP("*"&amp;$B33&amp;"*",'S4 - Summ PRS Characteristics'!$C$5:$Q$12,11,FALSE)*$J33</f>
        <v>422.51369989350991</v>
      </c>
      <c r="M33" s="706">
        <f t="shared" si="8"/>
        <v>126.48630010649009</v>
      </c>
      <c r="N33" s="706">
        <f>IF($C33="other",(1-$C$7)*L33,(1-(VLOOKUP($C33,'S3 - Screening Tool Metrics'!$C$3:$G$17,5,FALSE)/100))*L33)</f>
        <v>287.30931592758674</v>
      </c>
      <c r="O33" s="706">
        <f>IF($C33="other",$C$7*L33,(VLOOKUP($C33,'S3 - Screening Tool Metrics'!$C$3:$G$17,5,FALSE)/100)*L33)</f>
        <v>135.20438396592317</v>
      </c>
      <c r="P33" s="706">
        <f t="shared" si="9"/>
        <v>24.627392343519702</v>
      </c>
      <c r="Q33" s="707">
        <f t="shared" si="18"/>
        <v>854612.93333333347</v>
      </c>
      <c r="R33" s="706">
        <f>VLOOKUP("*"&amp;$B33&amp;"*",'S4 - Summ PRS Characteristics'!$C$5:$Q$12,12,FALSE)*$J33</f>
        <v>251.74745818754087</v>
      </c>
      <c r="S33" s="706">
        <f t="shared" si="26"/>
        <v>297.25254181245913</v>
      </c>
      <c r="T33" s="706">
        <f>IF($C33="other",(1-$C23)*R33,(1-(VLOOKUP($C33,'S3 - Screening Tool Metrics'!$C$3:$G$17,5,FALSE)/100))*R33)</f>
        <v>171.18827156752778</v>
      </c>
      <c r="U33" s="706">
        <f>IF($C33="other",$C23*R33,(VLOOKUP($C33,'S3 - Screening Tool Metrics'!$C$3:$G$17,5,FALSE)/100)*R33)</f>
        <v>80.55918662001308</v>
      </c>
      <c r="V33" s="709">
        <f t="shared" si="19"/>
        <v>14.673804484519687</v>
      </c>
      <c r="W33" s="706">
        <f t="shared" si="20"/>
        <v>427306.46666666673</v>
      </c>
      <c r="X33" s="706">
        <f>VLOOKUP("*"&amp;$B33&amp;"*",'S4 - Summ PRS Characteristics'!$C$5:$Q$12,13,FALSE)*$J33</f>
        <v>160.9778793207268</v>
      </c>
      <c r="Y33" s="706">
        <f t="shared" si="27"/>
        <v>388.0221206792732</v>
      </c>
      <c r="Z33" s="706">
        <f>IF($C33="other",(1-$C23)*X33,(1-(VLOOKUP($C33,'S3 - Screening Tool Metrics'!$C$3:$G$17,5,FALSE)/100))*X33)</f>
        <v>109.46495793809422</v>
      </c>
      <c r="AA33" s="706">
        <f>IF($C33="other",$C23*X33,(VLOOKUP($C33,'S3 - Screening Tool Metrics'!$C$3:$G$17,5,FALSE)/100)*X33)</f>
        <v>51.512921382632577</v>
      </c>
      <c r="AB33" s="708">
        <f t="shared" si="21"/>
        <v>9.3830457891862622</v>
      </c>
      <c r="AC33" s="707">
        <f t="shared" si="22"/>
        <v>213653.23333333337</v>
      </c>
      <c r="AD33" s="706">
        <f>VLOOKUP("*"&amp;$B33&amp;"*",'S4 - Summ PRS Characteristics'!$C$5:$Q$12,14,FALSE)*$J33</f>
        <v>99.985590363811554</v>
      </c>
      <c r="AE33" s="706">
        <f t="shared" si="29"/>
        <v>449.01440963618847</v>
      </c>
      <c r="AF33" s="706">
        <f>IF($C33="other",(1-$C23)*AD33,(1-(VLOOKUP($C33,'S3 - Screening Tool Metrics'!$C$3:$G$17,5,FALSE)/100))*AD33)</f>
        <v>67.990201447391854</v>
      </c>
      <c r="AG33" s="706">
        <f>IF($C33="other",$C23*AD33,(VLOOKUP($C33,'S3 - Screening Tool Metrics'!$C$3:$G$17,5,FALSE)/100)*AD33)</f>
        <v>31.995388916419699</v>
      </c>
      <c r="AH33" s="708">
        <f t="shared" si="23"/>
        <v>5.827939693336921</v>
      </c>
      <c r="AI33" s="707">
        <f t="shared" si="24"/>
        <v>42730.646666666667</v>
      </c>
      <c r="AJ33" s="706">
        <f>VLOOKUP("*"&amp;$B33&amp;"*",'S4 - Summ PRS Characteristics'!$C$5:$Q$12,15,FALSE)*$J33</f>
        <v>30.773103133491865</v>
      </c>
      <c r="AK33" s="706">
        <f t="shared" si="28"/>
        <v>518.22689686650813</v>
      </c>
      <c r="AL33" s="706">
        <f>IF($C33="other",(1-$C23)*AJ33,(1-(VLOOKUP($C33,'S3 - Screening Tool Metrics'!$C$3:$G$17,5,FALSE)/100))*AJ33)</f>
        <v>20.925710130774466</v>
      </c>
      <c r="AM33" s="706">
        <f>IF($C33="other",$C23*AJ33,(VLOOKUP($C33,'S3 - Screening Tool Metrics'!$C$3:$G$17,5,FALSE)/100)*AJ33)</f>
        <v>9.8473930027173964</v>
      </c>
      <c r="AN33" s="709">
        <f t="shared" si="25"/>
        <v>1.7936963575077225</v>
      </c>
    </row>
    <row r="34" spans="2:40" ht="11" customHeight="1" x14ac:dyDescent="0.15">
      <c r="B34" s="700" t="s">
        <v>10</v>
      </c>
      <c r="C34" s="1082" t="str">
        <f>$C24</f>
        <v>PSA_3ng/mL cut-off</v>
      </c>
      <c r="D34" s="552" t="s">
        <v>202</v>
      </c>
      <c r="E34" s="710">
        <f>VLOOKUP($B34&amp;"_"&amp;$D34,'App5 - CRUK Inci Rates'!C:H,6,FALSE)</f>
        <v>135.39541108208113</v>
      </c>
      <c r="F34" s="711">
        <f>VLOOKUP($B34&amp;"_"&amp;$D34,'App5 - CRUK Inci Rates'!C:H,3,FALSE)</f>
        <v>0</v>
      </c>
      <c r="G34" s="712">
        <f>VLOOKUP($B34&amp;"_"&amp;$D34,'App5 - CRUK Inci Rates'!C:J,8,FALSE)</f>
        <v>4355391.333333333</v>
      </c>
      <c r="H34" s="713">
        <f>VLOOKUP($B34&amp;"_"&amp;$D34,'App5 - CRUK Inci Rates'!C:J,7,FALSE)</f>
        <v>4355391.333333333</v>
      </c>
      <c r="I34" s="713">
        <f>VLOOKUP($B34&amp;"_"&amp;$D34,'App5 - CRUK Inci Rates'!C:J,4,FALSE)</f>
        <v>0</v>
      </c>
      <c r="J34" s="709">
        <f>VLOOKUP($B34&amp;"_"&amp;$D34,'App5 - CRUK Inci Rates'!C:K,9,FALSE)</f>
        <v>5897</v>
      </c>
      <c r="K34" s="706">
        <f t="shared" si="7"/>
        <v>2177695.6666666665</v>
      </c>
      <c r="L34" s="706">
        <f>VLOOKUP("*"&amp;$B34&amp;"*",'S4 - Summ PRS Characteristics'!$C$5:$Q$12,11,FALSE)*$J34</f>
        <v>4538.3666453042397</v>
      </c>
      <c r="M34" s="706">
        <f t="shared" si="8"/>
        <v>1358.6333546957603</v>
      </c>
      <c r="N34" s="706">
        <f>IF($C34="other",(1-$C$7)*L34,(1-(VLOOKUP($C34,'S3 - Screening Tool Metrics'!$C$3:$G$17,5,FALSE)/100))*L34)</f>
        <v>3086.0893188068826</v>
      </c>
      <c r="O34" s="706">
        <f>IF($C34="other",$C$7*L34,(VLOOKUP($C34,'S3 - Screening Tool Metrics'!$C$3:$G$17,5,FALSE)/100)*L34)</f>
        <v>1452.2773264973566</v>
      </c>
      <c r="P34" s="706">
        <f t="shared" si="9"/>
        <v>24.627392343519698</v>
      </c>
      <c r="Q34" s="707">
        <f t="shared" si="18"/>
        <v>871078.2666666666</v>
      </c>
      <c r="R34" s="706">
        <f>VLOOKUP("*"&amp;$B34&amp;"*",'S4 - Summ PRS Characteristics'!$C$5:$Q$12,12,FALSE)*$J34</f>
        <v>2704.1070326628937</v>
      </c>
      <c r="S34" s="706">
        <f t="shared" si="26"/>
        <v>3192.8929673371063</v>
      </c>
      <c r="T34" s="706">
        <f>IF($C34="other",(1-$C23)*R34,(1-(VLOOKUP($C34,'S3 - Screening Tool Metrics'!$C$3:$G$17,5,FALSE)/100))*R34)</f>
        <v>1838.7927822107677</v>
      </c>
      <c r="U34" s="706">
        <f>IF($C34="other",$C23*R34,(VLOOKUP($C34,'S3 - Screening Tool Metrics'!$C$3:$G$17,5,FALSE)/100)*R34)</f>
        <v>865.31425045212598</v>
      </c>
      <c r="V34" s="709">
        <f t="shared" si="19"/>
        <v>14.673804484519687</v>
      </c>
      <c r="W34" s="706">
        <f t="shared" si="20"/>
        <v>435539.1333333333</v>
      </c>
      <c r="X34" s="706">
        <f>VLOOKUP("*"&amp;$B34&amp;"*",'S4 - Summ PRS Characteristics'!$C$5:$Q$12,13,FALSE)*$J34</f>
        <v>1729.1194068384809</v>
      </c>
      <c r="Y34" s="706">
        <f t="shared" si="27"/>
        <v>4167.8805931615188</v>
      </c>
      <c r="Z34" s="706">
        <f>IF($C34="other",(1-$C23)*X34,(1-(VLOOKUP($C34,'S3 - Screening Tool Metrics'!$C$3:$G$17,5,FALSE)/100))*X34)</f>
        <v>1175.801196650167</v>
      </c>
      <c r="AA34" s="706">
        <f>IF($C34="other",$C23*X34,(VLOOKUP($C34,'S3 - Screening Tool Metrics'!$C$3:$G$17,5,FALSE)/100)*X34)</f>
        <v>553.31821018831386</v>
      </c>
      <c r="AB34" s="708">
        <f t="shared" si="21"/>
        <v>9.3830457891862622</v>
      </c>
      <c r="AC34" s="707">
        <f t="shared" si="22"/>
        <v>217769.56666666665</v>
      </c>
      <c r="AD34" s="706">
        <f>VLOOKUP("*"&amp;$B34&amp;"*",'S4 - Summ PRS Characteristics'!$C$5:$Q$12,14,FALSE)*$J34</f>
        <v>1073.9800116127444</v>
      </c>
      <c r="AE34" s="706">
        <f t="shared" si="29"/>
        <v>4823.0199883872556</v>
      </c>
      <c r="AF34" s="706">
        <f>IF($C34="other",(1-$C23)*AD34,(1-(VLOOKUP($C34,'S3 - Screening Tool Metrics'!$C$3:$G$17,5,FALSE)/100))*AD34)</f>
        <v>730.30640789666609</v>
      </c>
      <c r="AG34" s="706">
        <f>IF($C34="other",$C23*AD34,(VLOOKUP($C34,'S3 - Screening Tool Metrics'!$C$3:$G$17,5,FALSE)/100)*AD34)</f>
        <v>343.67360371607822</v>
      </c>
      <c r="AH34" s="708">
        <f t="shared" si="23"/>
        <v>5.827939693336921</v>
      </c>
      <c r="AI34" s="707">
        <f t="shared" si="24"/>
        <v>43553.91333333333</v>
      </c>
      <c r="AJ34" s="706">
        <f>VLOOKUP("*"&amp;$B34&amp;"*",'S4 - Summ PRS Characteristics'!$C$5:$Q$12,15,FALSE)*$J34</f>
        <v>330.54460688196997</v>
      </c>
      <c r="AK34" s="706">
        <f t="shared" si="28"/>
        <v>5566.4553931180299</v>
      </c>
      <c r="AL34" s="706">
        <f>IF($C34="other",(1-$C23)*AJ34,(1-(VLOOKUP($C34,'S3 - Screening Tool Metrics'!$C$3:$G$17,5,FALSE)/100))*AJ34)</f>
        <v>224.77033267973957</v>
      </c>
      <c r="AM34" s="706">
        <f>IF($C34="other",$C23*AJ34,(VLOOKUP($C34,'S3 - Screening Tool Metrics'!$C$3:$G$17,5,FALSE)/100)*AJ34)</f>
        <v>105.77427420223039</v>
      </c>
      <c r="AN34" s="709">
        <f t="shared" si="25"/>
        <v>1.7936963575077223</v>
      </c>
    </row>
    <row r="35" spans="2:40" ht="11" customHeight="1" x14ac:dyDescent="0.15">
      <c r="B35" s="700" t="s">
        <v>10</v>
      </c>
      <c r="C35" s="1082" t="str">
        <f t="shared" ref="C35:C36" si="30">$C25</f>
        <v>PSA_3ng/mL cut-off</v>
      </c>
      <c r="D35" s="552" t="s">
        <v>272</v>
      </c>
      <c r="E35" s="710">
        <f>VLOOKUP($B35&amp;"_"&amp;$D35,'App5 - CRUK Inci Rates'!C:H,6,FALSE)</f>
        <v>486.82466185429951</v>
      </c>
      <c r="F35" s="711">
        <f>VLOOKUP($B35&amp;"_"&amp;$D35,'App5 - CRUK Inci Rates'!C:H,3,FALSE)</f>
        <v>0</v>
      </c>
      <c r="G35" s="712">
        <f>VLOOKUP($B35&amp;"_"&amp;$D35,'App5 - CRUK Inci Rates'!C:J,8,FALSE)</f>
        <v>3461821.333333333</v>
      </c>
      <c r="H35" s="713">
        <f>VLOOKUP($B35&amp;"_"&amp;$D35,'App5 - CRUK Inci Rates'!C:J,7,FALSE)</f>
        <v>3461821.333333333</v>
      </c>
      <c r="I35" s="713">
        <f>VLOOKUP($B35&amp;"_"&amp;$D35,'App5 - CRUK Inci Rates'!C:J,4,FALSE)</f>
        <v>0</v>
      </c>
      <c r="J35" s="709">
        <f>VLOOKUP($B35&amp;"_"&amp;$D35,'App5 - CRUK Inci Rates'!C:K,9,FALSE)</f>
        <v>16853</v>
      </c>
      <c r="K35" s="706">
        <f t="shared" si="7"/>
        <v>1730910.6666666665</v>
      </c>
      <c r="L35" s="706">
        <f>VLOOKUP("*"&amp;$B35&amp;"*",'S4 - Summ PRS Characteristics'!$C$5:$Q$12,11,FALSE)*$J35</f>
        <v>12970.170098916798</v>
      </c>
      <c r="M35" s="706">
        <f t="shared" si="8"/>
        <v>3882.8299010832015</v>
      </c>
      <c r="N35" s="706">
        <f>IF($C35="other",(1-$C$7)*L35,(1-(VLOOKUP($C35,'S3 - Screening Tool Metrics'!$C$3:$G$17,5,FALSE)/100))*L35)</f>
        <v>8819.7156672634228</v>
      </c>
      <c r="O35" s="706">
        <f>IF($C35="other",$C$7*L35,(VLOOKUP($C35,'S3 - Screening Tool Metrics'!$C$3:$G$17,5,FALSE)/100)*L35)</f>
        <v>4150.4544316533757</v>
      </c>
      <c r="P35" s="706">
        <f t="shared" si="9"/>
        <v>24.627392343519702</v>
      </c>
      <c r="Q35" s="707">
        <f t="shared" si="18"/>
        <v>692364.2666666666</v>
      </c>
      <c r="R35" s="706">
        <f>VLOOKUP("*"&amp;$B35&amp;"*",'S4 - Summ PRS Characteristics'!$C$5:$Q$12,12,FALSE)*$J35</f>
        <v>7728.0508430503214</v>
      </c>
      <c r="S35" s="706">
        <f t="shared" si="26"/>
        <v>9124.9491569496786</v>
      </c>
      <c r="T35" s="706">
        <f>IF($C35="other",(1-$C24)*R35,(1-(VLOOKUP($C35,'S3 - Screening Tool Metrics'!$C$3:$G$17,5,FALSE)/100))*R35)</f>
        <v>5255.074573274218</v>
      </c>
      <c r="U35" s="706">
        <f>IF($C35="other",$C24*R35,(VLOOKUP($C35,'S3 - Screening Tool Metrics'!$C$3:$G$17,5,FALSE)/100)*R35)</f>
        <v>2472.976269776103</v>
      </c>
      <c r="V35" s="709">
        <f t="shared" si="19"/>
        <v>14.673804484519687</v>
      </c>
      <c r="W35" s="706">
        <f t="shared" si="20"/>
        <v>346182.1333333333</v>
      </c>
      <c r="X35" s="706">
        <f>VLOOKUP("*"&amp;$B35&amp;"*",'S4 - Summ PRS Characteristics'!$C$5:$Q$12,13,FALSE)*$J35</f>
        <v>4941.6397089111279</v>
      </c>
      <c r="Y35" s="706">
        <f t="shared" si="27"/>
        <v>11911.360291088873</v>
      </c>
      <c r="Z35" s="706">
        <f>IF($C35="other",(1-$C24)*X35,(1-(VLOOKUP($C35,'S3 - Screening Tool Metrics'!$C$3:$G$17,5,FALSE)/100))*X35)</f>
        <v>3360.3150020595667</v>
      </c>
      <c r="AA35" s="706">
        <f>IF($C35="other",$C24*X35,(VLOOKUP($C35,'S3 - Screening Tool Metrics'!$C$3:$G$17,5,FALSE)/100)*X35)</f>
        <v>1581.3247068515609</v>
      </c>
      <c r="AB35" s="708">
        <f t="shared" si="21"/>
        <v>9.383045789186264</v>
      </c>
      <c r="AC35" s="707">
        <f t="shared" si="22"/>
        <v>173091.06666666665</v>
      </c>
      <c r="AD35" s="706">
        <f>VLOOKUP("*"&amp;$B35&amp;"*",'S4 - Summ PRS Characteristics'!$C$5:$Q$12,14,FALSE)*$J35</f>
        <v>3069.3208641189726</v>
      </c>
      <c r="AE35" s="706">
        <f t="shared" si="29"/>
        <v>13783.679135881028</v>
      </c>
      <c r="AF35" s="706">
        <f>IF($C35="other",(1-$C24)*AD35,(1-(VLOOKUP($C35,'S3 - Screening Tool Metrics'!$C$3:$G$17,5,FALSE)/100))*AD35)</f>
        <v>2087.1381876009013</v>
      </c>
      <c r="AG35" s="706">
        <f>IF($C35="other",$C24*AD35,(VLOOKUP($C35,'S3 - Screening Tool Metrics'!$C$3:$G$17,5,FALSE)/100)*AD35)</f>
        <v>982.18267651807128</v>
      </c>
      <c r="AH35" s="708">
        <f t="shared" si="23"/>
        <v>5.827939693336921</v>
      </c>
      <c r="AI35" s="707">
        <f t="shared" si="24"/>
        <v>34618.213333333333</v>
      </c>
      <c r="AJ35" s="706">
        <f>VLOOKUP("*"&amp;$B35&amp;"*",'S4 - Summ PRS Characteristics'!$C$5:$Q$12,15,FALSE)*$J35</f>
        <v>944.66139728367648</v>
      </c>
      <c r="AK35" s="706">
        <f t="shared" ref="AK35:AK36" si="31">$J35-AJ35</f>
        <v>15908.338602716323</v>
      </c>
      <c r="AL35" s="706">
        <f>IF($C35="other",(1-$C24)*AJ35,(1-(VLOOKUP($C35,'S3 - Screening Tool Metrics'!$C$3:$G$17,5,FALSE)/100))*AJ35)</f>
        <v>642.3697501529</v>
      </c>
      <c r="AM35" s="706">
        <f>IF($C35="other",$C24*AJ35,(VLOOKUP($C35,'S3 - Screening Tool Metrics'!$C$3:$G$17,5,FALSE)/100)*AJ35)</f>
        <v>302.29164713077648</v>
      </c>
      <c r="AN35" s="709">
        <f t="shared" si="25"/>
        <v>1.7936963575077225</v>
      </c>
    </row>
    <row r="36" spans="2:40" ht="11" customHeight="1" x14ac:dyDescent="0.15">
      <c r="B36" s="700" t="s">
        <v>10</v>
      </c>
      <c r="C36" s="1082" t="str">
        <f t="shared" si="30"/>
        <v>PSA_3ng/mL cut-off</v>
      </c>
      <c r="D36" s="552" t="s">
        <v>203</v>
      </c>
      <c r="E36" s="710">
        <f>VLOOKUP($B36&amp;"_"&amp;$D36,'App5 - CRUK Inci Rates'!C:H,6,FALSE)</f>
        <v>291.02444784453866</v>
      </c>
      <c r="F36" s="711">
        <f>VLOOKUP($B36&amp;"_"&amp;$D36,'App5 - CRUK Inci Rates'!C:H,3,FALSE)</f>
        <v>0</v>
      </c>
      <c r="G36" s="712">
        <f>VLOOKUP($B36&amp;"_"&amp;$D36,'App5 - CRUK Inci Rates'!C:J,8,FALSE)</f>
        <v>7817212.666666666</v>
      </c>
      <c r="H36" s="713">
        <f>VLOOKUP($B36&amp;"_"&amp;$D36,'App5 - CRUK Inci Rates'!C:J,7,FALSE)</f>
        <v>7817212.666666666</v>
      </c>
      <c r="I36" s="713">
        <f>VLOOKUP($B36&amp;"_"&amp;$D36,'App5 - CRUK Inci Rates'!C:J,4,FALSE)</f>
        <v>0</v>
      </c>
      <c r="J36" s="709">
        <f>VLOOKUP($B36&amp;"_"&amp;$D36,'App5 - CRUK Inci Rates'!C:K,9,FALSE)</f>
        <v>22750</v>
      </c>
      <c r="K36" s="706">
        <f t="shared" si="7"/>
        <v>3908606.333333333</v>
      </c>
      <c r="L36" s="706">
        <f>VLOOKUP("*"&amp;$B36&amp;"*",'S4 - Summ PRS Characteristics'!$C$5:$Q$12,11,FALSE)*$J36</f>
        <v>17508.536744221037</v>
      </c>
      <c r="M36" s="706">
        <f t="shared" si="8"/>
        <v>5241.4632557789628</v>
      </c>
      <c r="N36" s="706">
        <f>IF($C36="other",(1-$C$7)*L36,(1-(VLOOKUP($C36,'S3 - Screening Tool Metrics'!$C$3:$G$17,5,FALSE)/100))*L36)</f>
        <v>11905.804986070305</v>
      </c>
      <c r="O36" s="706">
        <f>IF($C36="other",$C$7*L36,(VLOOKUP($C36,'S3 - Screening Tool Metrics'!$C$3:$G$17,5,FALSE)/100)*L36)</f>
        <v>5602.7317581507323</v>
      </c>
      <c r="P36" s="706">
        <f t="shared" si="9"/>
        <v>24.627392343519702</v>
      </c>
      <c r="Q36" s="707">
        <f t="shared" si="18"/>
        <v>1563442.5333333332</v>
      </c>
      <c r="R36" s="706">
        <f>VLOOKUP("*"&amp;$B36&amp;"*",'S4 - Summ PRS Characteristics'!$C$5:$Q$12,12,FALSE)*$J36</f>
        <v>10432.157875713216</v>
      </c>
      <c r="S36" s="706">
        <f t="shared" si="26"/>
        <v>12317.842124286784</v>
      </c>
      <c r="T36" s="706">
        <f>IF($C36="other",(1-$C25)*R36,(1-(VLOOKUP($C36,'S3 - Screening Tool Metrics'!$C$3:$G$17,5,FALSE)/100))*R36)</f>
        <v>7093.8673554849856</v>
      </c>
      <c r="U36" s="706">
        <f>IF($C36="other",$C25*R36,(VLOOKUP($C36,'S3 - Screening Tool Metrics'!$C$3:$G$17,5,FALSE)/100)*R36)</f>
        <v>3338.2905202282291</v>
      </c>
      <c r="V36" s="709">
        <f t="shared" si="19"/>
        <v>14.673804484519687</v>
      </c>
      <c r="W36" s="706">
        <f t="shared" si="20"/>
        <v>781721.2666666666</v>
      </c>
      <c r="X36" s="706">
        <f>VLOOKUP("*"&amp;$B36&amp;"*",'S4 - Summ PRS Characteristics'!$C$5:$Q$12,13,FALSE)*$J36</f>
        <v>6670.7591157496081</v>
      </c>
      <c r="Y36" s="706">
        <f t="shared" si="27"/>
        <v>16079.240884250392</v>
      </c>
      <c r="Z36" s="706">
        <f>IF($C36="other",(1-$C25)*X36,(1-(VLOOKUP($C36,'S3 - Screening Tool Metrics'!$C$3:$G$17,5,FALSE)/100))*X36)</f>
        <v>4536.116198709733</v>
      </c>
      <c r="AA36" s="706">
        <f>IF($C36="other",$C25*X36,(VLOOKUP($C36,'S3 - Screening Tool Metrics'!$C$3:$G$17,5,FALSE)/100)*X36)</f>
        <v>2134.6429170398746</v>
      </c>
      <c r="AB36" s="708">
        <f t="shared" si="21"/>
        <v>9.3830457891862622</v>
      </c>
      <c r="AC36" s="707">
        <f t="shared" si="22"/>
        <v>390860.6333333333</v>
      </c>
      <c r="AD36" s="706">
        <f>VLOOKUP("*"&amp;$B36&amp;"*",'S4 - Summ PRS Characteristics'!$C$5:$Q$12,14,FALSE)*$J36</f>
        <v>4143.3008757317175</v>
      </c>
      <c r="AE36" s="706">
        <f t="shared" si="29"/>
        <v>18606.699124268282</v>
      </c>
      <c r="AF36" s="706">
        <f>IF($C36="other",(1-$C25)*AD36,(1-(VLOOKUP($C36,'S3 - Screening Tool Metrics'!$C$3:$G$17,5,FALSE)/100))*AD36)</f>
        <v>2817.4445954975677</v>
      </c>
      <c r="AG36" s="706">
        <f>IF($C36="other",$C25*AD36,(VLOOKUP($C36,'S3 - Screening Tool Metrics'!$C$3:$G$17,5,FALSE)/100)*AD36)</f>
        <v>1325.8562802341496</v>
      </c>
      <c r="AH36" s="708">
        <f t="shared" si="23"/>
        <v>5.827939693336921</v>
      </c>
      <c r="AI36" s="707">
        <f t="shared" si="24"/>
        <v>78172.126666666663</v>
      </c>
      <c r="AJ36" s="706">
        <f>VLOOKUP("*"&amp;$B36&amp;"*",'S4 - Summ PRS Characteristics'!$C$5:$Q$12,15,FALSE)*$J36</f>
        <v>1275.2060041656464</v>
      </c>
      <c r="AK36" s="706">
        <f t="shared" si="31"/>
        <v>21474.793995834352</v>
      </c>
      <c r="AL36" s="706">
        <f>IF($C36="other",(1-$C25)*AJ36,(1-(VLOOKUP($C36,'S3 - Screening Tool Metrics'!$C$3:$G$17,5,FALSE)/100))*AJ36)</f>
        <v>867.14008283263945</v>
      </c>
      <c r="AM36" s="706">
        <f>IF($C36="other",$C25*AJ36,(VLOOKUP($C36,'S3 - Screening Tool Metrics'!$C$3:$G$17,5,FALSE)/100)*AJ36)</f>
        <v>408.06592133300683</v>
      </c>
      <c r="AN36" s="709">
        <f t="shared" si="25"/>
        <v>1.7936963575077223</v>
      </c>
    </row>
    <row r="37" spans="2:40" ht="11" customHeight="1" x14ac:dyDescent="0.15">
      <c r="B37" s="700" t="s">
        <v>10</v>
      </c>
      <c r="C37" s="1082" t="str">
        <f>$C25</f>
        <v>PSA_3ng/mL cut-off</v>
      </c>
      <c r="D37" s="552" t="s">
        <v>292</v>
      </c>
      <c r="E37" s="710">
        <f>VLOOKUP($B37&amp;"_"&amp;$D37,'App5 - CRUK Inci Rates'!C:H,6,FALSE)</f>
        <v>568.09764371802726</v>
      </c>
      <c r="F37" s="711">
        <f>VLOOKUP($B37&amp;"_"&amp;$D37,'App5 - CRUK Inci Rates'!C:H,3,FALSE)</f>
        <v>0</v>
      </c>
      <c r="G37" s="712">
        <f>VLOOKUP($B37&amp;"_"&amp;$D37,'App5 - CRUK Inci Rates'!C:J,8,FALSE)</f>
        <v>4929786.333333333</v>
      </c>
      <c r="H37" s="713">
        <f>VLOOKUP($B37&amp;"_"&amp;$D37,'App5 - CRUK Inci Rates'!C:J,7,FALSE)</f>
        <v>4929786.333333333</v>
      </c>
      <c r="I37" s="713">
        <f>VLOOKUP($B37&amp;"_"&amp;$D37,'App5 - CRUK Inci Rates'!C:J,4,FALSE)</f>
        <v>0</v>
      </c>
      <c r="J37" s="709">
        <f>VLOOKUP($B37&amp;"_"&amp;$D37,'App5 - CRUK Inci Rates'!C:K,9,FALSE)</f>
        <v>28006</v>
      </c>
      <c r="K37" s="706">
        <f t="shared" si="7"/>
        <v>2464893.1666666665</v>
      </c>
      <c r="L37" s="706">
        <f>VLOOKUP("*"&amp;$B37&amp;"*",'S4 - Summ PRS Characteristics'!$C$5:$Q$12,11,FALSE)*$J37</f>
        <v>21553.585936644151</v>
      </c>
      <c r="M37" s="706">
        <f t="shared" si="8"/>
        <v>6452.4140633558491</v>
      </c>
      <c r="N37" s="706">
        <f>IF($C37="other",(1-$C$7)*L37,(1-(VLOOKUP($C37,'S3 - Screening Tool Metrics'!$C$3:$G$17,5,FALSE)/100))*L37)</f>
        <v>14656.438436918021</v>
      </c>
      <c r="O37" s="706">
        <f>IF($C37="other",$C$7*L37,(VLOOKUP($C37,'S3 - Screening Tool Metrics'!$C$3:$G$17,5,FALSE)/100)*L37)</f>
        <v>6897.1474997261284</v>
      </c>
      <c r="P37" s="706">
        <f t="shared" si="9"/>
        <v>24.627392343519706</v>
      </c>
      <c r="Q37" s="707">
        <f>$G37*Q$3</f>
        <v>985957.2666666666</v>
      </c>
      <c r="R37" s="706">
        <f>VLOOKUP("*"&amp;$B37&amp;"*",'S4 - Summ PRS Characteristics'!$C$5:$Q$12,12,FALSE)*$J37</f>
        <v>12842.330262295574</v>
      </c>
      <c r="S37" s="706">
        <f t="shared" si="26"/>
        <v>15163.669737704426</v>
      </c>
      <c r="T37" s="706">
        <f>IF($C37="other",(1-$C24)*R37,(1-(VLOOKUP($C37,'S3 - Screening Tool Metrics'!$C$3:$G$17,5,FALSE)/100))*R37)</f>
        <v>8732.7845783609901</v>
      </c>
      <c r="U37" s="706">
        <f>IF($C37="other",$C26*R37,(VLOOKUP($C37,'S3 - Screening Tool Metrics'!$C$3:$G$17,5,FALSE)/100)*R37)</f>
        <v>4109.5456839345843</v>
      </c>
      <c r="V37" s="709">
        <f t="shared" si="19"/>
        <v>14.673804484519689</v>
      </c>
      <c r="W37" s="706">
        <f>$G37*W$3</f>
        <v>492978.6333333333</v>
      </c>
      <c r="X37" s="706">
        <f>VLOOKUP("*"&amp;$B37&amp;"*",'S4 - Summ PRS Characteristics'!$C$5:$Q$12,13,FALSE)*$J37</f>
        <v>8211.9243866234519</v>
      </c>
      <c r="Y37" s="706">
        <f t="shared" si="27"/>
        <v>19794.075613376546</v>
      </c>
      <c r="Z37" s="706">
        <f>IF($C37="other",(1-$C24)*X37,(1-(VLOOKUP($C37,'S3 - Screening Tool Metrics'!$C$3:$G$17,5,FALSE)/100))*X37)</f>
        <v>5584.1085829039466</v>
      </c>
      <c r="AA37" s="706">
        <f>IF($C37="other",$C24*X37,(VLOOKUP($C37,'S3 - Screening Tool Metrics'!$C$3:$G$17,5,FALSE)/100)*X37)</f>
        <v>2627.8158037195049</v>
      </c>
      <c r="AB37" s="708">
        <f t="shared" si="21"/>
        <v>9.383045789186264</v>
      </c>
      <c r="AC37" s="707">
        <f t="shared" si="22"/>
        <v>246489.31666666665</v>
      </c>
      <c r="AD37" s="706">
        <f>VLOOKUP("*"&amp;$B37&amp;"*",'S4 - Summ PRS Characteristics'!$C$5:$Q$12,14,FALSE)*$J37</f>
        <v>5100.5399703623061</v>
      </c>
      <c r="AE37" s="706">
        <f t="shared" si="29"/>
        <v>22905.460029637696</v>
      </c>
      <c r="AF37" s="706">
        <f>IF($C37="other",(1-$C26)*AD37,(1-(VLOOKUP($C37,'S3 - Screening Tool Metrics'!$C$3:$G$17,5,FALSE)/100))*AD37)</f>
        <v>3468.3671798463679</v>
      </c>
      <c r="AG37" s="706">
        <f>IF($C37="other",$C24*AD37,(VLOOKUP($C37,'S3 - Screening Tool Metrics'!$C$3:$G$17,5,FALSE)/100)*AD37)</f>
        <v>1632.172790515938</v>
      </c>
      <c r="AH37" s="708">
        <f t="shared" si="23"/>
        <v>5.827939693336921</v>
      </c>
      <c r="AI37" s="707">
        <f t="shared" si="24"/>
        <v>49297.863333333335</v>
      </c>
      <c r="AJ37" s="706">
        <f>VLOOKUP("*"&amp;$B37&amp;"*",'S4 - Summ PRS Characteristics'!$C$5:$Q$12,15,FALSE)*$J37</f>
        <v>1569.8206308862898</v>
      </c>
      <c r="AK37" s="706">
        <f t="shared" si="28"/>
        <v>26436.17936911371</v>
      </c>
      <c r="AL37" s="706">
        <f>IF($C37="other",(1-$C24)*AJ37,(1-(VLOOKUP($C37,'S3 - Screening Tool Metrics'!$C$3:$G$17,5,FALSE)/100))*AJ37)</f>
        <v>1067.478029002677</v>
      </c>
      <c r="AM37" s="706">
        <f>IF($C37="other",$C24*AJ37,(VLOOKUP($C37,'S3 - Screening Tool Metrics'!$C$3:$G$17,5,FALSE)/100)*AJ37)</f>
        <v>502.34260188361276</v>
      </c>
      <c r="AN37" s="709">
        <f t="shared" si="25"/>
        <v>1.7936963575077225</v>
      </c>
    </row>
    <row r="38" spans="2:40" ht="11" customHeight="1" x14ac:dyDescent="0.15">
      <c r="B38" s="700" t="s">
        <v>10</v>
      </c>
      <c r="C38" s="1082" t="str">
        <f>$C24</f>
        <v>PSA_3ng/mL cut-off</v>
      </c>
      <c r="D38" s="552" t="s">
        <v>204</v>
      </c>
      <c r="E38" s="710">
        <f>VLOOKUP($B38&amp;"_"&amp;$D38,'App5 - CRUK Inci Rates'!C:H,6,FALSE)</f>
        <v>296.50668196175269</v>
      </c>
      <c r="F38" s="711">
        <f>VLOOKUP($B38&amp;"_"&amp;$D38,'App5 - CRUK Inci Rates'!C:H,3,FALSE)</f>
        <v>0</v>
      </c>
      <c r="G38" s="712">
        <f>VLOOKUP($B38&amp;"_"&amp;$D38,'App5 - CRUK Inci Rates'!C:J,8,FALSE)</f>
        <v>14565607.666666668</v>
      </c>
      <c r="H38" s="713">
        <f>VLOOKUP($B38&amp;"_"&amp;$D38,'App5 - CRUK Inci Rates'!C:J,7,FALSE)</f>
        <v>14565607.666666668</v>
      </c>
      <c r="I38" s="713">
        <f>VLOOKUP($B38&amp;"_"&amp;$D38,'App5 - CRUK Inci Rates'!C:J,4,FALSE)</f>
        <v>0</v>
      </c>
      <c r="J38" s="709">
        <f>VLOOKUP($B38&amp;"_"&amp;$D38,'App5 - CRUK Inci Rates'!C:K,9,FALSE)</f>
        <v>43188</v>
      </c>
      <c r="K38" s="706">
        <f t="shared" si="7"/>
        <v>7282803.833333334</v>
      </c>
      <c r="L38" s="706">
        <f>VLOOKUP("*"&amp;$B38&amp;"*",'S4 - Summ PRS Characteristics'!$C$5:$Q$12,11,FALSE)*$J38</f>
        <v>33237.744391622778</v>
      </c>
      <c r="M38" s="706">
        <f t="shared" si="8"/>
        <v>9950.2556083772215</v>
      </c>
      <c r="N38" s="706">
        <f>IF($C38="other",(1-$C$7)*L38,(1-(VLOOKUP($C38,'S3 - Screening Tool Metrics'!$C$3:$G$17,5,FALSE)/100))*L38)</f>
        <v>22601.666186303486</v>
      </c>
      <c r="O38" s="706">
        <f>IF($C38="other",$C$7*L38,(VLOOKUP($C38,'S3 - Screening Tool Metrics'!$C$3:$G$17,5,FALSE)/100)*L38)</f>
        <v>10636.078205319289</v>
      </c>
      <c r="P38" s="706">
        <f t="shared" si="9"/>
        <v>24.627392343519702</v>
      </c>
      <c r="Q38" s="707">
        <f t="shared" si="18"/>
        <v>2913121.5333333337</v>
      </c>
      <c r="R38" s="706">
        <f>VLOOKUP("*"&amp;$B38&amp;"*",'S4 - Summ PRS Characteristics'!$C$5:$Q$12,12,FALSE)*$J38</f>
        <v>19804.133377419883</v>
      </c>
      <c r="S38" s="706">
        <f t="shared" si="26"/>
        <v>23383.866622580117</v>
      </c>
      <c r="T38" s="706">
        <f>IF($C38="other",(1-$C23)*R38,(1-(VLOOKUP($C38,'S3 - Screening Tool Metrics'!$C$3:$G$17,5,FALSE)/100))*R38)</f>
        <v>13466.81069664552</v>
      </c>
      <c r="U38" s="706">
        <f>IF($C38="other",$C23*R38,(VLOOKUP($C38,'S3 - Screening Tool Metrics'!$C$3:$G$17,5,FALSE)/100)*R38)</f>
        <v>6337.3226807743631</v>
      </c>
      <c r="V38" s="709">
        <f t="shared" si="19"/>
        <v>14.673804484519689</v>
      </c>
      <c r="W38" s="706">
        <f t="shared" si="20"/>
        <v>1456560.7666666668</v>
      </c>
      <c r="X38" s="706">
        <f>VLOOKUP("*"&amp;$B38&amp;"*",'S4 - Summ PRS Characteristics'!$C$5:$Q$12,13,FALSE)*$J38</f>
        <v>12663.593173230509</v>
      </c>
      <c r="Y38" s="706">
        <f t="shared" si="27"/>
        <v>30524.406826769489</v>
      </c>
      <c r="Z38" s="706">
        <f>IF($C38="other",(1-$C23)*X38,(1-(VLOOKUP($C38,'S3 - Screening Tool Metrics'!$C$3:$G$17,5,FALSE)/100))*X38)</f>
        <v>8611.2433577967458</v>
      </c>
      <c r="AA38" s="706">
        <f>IF($C38="other",$C23*X38,(VLOOKUP($C38,'S3 - Screening Tool Metrics'!$C$3:$G$17,5,FALSE)/100)*X38)</f>
        <v>4052.3498154337631</v>
      </c>
      <c r="AB38" s="708">
        <f t="shared" si="21"/>
        <v>9.383045789186264</v>
      </c>
      <c r="AC38" s="707">
        <f t="shared" si="22"/>
        <v>728280.38333333342</v>
      </c>
      <c r="AD38" s="706">
        <f>VLOOKUP("*"&amp;$B38&amp;"*",'S4 - Summ PRS Characteristics'!$C$5:$Q$12,14,FALSE)*$J38</f>
        <v>7865.5331086198421</v>
      </c>
      <c r="AE38" s="706">
        <f t="shared" si="29"/>
        <v>35322.466891380158</v>
      </c>
      <c r="AF38" s="706">
        <f>IF($C38="other",(1-$C23)*AD38,(1-(VLOOKUP($C38,'S3 - Screening Tool Metrics'!$C$3:$G$17,5,FALSE)/100))*AD38)</f>
        <v>5348.5625138614923</v>
      </c>
      <c r="AG38" s="706">
        <f>IF($C38="other",$C23*AD38,(VLOOKUP($C38,'S3 - Screening Tool Metrics'!$C$3:$G$17,5,FALSE)/100)*AD38)</f>
        <v>2516.9705947583493</v>
      </c>
      <c r="AH38" s="708">
        <f t="shared" si="23"/>
        <v>5.827939693336921</v>
      </c>
      <c r="AI38" s="707">
        <f t="shared" si="24"/>
        <v>145656.07666666669</v>
      </c>
      <c r="AJ38" s="706">
        <f>VLOOKUP("*"&amp;$B38&amp;"*",'S4 - Summ PRS Characteristics'!$C$5:$Q$12,15,FALSE)*$J38</f>
        <v>2420.8174465013599</v>
      </c>
      <c r="AK38" s="706">
        <f t="shared" si="28"/>
        <v>40767.182553498642</v>
      </c>
      <c r="AL38" s="706">
        <f>IF($C38="other",(1-$C23)*AJ38,(1-(VLOOKUP($C38,'S3 - Screening Tool Metrics'!$C$3:$G$17,5,FALSE)/100))*AJ38)</f>
        <v>1646.1558636209245</v>
      </c>
      <c r="AM38" s="706">
        <f>IF($C38="other",$C23*AJ38,(VLOOKUP($C38,'S3 - Screening Tool Metrics'!$C$3:$G$17,5,FALSE)/100)*AJ38)</f>
        <v>774.66158288043516</v>
      </c>
      <c r="AN38" s="709">
        <f t="shared" si="25"/>
        <v>1.7936963575077225</v>
      </c>
    </row>
    <row r="39" spans="2:40" ht="11" customHeight="1" thickBot="1" x14ac:dyDescent="0.2">
      <c r="B39" s="700" t="s">
        <v>10</v>
      </c>
      <c r="C39" s="1083" t="str">
        <f>$C25</f>
        <v>PSA_3ng/mL cut-off</v>
      </c>
      <c r="D39" s="552" t="s">
        <v>205</v>
      </c>
      <c r="E39" s="710">
        <f>VLOOKUP($B39&amp;"_"&amp;$D39,'App5 - CRUK Inci Rates'!C:H,6,FALSE)</f>
        <v>183.8</v>
      </c>
      <c r="F39" s="711">
        <f>VLOOKUP($B39&amp;"_"&amp;$D39,'App5 - CRUK Inci Rates'!C:H,3,FALSE)</f>
        <v>0</v>
      </c>
      <c r="G39" s="712">
        <f>VLOOKUP($B39&amp;"_"&amp;$D39,'App5 - CRUK Inci Rates'!C:J,8,FALSE)</f>
        <v>32583225.666666668</v>
      </c>
      <c r="H39" s="713">
        <f>VLOOKUP($B39&amp;"_"&amp;$D39,'App5 - CRUK Inci Rates'!C:J,7,FALSE)</f>
        <v>32583225.666666668</v>
      </c>
      <c r="I39" s="713">
        <f>VLOOKUP($B39&amp;"_"&amp;$D39,'App5 - CRUK Inci Rates'!C:J,4,FALSE)</f>
        <v>0</v>
      </c>
      <c r="J39" s="709">
        <f>VLOOKUP($B39&amp;"_"&amp;$D39,'App5 - CRUK Inci Rates'!C:K,9,FALSE)</f>
        <v>52254</v>
      </c>
      <c r="K39" s="714"/>
      <c r="L39" s="714"/>
      <c r="M39" s="714"/>
      <c r="N39" s="714"/>
      <c r="O39" s="714"/>
      <c r="P39" s="714"/>
      <c r="Q39" s="734"/>
      <c r="R39" s="735"/>
      <c r="S39" s="735"/>
      <c r="T39" s="735"/>
      <c r="U39" s="735"/>
      <c r="V39" s="736"/>
      <c r="W39" s="716"/>
      <c r="X39" s="716"/>
      <c r="Y39" s="716"/>
      <c r="Z39" s="716"/>
      <c r="AA39" s="716"/>
      <c r="AB39" s="717"/>
      <c r="AC39" s="716"/>
      <c r="AD39" s="716"/>
      <c r="AE39" s="716"/>
      <c r="AF39" s="716"/>
      <c r="AG39" s="716"/>
      <c r="AH39" s="717"/>
      <c r="AI39" s="715"/>
      <c r="AJ39" s="716"/>
      <c r="AK39" s="716"/>
      <c r="AL39" s="716"/>
      <c r="AM39" s="716"/>
      <c r="AN39" s="718"/>
    </row>
    <row r="40" spans="2:40" ht="11" customHeight="1" thickBot="1" x14ac:dyDescent="0.2">
      <c r="B40" s="686" t="s">
        <v>11</v>
      </c>
      <c r="C40" s="687"/>
      <c r="D40" s="688"/>
      <c r="E40" s="689"/>
      <c r="F40" s="690"/>
      <c r="G40" s="691"/>
      <c r="H40" s="692"/>
      <c r="I40" s="692"/>
      <c r="J40" s="693"/>
      <c r="K40" s="694"/>
      <c r="L40" s="694"/>
      <c r="M40" s="694"/>
      <c r="N40" s="694"/>
      <c r="O40" s="694"/>
      <c r="P40" s="694"/>
      <c r="Q40" s="695"/>
      <c r="R40" s="696"/>
      <c r="S40" s="696"/>
      <c r="T40" s="696"/>
      <c r="U40" s="696"/>
      <c r="V40" s="697"/>
      <c r="W40" s="696"/>
      <c r="X40" s="696"/>
      <c r="Y40" s="696"/>
      <c r="Z40" s="696"/>
      <c r="AA40" s="696"/>
      <c r="AB40" s="697"/>
      <c r="AC40" s="695"/>
      <c r="AD40" s="696"/>
      <c r="AE40" s="696"/>
      <c r="AF40" s="696"/>
      <c r="AG40" s="696"/>
      <c r="AH40" s="697"/>
      <c r="AI40" s="695"/>
      <c r="AJ40" s="696"/>
      <c r="AK40" s="696"/>
      <c r="AL40" s="696"/>
      <c r="AM40" s="696"/>
      <c r="AN40" s="699"/>
    </row>
    <row r="41" spans="2:40" ht="11" customHeight="1" x14ac:dyDescent="0.15">
      <c r="B41" s="700" t="s">
        <v>11</v>
      </c>
      <c r="C41" s="1081" t="s">
        <v>143</v>
      </c>
      <c r="D41" s="593" t="s">
        <v>192</v>
      </c>
      <c r="E41" s="701">
        <f>VLOOKUP($B41&amp;"_"&amp;$D41,'App5 - CRUK Inci Rates'!C:H,6,FALSE)</f>
        <v>14.5</v>
      </c>
      <c r="F41" s="702">
        <f>VLOOKUP($B41&amp;"_"&amp;$D41,'App5 - CRUK Inci Rates'!C:H,3,FALSE)</f>
        <v>13.5</v>
      </c>
      <c r="G41" s="703">
        <f>VLOOKUP($B41&amp;"_"&amp;$D41,'App5 - CRUK Inci Rates'!C:J,8,FALSE)</f>
        <v>4075608</v>
      </c>
      <c r="H41" s="704">
        <f>VLOOKUP($B41&amp;"_"&amp;$D41,'App5 - CRUK Inci Rates'!C:J,7,FALSE)</f>
        <v>2021384.6666666667</v>
      </c>
      <c r="I41" s="704">
        <f>VLOOKUP($B41&amp;"_"&amp;$D41,'App5 - CRUK Inci Rates'!C:J,4,FALSE)</f>
        <v>2054223.3333333333</v>
      </c>
      <c r="J41" s="705">
        <f>VLOOKUP($B41&amp;"_"&amp;$D41,'App5 - CRUK Inci Rates'!C:K,9,FALSE)</f>
        <v>570</v>
      </c>
      <c r="K41" s="706">
        <f t="shared" si="7"/>
        <v>2037804</v>
      </c>
      <c r="L41" s="706">
        <f>VLOOKUP("*"&amp;$B41&amp;"*",'S4 - Summ PRS Characteristics'!$C$5:$Q$12,11,FALSE)*$J41</f>
        <v>377.95600494311321</v>
      </c>
      <c r="M41" s="706">
        <f t="shared" si="8"/>
        <v>192.04399505688679</v>
      </c>
      <c r="N41" s="706">
        <f>IF($C41="other",(1-$C$7)*L41,(1-(VLOOKUP($C41,'S3 - Screening Tool Metrics'!$C$3:$G$17,5,FALSE)/100))*L41)</f>
        <v>113.38680148293398</v>
      </c>
      <c r="O41" s="706">
        <f>IF($C41="other",$C$7*L41,(VLOOKUP($C41,'S3 - Screening Tool Metrics'!$C$3:$G$17,5,FALSE)/100)*L41)</f>
        <v>264.56920346017921</v>
      </c>
      <c r="P41" s="706">
        <f t="shared" si="9"/>
        <v>46.415649729856</v>
      </c>
      <c r="Q41" s="707">
        <f t="shared" ref="Q41:Q54" si="32">$G41*Q$3</f>
        <v>815121.60000000009</v>
      </c>
      <c r="R41" s="706">
        <f>VLOOKUP("*"&amp;$B41&amp;"*",'S4 - Summ PRS Characteristics'!$C$5:$Q$12,12,FALSE)*$J41</f>
        <v>192.07523115163704</v>
      </c>
      <c r="S41" s="706">
        <f>$J41-R41</f>
        <v>377.92476884836299</v>
      </c>
      <c r="T41" s="706">
        <f>IF($C41="other",(1-$C40)*R41,(1-(VLOOKUP($C41,'S3 - Screening Tool Metrics'!$C$3:$G$17,5,FALSE)/100))*R41)</f>
        <v>57.622569345491122</v>
      </c>
      <c r="U41" s="706">
        <f>IF($C41="other",$C40*R41,(VLOOKUP($C41,'S3 - Screening Tool Metrics'!$C$3:$G$17,5,FALSE)/100)*R41)</f>
        <v>134.45266180614593</v>
      </c>
      <c r="V41" s="708">
        <f t="shared" ref="V41:V54" si="33">$U41/$J41*100</f>
        <v>23.58818628177999</v>
      </c>
      <c r="W41" s="707">
        <f t="shared" ref="W41:W54" si="34">$G41*W$3</f>
        <v>407560.80000000005</v>
      </c>
      <c r="X41" s="706">
        <f>VLOOKUP("*"&amp;$B41&amp;"*",'S4 - Summ PRS Characteristics'!$C$5:$Q$12,13,FALSE)*$J41</f>
        <v>110.98529125453747</v>
      </c>
      <c r="Y41" s="706">
        <f>$J41-X41</f>
        <v>459.01470874546254</v>
      </c>
      <c r="Z41" s="706">
        <f>IF($C41="other",(1-$C40)*X41,(1-(VLOOKUP($C41,'S3 - Screening Tool Metrics'!$C$3:$G$17,5,FALSE)/100))*X41)</f>
        <v>33.295587376361247</v>
      </c>
      <c r="AA41" s="706">
        <f>IF($C41="other",$C40*X41,(VLOOKUP($C41,'S3 - Screening Tool Metrics'!$C$3:$G$17,5,FALSE)/100)*X41)</f>
        <v>77.689703878176232</v>
      </c>
      <c r="AB41" s="708">
        <f t="shared" ref="AB41:AB54" si="35">$AA41/$J41*100</f>
        <v>13.629772610206356</v>
      </c>
      <c r="AC41" s="707">
        <f t="shared" ref="AC41:AC54" si="36">$G41*AC$3</f>
        <v>203780.40000000002</v>
      </c>
      <c r="AD41" s="706">
        <f>VLOOKUP("*"&amp;$B41&amp;"*",'S4 - Summ PRS Characteristics'!$C$5:$Q$12,14,FALSE)*$J41</f>
        <v>62.974828563595921</v>
      </c>
      <c r="AE41" s="706">
        <f>$J41-AD41</f>
        <v>507.02517143640409</v>
      </c>
      <c r="AF41" s="706">
        <f>IF($C41="other",(1-$C40)*AD41,(1-(VLOOKUP($C41,'S3 - Screening Tool Metrics'!$C$3:$G$17,5,FALSE)/100))*AD41)</f>
        <v>18.89244856907878</v>
      </c>
      <c r="AG41" s="706">
        <f>IF($C41="other",$C40*AD41,(VLOOKUP($C41,'S3 - Screening Tool Metrics'!$C$3:$G$17,5,FALSE)/100)*AD41)</f>
        <v>44.08237999451714</v>
      </c>
      <c r="AH41" s="708">
        <f t="shared" ref="AH41:AH54" si="37">$AG41/$J41*100</f>
        <v>7.7337508762310767</v>
      </c>
      <c r="AI41" s="707">
        <f t="shared" ref="AI41:AI54" si="38">$G41*AI$3</f>
        <v>40756.080000000002</v>
      </c>
      <c r="AJ41" s="706">
        <f>VLOOKUP("*"&amp;$B41&amp;"*",'S4 - Summ PRS Characteristics'!$C$5:$Q$12,15,FALSE)*$J41</f>
        <v>16.165204085635832</v>
      </c>
      <c r="AK41" s="706">
        <f>$J41-AJ41</f>
        <v>553.83479591436412</v>
      </c>
      <c r="AL41" s="706">
        <f>IF($C41="other",(1-$C40)*AJ41,(1-(VLOOKUP($C41,'S3 - Screening Tool Metrics'!$C$3:$G$17,5,FALSE)/100))*AJ41)</f>
        <v>4.8495612256907501</v>
      </c>
      <c r="AM41" s="706">
        <f>IF($C41="other",$C40*AJ41,(VLOOKUP($C41,'S3 - Screening Tool Metrics'!$C$3:$G$17,5,FALSE)/100)*AJ41)</f>
        <v>11.315642859945081</v>
      </c>
      <c r="AN41" s="709">
        <f t="shared" ref="AN41:AN54" si="39">$AM41/$J41*100</f>
        <v>1.9852005017447512</v>
      </c>
    </row>
    <row r="42" spans="2:40" ht="11" customHeight="1" x14ac:dyDescent="0.15">
      <c r="B42" s="700" t="s">
        <v>11</v>
      </c>
      <c r="C42" s="1082" t="str">
        <f>$C41</f>
        <v>FIT 20-50 µg/g threshold (CRC)</v>
      </c>
      <c r="D42" s="552" t="s">
        <v>193</v>
      </c>
      <c r="E42" s="710">
        <f>VLOOKUP($B42&amp;"_"&amp;$D42,'App5 - CRUK Inci Rates'!C:H,6,FALSE)</f>
        <v>24.4</v>
      </c>
      <c r="F42" s="711">
        <f>VLOOKUP($B42&amp;"_"&amp;$D42,'App5 - CRUK Inci Rates'!C:H,3,FALSE)</f>
        <v>21.6</v>
      </c>
      <c r="G42" s="712">
        <f>VLOOKUP($B42&amp;"_"&amp;$D42,'App5 - CRUK Inci Rates'!C:J,8,FALSE)</f>
        <v>4567159.333333334</v>
      </c>
      <c r="H42" s="713">
        <f>VLOOKUP($B42&amp;"_"&amp;$D42,'App5 - CRUK Inci Rates'!C:J,7,FALSE)</f>
        <v>2251680</v>
      </c>
      <c r="I42" s="713">
        <f>VLOOKUP($B42&amp;"_"&amp;$D42,'App5 - CRUK Inci Rates'!C:J,4,FALSE)</f>
        <v>2315479.3333333335</v>
      </c>
      <c r="J42" s="709">
        <f>VLOOKUP($B42&amp;"_"&amp;$D42,'App5 - CRUK Inci Rates'!C:K,9,FALSE)</f>
        <v>1047</v>
      </c>
      <c r="K42" s="706">
        <f t="shared" si="7"/>
        <v>2283579.666666667</v>
      </c>
      <c r="L42" s="706">
        <f>VLOOKUP("*"&amp;$B42&amp;"*",'S4 - Summ PRS Characteristics'!$C$5:$Q$12,11,FALSE)*$J42</f>
        <v>694.24550381656059</v>
      </c>
      <c r="M42" s="706">
        <f t="shared" si="8"/>
        <v>352.75449618343941</v>
      </c>
      <c r="N42" s="706">
        <f>IF($C42="other",(1-$C$7)*L42,(1-(VLOOKUP($C42,'S3 - Screening Tool Metrics'!$C$3:$G$17,5,FALSE)/100))*L42)</f>
        <v>208.2736511449682</v>
      </c>
      <c r="O42" s="706">
        <f>IF($C42="other",$C$7*L42,(VLOOKUP($C42,'S3 - Screening Tool Metrics'!$C$3:$G$17,5,FALSE)/100)*L42)</f>
        <v>485.97185267159239</v>
      </c>
      <c r="P42" s="706">
        <f t="shared" si="9"/>
        <v>46.415649729856007</v>
      </c>
      <c r="Q42" s="707">
        <f t="shared" si="32"/>
        <v>913431.86666666681</v>
      </c>
      <c r="R42" s="706">
        <f>VLOOKUP("*"&amp;$B42&amp;"*",'S4 - Summ PRS Characteristics'!$C$5:$Q$12,12,FALSE)*$J42</f>
        <v>352.81187195748066</v>
      </c>
      <c r="S42" s="706">
        <f t="shared" ref="S42:S54" si="40">$J42-R42</f>
        <v>694.18812804251934</v>
      </c>
      <c r="T42" s="706">
        <f>IF($C42="other",(1-$C40)*R42,(1-(VLOOKUP($C42,'S3 - Screening Tool Metrics'!$C$3:$G$17,5,FALSE)/100))*R42)</f>
        <v>105.84356158724421</v>
      </c>
      <c r="U42" s="706">
        <f>IF($C42="other",$C40*R42,(VLOOKUP($C42,'S3 - Screening Tool Metrics'!$C$3:$G$17,5,FALSE)/100)*R42)</f>
        <v>246.96831037023645</v>
      </c>
      <c r="V42" s="708">
        <f t="shared" si="33"/>
        <v>23.588186281779986</v>
      </c>
      <c r="W42" s="707">
        <f t="shared" si="34"/>
        <v>456715.93333333341</v>
      </c>
      <c r="X42" s="706">
        <f>VLOOKUP("*"&amp;$B42&amp;"*",'S4 - Summ PRS Characteristics'!$C$5:$Q$12,13,FALSE)*$J42</f>
        <v>203.86245604122936</v>
      </c>
      <c r="Y42" s="706">
        <f t="shared" ref="Y42:Y54" si="41">$J42-X42</f>
        <v>843.13754395877061</v>
      </c>
      <c r="Z42" s="706">
        <f>IF($C42="other",(1-$C40)*X42,(1-(VLOOKUP($C42,'S3 - Screening Tool Metrics'!$C$3:$G$17,5,FALSE)/100))*X42)</f>
        <v>61.158736812368815</v>
      </c>
      <c r="AA42" s="706">
        <f>IF($C42="other",$C40*X42,(VLOOKUP($C42,'S3 - Screening Tool Metrics'!$C$3:$G$17,5,FALSE)/100)*X42)</f>
        <v>142.70371922886054</v>
      </c>
      <c r="AB42" s="708">
        <f t="shared" si="35"/>
        <v>13.629772610206356</v>
      </c>
      <c r="AC42" s="707">
        <f t="shared" si="36"/>
        <v>228357.9666666667</v>
      </c>
      <c r="AD42" s="706">
        <f>VLOOKUP("*"&amp;$B42&amp;"*",'S4 - Summ PRS Characteristics'!$C$5:$Q$12,14,FALSE)*$J42</f>
        <v>115.67481667734198</v>
      </c>
      <c r="AE42" s="706">
        <f>$J42-AD42</f>
        <v>931.32518332265806</v>
      </c>
      <c r="AF42" s="706">
        <f>IF($C42="other",(1-$C40)*AD42,(1-(VLOOKUP($C42,'S3 - Screening Tool Metrics'!$C$3:$G$17,5,FALSE)/100))*AD42)</f>
        <v>34.702445003202598</v>
      </c>
      <c r="AG42" s="706">
        <f>IF($C42="other",$C40*AD42,(VLOOKUP($C42,'S3 - Screening Tool Metrics'!$C$3:$G$17,5,FALSE)/100)*AD42)</f>
        <v>80.972371674139382</v>
      </c>
      <c r="AH42" s="708">
        <f t="shared" si="37"/>
        <v>7.7337508762310767</v>
      </c>
      <c r="AI42" s="707">
        <f t="shared" si="38"/>
        <v>45671.593333333338</v>
      </c>
      <c r="AJ42" s="706">
        <f>VLOOKUP("*"&amp;$B42&amp;"*",'S4 - Summ PRS Characteristics'!$C$5:$Q$12,15,FALSE)*$J42</f>
        <v>29.692927504667924</v>
      </c>
      <c r="AK42" s="706">
        <f t="shared" ref="AK42:AK54" si="42">$J42-AJ42</f>
        <v>1017.307072495332</v>
      </c>
      <c r="AL42" s="706">
        <f>IF($C42="other",(1-$C40)*AJ42,(1-(VLOOKUP($C42,'S3 - Screening Tool Metrics'!$C$3:$G$17,5,FALSE)/100))*AJ42)</f>
        <v>8.907878251400378</v>
      </c>
      <c r="AM42" s="706">
        <f>IF($C42="other",$C40*AJ42,(VLOOKUP($C42,'S3 - Screening Tool Metrics'!$C$3:$G$17,5,FALSE)/100)*AJ42)</f>
        <v>20.785049253267545</v>
      </c>
      <c r="AN42" s="709">
        <f t="shared" si="39"/>
        <v>1.9852005017447512</v>
      </c>
    </row>
    <row r="43" spans="2:40" ht="11" customHeight="1" x14ac:dyDescent="0.15">
      <c r="B43" s="700" t="s">
        <v>11</v>
      </c>
      <c r="C43" s="1082" t="str">
        <f>$C41</f>
        <v>FIT 20-50 µg/g threshold (CRC)</v>
      </c>
      <c r="D43" s="552" t="s">
        <v>194</v>
      </c>
      <c r="E43" s="710">
        <f>VLOOKUP($B43&amp;"_"&amp;$D43,'App5 - CRUK Inci Rates'!C:H,6,FALSE)</f>
        <v>47.1</v>
      </c>
      <c r="F43" s="711">
        <f>VLOOKUP($B43&amp;"_"&amp;$D43,'App5 - CRUK Inci Rates'!C:H,3,FALSE)</f>
        <v>37.1</v>
      </c>
      <c r="G43" s="712">
        <f>VLOOKUP($B43&amp;"_"&amp;$D43,'App5 - CRUK Inci Rates'!C:J,8,FALSE)</f>
        <v>4658110.666666666</v>
      </c>
      <c r="H43" s="713">
        <f>VLOOKUP($B43&amp;"_"&amp;$D43,'App5 - CRUK Inci Rates'!C:J,7,FALSE)</f>
        <v>2293472.6666666665</v>
      </c>
      <c r="I43" s="713">
        <f>VLOOKUP($B43&amp;"_"&amp;$D43,'App5 - CRUK Inci Rates'!C:J,4,FALSE)</f>
        <v>2364638</v>
      </c>
      <c r="J43" s="709">
        <f>VLOOKUP($B43&amp;"_"&amp;$D43,'App5 - CRUK Inci Rates'!C:K,9,FALSE)</f>
        <v>1958</v>
      </c>
      <c r="K43" s="706">
        <f t="shared" si="7"/>
        <v>2329055.333333333</v>
      </c>
      <c r="L43" s="706">
        <f>VLOOKUP("*"&amp;$B43&amp;"*",'S4 - Summ PRS Characteristics'!$C$5:$Q$12,11,FALSE)*$J43</f>
        <v>1298.3120310151153</v>
      </c>
      <c r="M43" s="706">
        <f t="shared" si="8"/>
        <v>659.68796898488472</v>
      </c>
      <c r="N43" s="706">
        <f>IF($C43="other",(1-$C$7)*L43,(1-(VLOOKUP($C43,'S3 - Screening Tool Metrics'!$C$3:$G$17,5,FALSE)/100))*L43)</f>
        <v>389.49360930453463</v>
      </c>
      <c r="O43" s="706">
        <f>IF($C43="other",$C$7*L43,(VLOOKUP($C43,'S3 - Screening Tool Metrics'!$C$3:$G$17,5,FALSE)/100)*L43)</f>
        <v>908.81842171058065</v>
      </c>
      <c r="P43" s="706">
        <f t="shared" si="9"/>
        <v>46.415649729856007</v>
      </c>
      <c r="Q43" s="707">
        <f t="shared" si="32"/>
        <v>931622.1333333333</v>
      </c>
      <c r="R43" s="706">
        <f>VLOOKUP("*"&amp;$B43&amp;"*",'S4 - Summ PRS Characteristics'!$C$5:$Q$12,12,FALSE)*$J43</f>
        <v>659.79526771036024</v>
      </c>
      <c r="S43" s="706">
        <f t="shared" si="40"/>
        <v>1298.2047322896397</v>
      </c>
      <c r="T43" s="706">
        <f>IF($C43="other",(1-$C40)*R43,(1-(VLOOKUP($C43,'S3 - Screening Tool Metrics'!$C$3:$G$17,5,FALSE)/100))*R43)</f>
        <v>197.9385803131081</v>
      </c>
      <c r="U43" s="706">
        <f>IF($C43="other",$C40*R43,(VLOOKUP($C43,'S3 - Screening Tool Metrics'!$C$3:$G$17,5,FALSE)/100)*R43)</f>
        <v>461.85668739725213</v>
      </c>
      <c r="V43" s="708">
        <f t="shared" si="33"/>
        <v>23.588186281779986</v>
      </c>
      <c r="W43" s="707">
        <f t="shared" si="34"/>
        <v>465811.06666666665</v>
      </c>
      <c r="X43" s="706">
        <f>VLOOKUP("*"&amp;$B43&amp;"*",'S4 - Summ PRS Characteristics'!$C$5:$Q$12,13,FALSE)*$J43</f>
        <v>381.24421101120066</v>
      </c>
      <c r="Y43" s="706">
        <f t="shared" si="41"/>
        <v>1576.7557889887994</v>
      </c>
      <c r="Z43" s="706">
        <f>IF($C43="other",(1-$C40)*X43,(1-(VLOOKUP($C43,'S3 - Screening Tool Metrics'!$C$3:$G$17,5,FALSE)/100))*X43)</f>
        <v>114.37326330336022</v>
      </c>
      <c r="AA43" s="706">
        <f>IF($C43="other",$C40*X43,(VLOOKUP($C43,'S3 - Screening Tool Metrics'!$C$3:$G$17,5,FALSE)/100)*X43)</f>
        <v>266.87094770784046</v>
      </c>
      <c r="AB43" s="708">
        <f t="shared" si="35"/>
        <v>13.629772610206356</v>
      </c>
      <c r="AC43" s="707">
        <f t="shared" si="36"/>
        <v>232905.53333333333</v>
      </c>
      <c r="AD43" s="706">
        <f>VLOOKUP("*"&amp;$B43&amp;"*",'S4 - Summ PRS Characteristics'!$C$5:$Q$12,14,FALSE)*$J43</f>
        <v>216.32406022372072</v>
      </c>
      <c r="AE43" s="706">
        <f t="shared" ref="AE43:AE54" si="43">$J43-AD43</f>
        <v>1741.6759397762794</v>
      </c>
      <c r="AF43" s="706">
        <f>IF($C43="other",(1-$C40)*AD43,(1-(VLOOKUP($C43,'S3 - Screening Tool Metrics'!$C$3:$G$17,5,FALSE)/100))*AD43)</f>
        <v>64.897218067116228</v>
      </c>
      <c r="AG43" s="706">
        <f>IF($C43="other",$C40*AD43,(VLOOKUP($C43,'S3 - Screening Tool Metrics'!$C$3:$G$17,5,FALSE)/100)*AD43)</f>
        <v>151.42684215660449</v>
      </c>
      <c r="AH43" s="708">
        <f t="shared" si="37"/>
        <v>7.7337508762310767</v>
      </c>
      <c r="AI43" s="707">
        <f t="shared" si="38"/>
        <v>46581.106666666659</v>
      </c>
      <c r="AJ43" s="706">
        <f>VLOOKUP("*"&amp;$B43&amp;"*",'S4 - Summ PRS Characteristics'!$C$5:$Q$12,15,FALSE)*$J43</f>
        <v>55.528894034517478</v>
      </c>
      <c r="AK43" s="706">
        <f t="shared" si="42"/>
        <v>1902.4711059654826</v>
      </c>
      <c r="AL43" s="706">
        <f>IF($C43="other",(1-$C40)*AJ43,(1-(VLOOKUP($C43,'S3 - Screening Tool Metrics'!$C$3:$G$17,5,FALSE)/100))*AJ43)</f>
        <v>16.658668210355245</v>
      </c>
      <c r="AM43" s="706">
        <f>IF($C43="other",$C40*AJ43,(VLOOKUP($C43,'S3 - Screening Tool Metrics'!$C$3:$G$17,5,FALSE)/100)*AJ43)</f>
        <v>38.870225824162233</v>
      </c>
      <c r="AN43" s="709">
        <f t="shared" si="39"/>
        <v>1.9852005017447514</v>
      </c>
    </row>
    <row r="44" spans="2:40" ht="11" customHeight="1" x14ac:dyDescent="0.15">
      <c r="B44" s="700" t="s">
        <v>11</v>
      </c>
      <c r="C44" s="1082" t="str">
        <f>$C41</f>
        <v>FIT 20-50 µg/g threshold (CRC)</v>
      </c>
      <c r="D44" s="552" t="s">
        <v>195</v>
      </c>
      <c r="E44" s="710">
        <f>VLOOKUP($B44&amp;"_"&amp;$D44,'App5 - CRUK Inci Rates'!C:H,6,FALSE)</f>
        <v>87.7</v>
      </c>
      <c r="F44" s="711">
        <f>VLOOKUP($B44&amp;"_"&amp;$D44,'App5 - CRUK Inci Rates'!C:H,3,FALSE)</f>
        <v>60.6</v>
      </c>
      <c r="G44" s="712">
        <f>VLOOKUP($B44&amp;"_"&amp;$D44,'App5 - CRUK Inci Rates'!C:J,8,FALSE)</f>
        <v>4181606</v>
      </c>
      <c r="H44" s="713">
        <f>VLOOKUP($B44&amp;"_"&amp;$D44,'App5 - CRUK Inci Rates'!C:J,7,FALSE)</f>
        <v>2061918.6666666667</v>
      </c>
      <c r="I44" s="713">
        <f>VLOOKUP($B44&amp;"_"&amp;$D44,'App5 - CRUK Inci Rates'!C:J,4,FALSE)</f>
        <v>2119687.3333333335</v>
      </c>
      <c r="J44" s="709">
        <f>VLOOKUP($B44&amp;"_"&amp;$D44,'App5 - CRUK Inci Rates'!C:K,9,FALSE)</f>
        <v>3094</v>
      </c>
      <c r="K44" s="706">
        <f t="shared" si="7"/>
        <v>2090803</v>
      </c>
      <c r="L44" s="706">
        <f>VLOOKUP("*"&amp;$B44&amp;"*",'S4 - Summ PRS Characteristics'!$C$5:$Q$12,11,FALSE)*$J44</f>
        <v>2051.5717180596357</v>
      </c>
      <c r="M44" s="706">
        <f t="shared" si="8"/>
        <v>1042.4282819403643</v>
      </c>
      <c r="N44" s="706">
        <f>IF($C44="other",(1-$C$7)*L44,(1-(VLOOKUP($C44,'S3 - Screening Tool Metrics'!$C$3:$G$17,5,FALSE)/100))*L44)</f>
        <v>615.47151541789083</v>
      </c>
      <c r="O44" s="706">
        <f>IF($C44="other",$C$7*L44,(VLOOKUP($C44,'S3 - Screening Tool Metrics'!$C$3:$G$17,5,FALSE)/100)*L44)</f>
        <v>1436.100202641745</v>
      </c>
      <c r="P44" s="706">
        <f t="shared" si="9"/>
        <v>46.415649729856014</v>
      </c>
      <c r="Q44" s="707">
        <f t="shared" si="32"/>
        <v>836321.20000000007</v>
      </c>
      <c r="R44" s="706">
        <f>VLOOKUP("*"&amp;$B44&amp;"*",'S4 - Summ PRS Characteristics'!$C$5:$Q$12,12,FALSE)*$J44</f>
        <v>1042.5978336546755</v>
      </c>
      <c r="S44" s="706">
        <f t="shared" si="40"/>
        <v>2051.4021663453245</v>
      </c>
      <c r="T44" s="706">
        <f>IF($C44="other",(1-$C40)*R44,(1-(VLOOKUP($C44,'S3 - Screening Tool Metrics'!$C$3:$G$17,5,FALSE)/100))*R44)</f>
        <v>312.77935009640271</v>
      </c>
      <c r="U44" s="706">
        <f>IF($C44="other",$C40*R44,(VLOOKUP($C44,'S3 - Screening Tool Metrics'!$C$3:$G$17,5,FALSE)/100)*R44)</f>
        <v>729.81848355827276</v>
      </c>
      <c r="V44" s="708">
        <f t="shared" si="33"/>
        <v>23.588186281779986</v>
      </c>
      <c r="W44" s="707">
        <f t="shared" si="34"/>
        <v>418160.60000000003</v>
      </c>
      <c r="X44" s="706">
        <f>VLOOKUP("*"&amp;$B44&amp;"*",'S4 - Summ PRS Characteristics'!$C$5:$Q$12,13,FALSE)*$J44</f>
        <v>602.43594937112096</v>
      </c>
      <c r="Y44" s="706">
        <f t="shared" si="41"/>
        <v>2491.5640506288792</v>
      </c>
      <c r="Z44" s="706">
        <f>IF($C44="other",(1-$C40)*X44,(1-(VLOOKUP($C44,'S3 - Screening Tool Metrics'!$C$3:$G$17,5,FALSE)/100))*X44)</f>
        <v>180.73078481133632</v>
      </c>
      <c r="AA44" s="706">
        <f>IF($C44="other",$C40*X44,(VLOOKUP($C44,'S3 - Screening Tool Metrics'!$C$3:$G$17,5,FALSE)/100)*X44)</f>
        <v>421.70516455978463</v>
      </c>
      <c r="AB44" s="708">
        <f t="shared" si="35"/>
        <v>13.629772610206356</v>
      </c>
      <c r="AC44" s="707">
        <f t="shared" si="36"/>
        <v>209080.30000000002</v>
      </c>
      <c r="AD44" s="706">
        <f>VLOOKUP("*"&amp;$B44&amp;"*",'S4 - Summ PRS Characteristics'!$C$5:$Q$12,14,FALSE)*$J44</f>
        <v>341.83178872941369</v>
      </c>
      <c r="AE44" s="706">
        <f t="shared" si="43"/>
        <v>2752.1682112705862</v>
      </c>
      <c r="AF44" s="706">
        <f>IF($C44="other",(1-$C40)*AD44,(1-(VLOOKUP($C44,'S3 - Screening Tool Metrics'!$C$3:$G$17,5,FALSE)/100))*AD44)</f>
        <v>102.54953661882412</v>
      </c>
      <c r="AG44" s="706">
        <f>IF($C44="other",$C40*AD44,(VLOOKUP($C44,'S3 - Screening Tool Metrics'!$C$3:$G$17,5,FALSE)/100)*AD44)</f>
        <v>239.28225211058955</v>
      </c>
      <c r="AH44" s="708">
        <f t="shared" si="37"/>
        <v>7.7337508762310785</v>
      </c>
      <c r="AI44" s="707">
        <f t="shared" si="38"/>
        <v>41816.06</v>
      </c>
      <c r="AJ44" s="706">
        <f>VLOOKUP("*"&amp;$B44&amp;"*",'S4 - Summ PRS Characteristics'!$C$5:$Q$12,15,FALSE)*$J44</f>
        <v>87.745862177118013</v>
      </c>
      <c r="AK44" s="706">
        <f t="shared" si="42"/>
        <v>3006.2541378228821</v>
      </c>
      <c r="AL44" s="706">
        <f>IF($C44="other",(1-$C40)*AJ44,(1-(VLOOKUP($C44,'S3 - Screening Tool Metrics'!$C$3:$G$17,5,FALSE)/100))*AJ44)</f>
        <v>26.323758653135407</v>
      </c>
      <c r="AM44" s="706">
        <f>IF($C44="other",$C40*AJ44,(VLOOKUP($C44,'S3 - Screening Tool Metrics'!$C$3:$G$17,5,FALSE)/100)*AJ44)</f>
        <v>61.422103523982607</v>
      </c>
      <c r="AN44" s="709">
        <f t="shared" si="39"/>
        <v>1.9852005017447514</v>
      </c>
    </row>
    <row r="45" spans="2:40" ht="11" customHeight="1" x14ac:dyDescent="0.15">
      <c r="B45" s="700" t="s">
        <v>11</v>
      </c>
      <c r="C45" s="1082" t="str">
        <f>$C41</f>
        <v>FIT 20-50 µg/g threshold (CRC)</v>
      </c>
      <c r="D45" s="552" t="s">
        <v>196</v>
      </c>
      <c r="E45" s="710">
        <f>VLOOKUP($B45&amp;"_"&amp;$D45,'App5 - CRUK Inci Rates'!C:H,6,FALSE)</f>
        <v>151.4</v>
      </c>
      <c r="F45" s="711">
        <f>VLOOKUP($B45&amp;"_"&amp;$D45,'App5 - CRUK Inci Rates'!C:H,3,FALSE)</f>
        <v>91</v>
      </c>
      <c r="G45" s="712">
        <f>VLOOKUP($B45&amp;"_"&amp;$D45,'App5 - CRUK Inci Rates'!C:J,8,FALSE)</f>
        <v>3602002</v>
      </c>
      <c r="H45" s="713">
        <f>VLOOKUP($B45&amp;"_"&amp;$D45,'App5 - CRUK Inci Rates'!C:J,7,FALSE)</f>
        <v>1764828</v>
      </c>
      <c r="I45" s="713">
        <f>VLOOKUP($B45&amp;"_"&amp;$D45,'App5 - CRUK Inci Rates'!C:J,4,FALSE)</f>
        <v>1837174</v>
      </c>
      <c r="J45" s="709">
        <f>VLOOKUP($B45&amp;"_"&amp;$D45,'App5 - CRUK Inci Rates'!C:K,9,FALSE)</f>
        <v>4345</v>
      </c>
      <c r="K45" s="706">
        <f t="shared" si="7"/>
        <v>1801001</v>
      </c>
      <c r="L45" s="706">
        <f>VLOOKUP("*"&amp;$B45&amp;"*",'S4 - Summ PRS Characteristics'!$C$5:$Q$12,11,FALSE)*$J45</f>
        <v>2881.0856868032051</v>
      </c>
      <c r="M45" s="706">
        <f t="shared" si="8"/>
        <v>1463.9143131967949</v>
      </c>
      <c r="N45" s="706">
        <f>IF($C45="other",(1-$C$7)*L45,(1-(VLOOKUP($C45,'S3 - Screening Tool Metrics'!$C$3:$G$17,5,FALSE)/100))*L45)</f>
        <v>864.32570604096168</v>
      </c>
      <c r="O45" s="706">
        <f>IF($C45="other",$C$7*L45,(VLOOKUP($C45,'S3 - Screening Tool Metrics'!$C$3:$G$17,5,FALSE)/100)*L45)</f>
        <v>2016.7599807622435</v>
      </c>
      <c r="P45" s="706">
        <f t="shared" si="9"/>
        <v>46.415649729856007</v>
      </c>
      <c r="Q45" s="707">
        <f t="shared" si="32"/>
        <v>720400.4</v>
      </c>
      <c r="R45" s="706">
        <f>VLOOKUP("*"&amp;$B45&amp;"*",'S4 - Summ PRS Characteristics'!$C$5:$Q$12,12,FALSE)*$J45</f>
        <v>1464.1524199190578</v>
      </c>
      <c r="S45" s="706">
        <f t="shared" si="40"/>
        <v>2880.847580080942</v>
      </c>
      <c r="T45" s="706">
        <f>IF($C45="other",(1-$C40)*R45,(1-(VLOOKUP($C45,'S3 - Screening Tool Metrics'!$C$3:$G$17,5,FALSE)/100))*R45)</f>
        <v>439.24572597571739</v>
      </c>
      <c r="U45" s="706">
        <f>IF($C45="other",$C40*R45,(VLOOKUP($C45,'S3 - Screening Tool Metrics'!$C$3:$G$17,5,FALSE)/100)*R45)</f>
        <v>1024.9066939433403</v>
      </c>
      <c r="V45" s="708">
        <f t="shared" si="33"/>
        <v>23.588186281779986</v>
      </c>
      <c r="W45" s="707">
        <f t="shared" si="34"/>
        <v>360200.2</v>
      </c>
      <c r="X45" s="706">
        <f>VLOOKUP("*"&amp;$B45&amp;"*",'S4 - Summ PRS Characteristics'!$C$5:$Q$12,13,FALSE)*$J45</f>
        <v>846.01945701923739</v>
      </c>
      <c r="Y45" s="706">
        <f t="shared" si="41"/>
        <v>3498.9805429807625</v>
      </c>
      <c r="Z45" s="706">
        <f>IF($C45="other",(1-$C40)*X45,(1-(VLOOKUP($C45,'S3 - Screening Tool Metrics'!$C$3:$G$17,5,FALSE)/100))*X45)</f>
        <v>253.80583710577125</v>
      </c>
      <c r="AA45" s="706">
        <f>IF($C45="other",$C40*X45,(VLOOKUP($C45,'S3 - Screening Tool Metrics'!$C$3:$G$17,5,FALSE)/100)*X45)</f>
        <v>592.21361991346612</v>
      </c>
      <c r="AB45" s="708">
        <f t="shared" si="35"/>
        <v>13.629772610206356</v>
      </c>
      <c r="AC45" s="707">
        <f t="shared" si="36"/>
        <v>180100.1</v>
      </c>
      <c r="AD45" s="706">
        <f>VLOOKUP("*"&amp;$B45&amp;"*",'S4 - Summ PRS Characteristics'!$C$5:$Q$12,14,FALSE)*$J45</f>
        <v>480.04496510320052</v>
      </c>
      <c r="AE45" s="706">
        <f t="shared" si="43"/>
        <v>3864.9550348967996</v>
      </c>
      <c r="AF45" s="706">
        <f>IF($C45="other",(1-$C40)*AD45,(1-(VLOOKUP($C45,'S3 - Screening Tool Metrics'!$C$3:$G$17,5,FALSE)/100))*AD45)</f>
        <v>144.01348953096019</v>
      </c>
      <c r="AG45" s="706">
        <f>IF($C45="other",$C40*AD45,(VLOOKUP($C45,'S3 - Screening Tool Metrics'!$C$3:$G$17,5,FALSE)/100)*AD45)</f>
        <v>336.03147557224037</v>
      </c>
      <c r="AH45" s="708">
        <f t="shared" si="37"/>
        <v>7.7337508762310785</v>
      </c>
      <c r="AI45" s="707">
        <f t="shared" si="38"/>
        <v>36020.020000000004</v>
      </c>
      <c r="AJ45" s="706">
        <f>VLOOKUP("*"&amp;$B45&amp;"*",'S4 - Summ PRS Characteristics'!$C$5:$Q$12,15,FALSE)*$J45</f>
        <v>123.2242311440135</v>
      </c>
      <c r="AK45" s="706">
        <f t="shared" si="42"/>
        <v>4221.7757688559868</v>
      </c>
      <c r="AL45" s="706">
        <f>IF($C45="other",(1-$C40)*AJ45,(1-(VLOOKUP($C45,'S3 - Screening Tool Metrics'!$C$3:$G$17,5,FALSE)/100))*AJ45)</f>
        <v>36.967269343204059</v>
      </c>
      <c r="AM45" s="706">
        <f>IF($C45="other",$C40*AJ45,(VLOOKUP($C45,'S3 - Screening Tool Metrics'!$C$3:$G$17,5,FALSE)/100)*AJ45)</f>
        <v>86.256961800809449</v>
      </c>
      <c r="AN45" s="709">
        <f t="shared" si="39"/>
        <v>1.9852005017447514</v>
      </c>
    </row>
    <row r="46" spans="2:40" ht="11" customHeight="1" x14ac:dyDescent="0.15">
      <c r="B46" s="700" t="s">
        <v>11</v>
      </c>
      <c r="C46" s="1082" t="str">
        <f>$C41</f>
        <v>FIT 20-50 µg/g threshold (CRC)</v>
      </c>
      <c r="D46" s="552" t="s">
        <v>197</v>
      </c>
      <c r="E46" s="710">
        <f>VLOOKUP($B46&amp;"_"&amp;$D46,'App5 - CRUK Inci Rates'!C:H,6,FALSE)</f>
        <v>198.3</v>
      </c>
      <c r="F46" s="711">
        <f>VLOOKUP($B46&amp;"_"&amp;$D46,'App5 - CRUK Inci Rates'!C:H,3,FALSE)</f>
        <v>119.1</v>
      </c>
      <c r="G46" s="712">
        <f>VLOOKUP($B46&amp;"_"&amp;$D46,'App5 - CRUK Inci Rates'!C:J,8,FALSE)</f>
        <v>3502183.333333333</v>
      </c>
      <c r="H46" s="713">
        <f>VLOOKUP($B46&amp;"_"&amp;$D46,'App5 - CRUK Inci Rates'!C:J,7,FALSE)</f>
        <v>1696993.3333333333</v>
      </c>
      <c r="I46" s="713">
        <f>VLOOKUP($B46&amp;"_"&amp;$D46,'App5 - CRUK Inci Rates'!C:J,4,FALSE)</f>
        <v>1805190</v>
      </c>
      <c r="J46" s="709">
        <f>VLOOKUP($B46&amp;"_"&amp;$D46,'App5 - CRUK Inci Rates'!C:K,9,FALSE)</f>
        <v>5516</v>
      </c>
      <c r="K46" s="706">
        <f t="shared" si="7"/>
        <v>1751091.6666666665</v>
      </c>
      <c r="L46" s="706">
        <f>VLOOKUP("*"&amp;$B46&amp;"*",'S4 - Summ PRS Characteristics'!$C$5:$Q$12,11,FALSE)*$J46</f>
        <v>3657.5531987126533</v>
      </c>
      <c r="M46" s="706">
        <f t="shared" si="8"/>
        <v>1858.4468012873467</v>
      </c>
      <c r="N46" s="706">
        <f>IF($C46="other",(1-$C$7)*L46,(1-(VLOOKUP($C46,'S3 - Screening Tool Metrics'!$C$3:$G$17,5,FALSE)/100))*L46)</f>
        <v>1097.2659596137962</v>
      </c>
      <c r="O46" s="706">
        <f>IF($C46="other",$C$7*L46,(VLOOKUP($C46,'S3 - Screening Tool Metrics'!$C$3:$G$17,5,FALSE)/100)*L46)</f>
        <v>2560.2872390988573</v>
      </c>
      <c r="P46" s="706">
        <f t="shared" si="9"/>
        <v>46.415649729856007</v>
      </c>
      <c r="Q46" s="707">
        <f t="shared" si="32"/>
        <v>700436.66666666663</v>
      </c>
      <c r="R46" s="706">
        <f>VLOOKUP("*"&amp;$B46&amp;"*",'S4 - Summ PRS Characteristics'!$C$5:$Q$12,12,FALSE)*$J46</f>
        <v>1858.749079004263</v>
      </c>
      <c r="S46" s="706">
        <f t="shared" si="40"/>
        <v>3657.250920995737</v>
      </c>
      <c r="T46" s="706">
        <f>IF($C46="other",(1-$C40)*R46,(1-(VLOOKUP($C46,'S3 - Screening Tool Metrics'!$C$3:$G$17,5,FALSE)/100))*R46)</f>
        <v>557.62472370127898</v>
      </c>
      <c r="U46" s="706">
        <f>IF($C46="other",$C40*R46,(VLOOKUP($C46,'S3 - Screening Tool Metrics'!$C$3:$G$17,5,FALSE)/100)*R46)</f>
        <v>1301.124355302984</v>
      </c>
      <c r="V46" s="708">
        <f t="shared" si="33"/>
        <v>23.588186281779986</v>
      </c>
      <c r="W46" s="707">
        <f t="shared" si="34"/>
        <v>350218.33333333331</v>
      </c>
      <c r="X46" s="706">
        <f>VLOOKUP("*"&amp;$B46&amp;"*",'S4 - Summ PRS Characteristics'!$C$5:$Q$12,13,FALSE)*$J46</f>
        <v>1074.0260816842608</v>
      </c>
      <c r="Y46" s="706">
        <f t="shared" si="41"/>
        <v>4441.973918315739</v>
      </c>
      <c r="Z46" s="706">
        <f>IF($C46="other",(1-$C40)*X46,(1-(VLOOKUP($C46,'S3 - Screening Tool Metrics'!$C$3:$G$17,5,FALSE)/100))*X46)</f>
        <v>322.20782450527827</v>
      </c>
      <c r="AA46" s="706">
        <f>IF($C46="other",$C40*X46,(VLOOKUP($C46,'S3 - Screening Tool Metrics'!$C$3:$G$17,5,FALSE)/100)*X46)</f>
        <v>751.81825717898255</v>
      </c>
      <c r="AB46" s="708">
        <f t="shared" si="35"/>
        <v>13.629772610206356</v>
      </c>
      <c r="AC46" s="707">
        <f t="shared" si="36"/>
        <v>175109.16666666666</v>
      </c>
      <c r="AD46" s="706">
        <f>VLOOKUP("*"&amp;$B46&amp;"*",'S4 - Summ PRS Characteristics'!$C$5:$Q$12,14,FALSE)*$J46</f>
        <v>609.41956904700896</v>
      </c>
      <c r="AE46" s="706">
        <f t="shared" si="43"/>
        <v>4906.5804309529913</v>
      </c>
      <c r="AF46" s="706">
        <f>IF($C46="other",(1-$C40)*AD46,(1-(VLOOKUP($C46,'S3 - Screening Tool Metrics'!$C$3:$G$17,5,FALSE)/100))*AD46)</f>
        <v>182.82587071410271</v>
      </c>
      <c r="AG46" s="706">
        <f>IF($C46="other",$C40*AD46,(VLOOKUP($C46,'S3 - Screening Tool Metrics'!$C$3:$G$17,5,FALSE)/100)*AD46)</f>
        <v>426.59369833290623</v>
      </c>
      <c r="AH46" s="708">
        <f t="shared" si="37"/>
        <v>7.7337508762310767</v>
      </c>
      <c r="AI46" s="707">
        <f t="shared" si="38"/>
        <v>35021.833333333328</v>
      </c>
      <c r="AJ46" s="706">
        <f>VLOOKUP("*"&amp;$B46&amp;"*",'S4 - Summ PRS Characteristics'!$C$5:$Q$12,15,FALSE)*$J46</f>
        <v>156.43379953748641</v>
      </c>
      <c r="AK46" s="706">
        <f t="shared" si="42"/>
        <v>5359.5662004625137</v>
      </c>
      <c r="AL46" s="706">
        <f>IF($C46="other",(1-$C40)*AJ46,(1-(VLOOKUP($C46,'S3 - Screening Tool Metrics'!$C$3:$G$17,5,FALSE)/100))*AJ46)</f>
        <v>46.930139861245927</v>
      </c>
      <c r="AM46" s="706">
        <f>IF($C46="other",$C40*AJ46,(VLOOKUP($C46,'S3 - Screening Tool Metrics'!$C$3:$G$17,5,FALSE)/100)*AJ46)</f>
        <v>109.50365967624047</v>
      </c>
      <c r="AN46" s="709">
        <f t="shared" si="39"/>
        <v>1.9852005017447512</v>
      </c>
    </row>
    <row r="47" spans="2:40" ht="11" customHeight="1" x14ac:dyDescent="0.15">
      <c r="B47" s="700" t="s">
        <v>11</v>
      </c>
      <c r="C47" s="1082" t="str">
        <f>$C41</f>
        <v>FIT 20-50 µg/g threshold (CRC)</v>
      </c>
      <c r="D47" s="552" t="s">
        <v>198</v>
      </c>
      <c r="E47" s="710">
        <f>VLOOKUP($B47&amp;"_"&amp;$D47,'App5 - CRUK Inci Rates'!C:H,6,FALSE)</f>
        <v>273.5</v>
      </c>
      <c r="F47" s="711">
        <f>VLOOKUP($B47&amp;"_"&amp;$D47,'App5 - CRUK Inci Rates'!C:H,3,FALSE)</f>
        <v>171.2</v>
      </c>
      <c r="G47" s="712">
        <f>VLOOKUP($B47&amp;"_"&amp;$D47,'App5 - CRUK Inci Rates'!C:J,8,FALSE)</f>
        <v>3071574.666666667</v>
      </c>
      <c r="H47" s="713">
        <f>VLOOKUP($B47&amp;"_"&amp;$D47,'App5 - CRUK Inci Rates'!C:J,7,FALSE)</f>
        <v>1467965</v>
      </c>
      <c r="I47" s="713">
        <f>VLOOKUP($B47&amp;"_"&amp;$D47,'App5 - CRUK Inci Rates'!C:J,4,FALSE)</f>
        <v>1603609.6666666667</v>
      </c>
      <c r="J47" s="709">
        <f>VLOOKUP($B47&amp;"_"&amp;$D47,'App5 - CRUK Inci Rates'!C:K,9,FALSE)</f>
        <v>6760</v>
      </c>
      <c r="K47" s="706">
        <f t="shared" si="7"/>
        <v>1535787.3333333335</v>
      </c>
      <c r="L47" s="706">
        <f>VLOOKUP("*"&amp;$B47&amp;"*",'S4 - Summ PRS Characteristics'!$C$5:$Q$12,11,FALSE)*$J47</f>
        <v>4482.4256024832375</v>
      </c>
      <c r="M47" s="706">
        <f t="shared" si="8"/>
        <v>2277.5743975167625</v>
      </c>
      <c r="N47" s="706">
        <f>IF($C47="other",(1-$C$7)*L47,(1-(VLOOKUP($C47,'S3 - Screening Tool Metrics'!$C$3:$G$17,5,FALSE)/100))*L47)</f>
        <v>1344.7276807449714</v>
      </c>
      <c r="O47" s="706">
        <f>IF($C47="other",$C$7*L47,(VLOOKUP($C47,'S3 - Screening Tool Metrics'!$C$3:$G$17,5,FALSE)/100)*L47)</f>
        <v>3137.6979217382659</v>
      </c>
      <c r="P47" s="706">
        <f t="shared" si="9"/>
        <v>46.415649729856007</v>
      </c>
      <c r="Q47" s="707">
        <f t="shared" si="32"/>
        <v>614314.93333333347</v>
      </c>
      <c r="R47" s="706">
        <f>VLOOKUP("*"&amp;$B47&amp;"*",'S4 - Summ PRS Characteristics'!$C$5:$Q$12,12,FALSE)*$J47</f>
        <v>2277.9448466404674</v>
      </c>
      <c r="S47" s="706">
        <f t="shared" si="40"/>
        <v>4482.0551533595326</v>
      </c>
      <c r="T47" s="706">
        <f>IF($C47="other",(1-$C40)*R47,(1-(VLOOKUP($C47,'S3 - Screening Tool Metrics'!$C$3:$G$17,5,FALSE)/100))*R47)</f>
        <v>683.38345399214029</v>
      </c>
      <c r="U47" s="706">
        <f>IF($C47="other",$C40*R47,(VLOOKUP($C47,'S3 - Screening Tool Metrics'!$C$3:$G$17,5,FALSE)/100)*R47)</f>
        <v>1594.561392648327</v>
      </c>
      <c r="V47" s="708">
        <f t="shared" si="33"/>
        <v>23.588186281779986</v>
      </c>
      <c r="W47" s="707">
        <f t="shared" si="34"/>
        <v>307157.46666666673</v>
      </c>
      <c r="X47" s="706">
        <f>VLOOKUP("*"&amp;$B47&amp;"*",'S4 - Summ PRS Characteristics'!$C$5:$Q$12,13,FALSE)*$J47</f>
        <v>1316.2466120713568</v>
      </c>
      <c r="Y47" s="706">
        <f t="shared" si="41"/>
        <v>5443.753387928643</v>
      </c>
      <c r="Z47" s="706">
        <f>IF($C47="other",(1-$C40)*X47,(1-(VLOOKUP($C47,'S3 - Screening Tool Metrics'!$C$3:$G$17,5,FALSE)/100))*X47)</f>
        <v>394.87398362140709</v>
      </c>
      <c r="AA47" s="706">
        <f>IF($C47="other",$C40*X47,(VLOOKUP($C47,'S3 - Screening Tool Metrics'!$C$3:$G$17,5,FALSE)/100)*X47)</f>
        <v>921.37262844994973</v>
      </c>
      <c r="AB47" s="708">
        <f t="shared" si="35"/>
        <v>13.629772610206356</v>
      </c>
      <c r="AC47" s="707">
        <f t="shared" si="36"/>
        <v>153578.73333333337</v>
      </c>
      <c r="AD47" s="706">
        <f>VLOOKUP("*"&amp;$B47&amp;"*",'S4 - Summ PRS Characteristics'!$C$5:$Q$12,14,FALSE)*$J47</f>
        <v>746.85937033317271</v>
      </c>
      <c r="AE47" s="706">
        <f t="shared" si="43"/>
        <v>6013.1406296668274</v>
      </c>
      <c r="AF47" s="706">
        <f>IF($C47="other",(1-$C40)*AD47,(1-(VLOOKUP($C47,'S3 - Screening Tool Metrics'!$C$3:$G$17,5,FALSE)/100))*AD47)</f>
        <v>224.05781109995183</v>
      </c>
      <c r="AG47" s="706">
        <f>IF($C47="other",$C40*AD47,(VLOOKUP($C47,'S3 - Screening Tool Metrics'!$C$3:$G$17,5,FALSE)/100)*AD47)</f>
        <v>522.80155923322081</v>
      </c>
      <c r="AH47" s="708">
        <f t="shared" si="37"/>
        <v>7.7337508762310767</v>
      </c>
      <c r="AI47" s="707">
        <f t="shared" si="38"/>
        <v>30715.74666666667</v>
      </c>
      <c r="AJ47" s="706">
        <f>VLOOKUP("*"&amp;$B47&amp;"*",'S4 - Summ PRS Characteristics'!$C$5:$Q$12,15,FALSE)*$J47</f>
        <v>191.71364845420743</v>
      </c>
      <c r="AK47" s="706">
        <f t="shared" si="42"/>
        <v>6568.286351545793</v>
      </c>
      <c r="AL47" s="706">
        <f>IF($C47="other",(1-$C40)*AJ47,(1-(VLOOKUP($C47,'S3 - Screening Tool Metrics'!$C$3:$G$17,5,FALSE)/100))*AJ47)</f>
        <v>57.514094536262235</v>
      </c>
      <c r="AM47" s="706">
        <f>IF($C47="other",$C40*AJ47,(VLOOKUP($C47,'S3 - Screening Tool Metrics'!$C$3:$G$17,5,FALSE)/100)*AJ47)</f>
        <v>134.1995539179452</v>
      </c>
      <c r="AN47" s="709">
        <f t="shared" si="39"/>
        <v>1.9852005017447514</v>
      </c>
    </row>
    <row r="48" spans="2:40" ht="11" customHeight="1" x14ac:dyDescent="0.15">
      <c r="B48" s="700" t="s">
        <v>11</v>
      </c>
      <c r="C48" s="1082" t="str">
        <f>$C41</f>
        <v>FIT 20-50 µg/g threshold (CRC)</v>
      </c>
      <c r="D48" s="552" t="s">
        <v>199</v>
      </c>
      <c r="E48" s="710">
        <f>VLOOKUP($B48&amp;"_"&amp;$D48,'App5 - CRUK Inci Rates'!C:H,6,FALSE)</f>
        <v>351.7</v>
      </c>
      <c r="F48" s="711">
        <f>VLOOKUP($B48&amp;"_"&amp;$D48,'App5 - CRUK Inci Rates'!C:H,3,FALSE)</f>
        <v>234.8</v>
      </c>
      <c r="G48" s="712">
        <f>VLOOKUP($B48&amp;"_"&amp;$D48,'App5 - CRUK Inci Rates'!C:J,8,FALSE)</f>
        <v>2189010.6666666665</v>
      </c>
      <c r="H48" s="713">
        <f>VLOOKUP($B48&amp;"_"&amp;$D48,'App5 - CRUK Inci Rates'!C:J,7,FALSE)</f>
        <v>1007365.3333333334</v>
      </c>
      <c r="I48" s="713">
        <f>VLOOKUP($B48&amp;"_"&amp;$D48,'App5 - CRUK Inci Rates'!C:J,4,FALSE)</f>
        <v>1181645.3333333333</v>
      </c>
      <c r="J48" s="709">
        <f>VLOOKUP($B48&amp;"_"&amp;$D48,'App5 - CRUK Inci Rates'!C:K,9,FALSE)</f>
        <v>6318</v>
      </c>
      <c r="K48" s="706">
        <f t="shared" si="7"/>
        <v>1094505.3333333333</v>
      </c>
      <c r="L48" s="706">
        <f>VLOOKUP("*"&amp;$B48&amp;"*",'S4 - Summ PRS Characteristics'!$C$5:$Q$12,11,FALSE)*$J48</f>
        <v>4189.3439284747183</v>
      </c>
      <c r="M48" s="706">
        <f t="shared" si="8"/>
        <v>2128.6560715252817</v>
      </c>
      <c r="N48" s="706">
        <f>IF($C48="other",(1-$C$7)*L48,(1-(VLOOKUP($C48,'S3 - Screening Tool Metrics'!$C$3:$G$17,5,FALSE)/100))*L48)</f>
        <v>1256.8031785424157</v>
      </c>
      <c r="O48" s="706">
        <f>IF($C48="other",$C$7*L48,(VLOOKUP($C48,'S3 - Screening Tool Metrics'!$C$3:$G$17,5,FALSE)/100)*L48)</f>
        <v>2932.5407499323028</v>
      </c>
      <c r="P48" s="706">
        <f t="shared" si="9"/>
        <v>46.415649729856014</v>
      </c>
      <c r="Q48" s="707">
        <f t="shared" si="32"/>
        <v>437802.1333333333</v>
      </c>
      <c r="R48" s="706">
        <f>VLOOKUP("*"&amp;$B48&amp;"*",'S4 - Summ PRS Characteristics'!$C$5:$Q$12,12,FALSE)*$J48</f>
        <v>2129.0022989755139</v>
      </c>
      <c r="S48" s="706">
        <f t="shared" si="40"/>
        <v>4188.9977010244857</v>
      </c>
      <c r="T48" s="706">
        <f>IF($C48="other",(1-$C40)*R48,(1-(VLOOKUP($C48,'S3 - Screening Tool Metrics'!$C$3:$G$17,5,FALSE)/100))*R48)</f>
        <v>638.70068969265424</v>
      </c>
      <c r="U48" s="706">
        <f>IF($C48="other",$C40*R48,(VLOOKUP($C48,'S3 - Screening Tool Metrics'!$C$3:$G$17,5,FALSE)/100)*R48)</f>
        <v>1490.3016092828595</v>
      </c>
      <c r="V48" s="708">
        <f t="shared" si="33"/>
        <v>23.588186281779986</v>
      </c>
      <c r="W48" s="707">
        <f t="shared" si="34"/>
        <v>218901.06666666665</v>
      </c>
      <c r="X48" s="706">
        <f>VLOOKUP("*"&amp;$B48&amp;"*",'S4 - Summ PRS Characteristics'!$C$5:$Q$12,13,FALSE)*$J48</f>
        <v>1230.1843335897679</v>
      </c>
      <c r="Y48" s="706">
        <f t="shared" si="41"/>
        <v>5087.8156664102316</v>
      </c>
      <c r="Z48" s="706">
        <f>IF($C48="other",(1-$C40)*X48,(1-(VLOOKUP($C48,'S3 - Screening Tool Metrics'!$C$3:$G$17,5,FALSE)/100))*X48)</f>
        <v>369.05530007693045</v>
      </c>
      <c r="AA48" s="706">
        <f>IF($C48="other",$C40*X48,(VLOOKUP($C48,'S3 - Screening Tool Metrics'!$C$3:$G$17,5,FALSE)/100)*X48)</f>
        <v>861.12903351283751</v>
      </c>
      <c r="AB48" s="708">
        <f t="shared" si="35"/>
        <v>13.629772610206356</v>
      </c>
      <c r="AC48" s="707">
        <f t="shared" si="36"/>
        <v>109450.53333333333</v>
      </c>
      <c r="AD48" s="706">
        <f>VLOOKUP("*"&amp;$B48&amp;"*",'S4 - Summ PRS Characteristics'!$C$5:$Q$12,14,FALSE)*$J48</f>
        <v>698.02625765754215</v>
      </c>
      <c r="AE48" s="706">
        <f t="shared" si="43"/>
        <v>5619.9737423424576</v>
      </c>
      <c r="AF48" s="706">
        <f>IF($C48="other",(1-$C40)*AD48,(1-(VLOOKUP($C48,'S3 - Screening Tool Metrics'!$C$3:$G$17,5,FALSE)/100))*AD48)</f>
        <v>209.40787729726267</v>
      </c>
      <c r="AG48" s="706">
        <f>IF($C48="other",$C40*AD48,(VLOOKUP($C48,'S3 - Screening Tool Metrics'!$C$3:$G$17,5,FALSE)/100)*AD48)</f>
        <v>488.61838036027945</v>
      </c>
      <c r="AH48" s="708">
        <f t="shared" si="37"/>
        <v>7.7337508762310767</v>
      </c>
      <c r="AI48" s="707">
        <f t="shared" si="38"/>
        <v>21890.106666666667</v>
      </c>
      <c r="AJ48" s="706">
        <f>VLOOKUP("*"&amp;$B48&amp;"*",'S4 - Summ PRS Characteristics'!$C$5:$Q$12,15,FALSE)*$J48</f>
        <v>179.17852528604772</v>
      </c>
      <c r="AK48" s="706">
        <f t="shared" si="42"/>
        <v>6138.8214747139518</v>
      </c>
      <c r="AL48" s="706">
        <f>IF($C48="other",(1-$C40)*AJ48,(1-(VLOOKUP($C48,'S3 - Screening Tool Metrics'!$C$3:$G$17,5,FALSE)/100))*AJ48)</f>
        <v>53.75355758581432</v>
      </c>
      <c r="AM48" s="706">
        <f>IF($C48="other",$C40*AJ48,(VLOOKUP($C48,'S3 - Screening Tool Metrics'!$C$3:$G$17,5,FALSE)/100)*AJ48)</f>
        <v>125.4249677002334</v>
      </c>
      <c r="AN48" s="709">
        <f t="shared" si="39"/>
        <v>1.9852005017447514</v>
      </c>
    </row>
    <row r="49" spans="2:40" ht="11" customHeight="1" x14ac:dyDescent="0.15">
      <c r="B49" s="700" t="s">
        <v>11</v>
      </c>
      <c r="C49" s="1082" t="str">
        <f>$C41</f>
        <v>FIT 20-50 µg/g threshold (CRC)</v>
      </c>
      <c r="D49" s="552" t="s">
        <v>200</v>
      </c>
      <c r="E49" s="710">
        <f>VLOOKUP($B49&amp;"_"&amp;$D49,'App5 - CRUK Inci Rates'!C:H,6,FALSE)</f>
        <v>80.808733585157356</v>
      </c>
      <c r="F49" s="711">
        <f>VLOOKUP($B49&amp;"_"&amp;$D49,'App5 - CRUK Inci Rates'!C:H,3,FALSE)</f>
        <v>54.095614158070582</v>
      </c>
      <c r="G49" s="712">
        <f>VLOOKUP($B49&amp;"_"&amp;$D49,'App5 - CRUK Inci Rates'!C:J,8,FALSE)</f>
        <v>24586669.333333336</v>
      </c>
      <c r="H49" s="713">
        <f>VLOOKUP($B49&amp;"_"&amp;$D49,'App5 - CRUK Inci Rates'!C:J,7,FALSE)</f>
        <v>12090277.333333334</v>
      </c>
      <c r="I49" s="713">
        <f>VLOOKUP($B49&amp;"_"&amp;$D49,'App5 - CRUK Inci Rates'!C:J,4,FALSE)</f>
        <v>12496392</v>
      </c>
      <c r="J49" s="709">
        <f>VLOOKUP($B49&amp;"_"&amp;$D49,'App5 - CRUK Inci Rates'!C:K,9,FALSE)</f>
        <v>16530</v>
      </c>
      <c r="K49" s="706">
        <f t="shared" si="7"/>
        <v>12293334.666666668</v>
      </c>
      <c r="L49" s="706">
        <f>VLOOKUP("*"&amp;$B49&amp;"*",'S4 - Summ PRS Characteristics'!$C$5:$Q$12,11,FALSE)*$J49</f>
        <v>10960.724143350282</v>
      </c>
      <c r="M49" s="706">
        <f t="shared" si="8"/>
        <v>5569.2758566497178</v>
      </c>
      <c r="N49" s="706">
        <f>IF($C49="other",(1-$C$7)*L49,(1-(VLOOKUP($C49,'S3 - Screening Tool Metrics'!$C$3:$G$17,5,FALSE)/100))*L49)</f>
        <v>3288.217243005085</v>
      </c>
      <c r="O49" s="706">
        <f>IF($C49="other",$C$7*L49,(VLOOKUP($C49,'S3 - Screening Tool Metrics'!$C$3:$G$17,5,FALSE)/100)*L49)</f>
        <v>7672.5069003451972</v>
      </c>
      <c r="P49" s="706">
        <f t="shared" si="9"/>
        <v>46.415649729856</v>
      </c>
      <c r="Q49" s="707">
        <f t="shared" si="32"/>
        <v>4917333.8666666672</v>
      </c>
      <c r="R49" s="706">
        <f>VLOOKUP("*"&amp;$B49&amp;"*",'S4 - Summ PRS Characteristics'!$C$5:$Q$12,12,FALSE)*$J49</f>
        <v>5570.1817033974739</v>
      </c>
      <c r="S49" s="706">
        <f t="shared" si="40"/>
        <v>10959.818296602527</v>
      </c>
      <c r="T49" s="706">
        <f>IF($C49="other",(1-$C40)*R49,(1-(VLOOKUP($C49,'S3 - Screening Tool Metrics'!$C$3:$G$17,5,FALSE)/100))*R49)</f>
        <v>1671.0545110192425</v>
      </c>
      <c r="U49" s="706">
        <f>IF($C49="other",$C40*R49,(VLOOKUP($C49,'S3 - Screening Tool Metrics'!$C$3:$G$17,5,FALSE)/100)*R49)</f>
        <v>3899.1271923782315</v>
      </c>
      <c r="V49" s="708">
        <f t="shared" si="33"/>
        <v>23.588186281779986</v>
      </c>
      <c r="W49" s="707">
        <f t="shared" si="34"/>
        <v>2458666.9333333336</v>
      </c>
      <c r="X49" s="706">
        <f>VLOOKUP("*"&amp;$B49&amp;"*",'S4 - Summ PRS Characteristics'!$C$5:$Q$12,13,FALSE)*$J49</f>
        <v>3218.5734463815866</v>
      </c>
      <c r="Y49" s="706">
        <f t="shared" si="41"/>
        <v>13311.426553618414</v>
      </c>
      <c r="Z49" s="706">
        <f>IF($C49="other",(1-$C40)*X49,(1-(VLOOKUP($C49,'S3 - Screening Tool Metrics'!$C$3:$G$17,5,FALSE)/100))*X49)</f>
        <v>965.57203391447615</v>
      </c>
      <c r="AA49" s="706">
        <f>IF($C49="other",$C40*X49,(VLOOKUP($C49,'S3 - Screening Tool Metrics'!$C$3:$G$17,5,FALSE)/100)*X49)</f>
        <v>2253.0014124671106</v>
      </c>
      <c r="AB49" s="708">
        <f t="shared" si="35"/>
        <v>13.629772610206356</v>
      </c>
      <c r="AC49" s="707">
        <f t="shared" si="36"/>
        <v>1229333.4666666668</v>
      </c>
      <c r="AD49" s="706">
        <f>VLOOKUP("*"&amp;$B49&amp;"*",'S4 - Summ PRS Characteristics'!$C$5:$Q$12,14,FALSE)*$J49</f>
        <v>1826.2700283442819</v>
      </c>
      <c r="AE49" s="706">
        <f t="shared" si="43"/>
        <v>14703.729971655717</v>
      </c>
      <c r="AF49" s="706">
        <f>IF($C49="other",(1-$C40)*AD49,(1-(VLOOKUP($C49,'S3 - Screening Tool Metrics'!$C$3:$G$17,5,FALSE)/100))*AD49)</f>
        <v>547.88100850328465</v>
      </c>
      <c r="AG49" s="706">
        <f>IF($C49="other",$C40*AD49,(VLOOKUP($C49,'S3 - Screening Tool Metrics'!$C$3:$G$17,5,FALSE)/100)*AD49)</f>
        <v>1278.3890198409972</v>
      </c>
      <c r="AH49" s="708">
        <f t="shared" si="37"/>
        <v>7.7337508762310785</v>
      </c>
      <c r="AI49" s="707">
        <f t="shared" si="38"/>
        <v>245866.69333333336</v>
      </c>
      <c r="AJ49" s="706">
        <f>VLOOKUP("*"&amp;$B49&amp;"*",'S4 - Summ PRS Characteristics'!$C$5:$Q$12,15,FALSE)*$J49</f>
        <v>468.79091848343916</v>
      </c>
      <c r="AK49" s="706">
        <f t="shared" si="42"/>
        <v>16061.209081516561</v>
      </c>
      <c r="AL49" s="706">
        <f>IF($C49="other",(1-$C40)*AJ49,(1-(VLOOKUP($C49,'S3 - Screening Tool Metrics'!$C$3:$G$17,5,FALSE)/100))*AJ49)</f>
        <v>140.63727554503177</v>
      </c>
      <c r="AM49" s="706">
        <f>IF($C49="other",$C40*AJ49,(VLOOKUP($C49,'S3 - Screening Tool Metrics'!$C$3:$G$17,5,FALSE)/100)*AJ49)</f>
        <v>328.15364293840742</v>
      </c>
      <c r="AN49" s="709">
        <f t="shared" si="39"/>
        <v>1.9852005017447514</v>
      </c>
    </row>
    <row r="50" spans="2:40" ht="11" customHeight="1" x14ac:dyDescent="0.15">
      <c r="B50" s="700" t="s">
        <v>11</v>
      </c>
      <c r="C50" s="1082" t="str">
        <f>$C41</f>
        <v>FIT 20-50 µg/g threshold (CRC)</v>
      </c>
      <c r="D50" s="552" t="s">
        <v>201</v>
      </c>
      <c r="E50" s="710">
        <f>VLOOKUP($B50&amp;"_"&amp;$D50,'App5 - CRUK Inci Rates'!C:H,6,FALSE)</f>
        <v>19.704826996143439</v>
      </c>
      <c r="F50" s="711">
        <f>VLOOKUP($B50&amp;"_"&amp;$D50,'App5 - CRUK Inci Rates'!C:H,3,FALSE)</f>
        <v>17.735760510936363</v>
      </c>
      <c r="G50" s="712">
        <f>VLOOKUP($B50&amp;"_"&amp;$D50,'App5 - CRUK Inci Rates'!C:J,8,FALSE)</f>
        <v>8642767.333333334</v>
      </c>
      <c r="H50" s="713">
        <f>VLOOKUP($B50&amp;"_"&amp;$D50,'App5 - CRUK Inci Rates'!C:J,7,FALSE)</f>
        <v>4273064.666666667</v>
      </c>
      <c r="I50" s="713">
        <f>VLOOKUP($B50&amp;"_"&amp;$D50,'App5 - CRUK Inci Rates'!C:J,4,FALSE)</f>
        <v>4369702.666666667</v>
      </c>
      <c r="J50" s="709">
        <f>VLOOKUP($B50&amp;"_"&amp;$D50,'App5 - CRUK Inci Rates'!C:K,9,FALSE)</f>
        <v>1617</v>
      </c>
      <c r="K50" s="706">
        <f t="shared" si="7"/>
        <v>4321383.666666667</v>
      </c>
      <c r="L50" s="706">
        <f>VLOOKUP("*"&amp;$B50&amp;"*",'S4 - Summ PRS Characteristics'!$C$5:$Q$12,11,FALSE)*$J50</f>
        <v>1072.2015087596737</v>
      </c>
      <c r="M50" s="706">
        <f t="shared" si="8"/>
        <v>544.79849124032626</v>
      </c>
      <c r="N50" s="706">
        <f>IF($C50="other",(1-$C$7)*L50,(1-(VLOOKUP($C50,'S3 - Screening Tool Metrics'!$C$3:$G$17,5,FALSE)/100))*L50)</f>
        <v>321.66045262790215</v>
      </c>
      <c r="O50" s="706">
        <f>IF($C50="other",$C$7*L50,(VLOOKUP($C50,'S3 - Screening Tool Metrics'!$C$3:$G$17,5,FALSE)/100)*L50)</f>
        <v>750.5410561317716</v>
      </c>
      <c r="P50" s="706">
        <f t="shared" si="9"/>
        <v>46.415649729856007</v>
      </c>
      <c r="Q50" s="707">
        <f t="shared" si="32"/>
        <v>1728553.4666666668</v>
      </c>
      <c r="R50" s="706">
        <f>VLOOKUP("*"&amp;$B50&amp;"*",'S4 - Summ PRS Characteristics'!$C$5:$Q$12,12,FALSE)*$J50</f>
        <v>544.88710310911767</v>
      </c>
      <c r="S50" s="706">
        <f t="shared" si="40"/>
        <v>1072.1128968908824</v>
      </c>
      <c r="T50" s="706">
        <f>IF($C50="other",(1-$C40)*R50,(1-(VLOOKUP($C50,'S3 - Screening Tool Metrics'!$C$3:$G$17,5,FALSE)/100))*R50)</f>
        <v>163.46613093273533</v>
      </c>
      <c r="U50" s="706">
        <f>IF($C50="other",$C40*R50,(VLOOKUP($C50,'S3 - Screening Tool Metrics'!$C$3:$G$17,5,FALSE)/100)*R50)</f>
        <v>381.42097217638235</v>
      </c>
      <c r="V50" s="708">
        <f t="shared" si="33"/>
        <v>23.588186281779986</v>
      </c>
      <c r="W50" s="707">
        <f t="shared" si="34"/>
        <v>864276.7333333334</v>
      </c>
      <c r="X50" s="706">
        <f>VLOOKUP("*"&amp;$B50&amp;"*",'S4 - Summ PRS Characteristics'!$C$5:$Q$12,13,FALSE)*$J50</f>
        <v>314.84774729576685</v>
      </c>
      <c r="Y50" s="706">
        <f t="shared" si="41"/>
        <v>1302.1522527042332</v>
      </c>
      <c r="Z50" s="706">
        <f>IF($C50="other",(1-$C40)*X50,(1-(VLOOKUP($C50,'S3 - Screening Tool Metrics'!$C$3:$G$17,5,FALSE)/100))*X50)</f>
        <v>94.45432418873007</v>
      </c>
      <c r="AA50" s="706">
        <f>IF($C50="other",$C40*X50,(VLOOKUP($C50,'S3 - Screening Tool Metrics'!$C$3:$G$17,5,FALSE)/100)*X50)</f>
        <v>220.3934231070368</v>
      </c>
      <c r="AB50" s="708">
        <f t="shared" si="35"/>
        <v>13.629772610206356</v>
      </c>
      <c r="AC50" s="707">
        <f t="shared" si="36"/>
        <v>432138.3666666667</v>
      </c>
      <c r="AD50" s="706">
        <f>VLOOKUP("*"&amp;$B50&amp;"*",'S4 - Summ PRS Characteristics'!$C$5:$Q$12,14,FALSE)*$J50</f>
        <v>178.6496452409379</v>
      </c>
      <c r="AE50" s="706">
        <f t="shared" si="43"/>
        <v>1438.3503547590622</v>
      </c>
      <c r="AF50" s="706">
        <f>IF($C50="other",(1-$C40)*AD50,(1-(VLOOKUP($C50,'S3 - Screening Tool Metrics'!$C$3:$G$17,5,FALSE)/100))*AD50)</f>
        <v>53.594893572281379</v>
      </c>
      <c r="AG50" s="706">
        <f>IF($C50="other",$C40*AD50,(VLOOKUP($C50,'S3 - Screening Tool Metrics'!$C$3:$G$17,5,FALSE)/100)*AD50)</f>
        <v>125.05475166865652</v>
      </c>
      <c r="AH50" s="708">
        <f t="shared" si="37"/>
        <v>7.7337508762310767</v>
      </c>
      <c r="AI50" s="707">
        <f t="shared" si="38"/>
        <v>86427.67333333334</v>
      </c>
      <c r="AJ50" s="706">
        <f>VLOOKUP("*"&amp;$B50&amp;"*",'S4 - Summ PRS Characteristics'!$C$5:$Q$12,15,FALSE)*$J50</f>
        <v>45.858131590303756</v>
      </c>
      <c r="AK50" s="706">
        <f t="shared" si="42"/>
        <v>1571.1418684096961</v>
      </c>
      <c r="AL50" s="706">
        <f>IF($C50="other",(1-$C40)*AJ50,(1-(VLOOKUP($C50,'S3 - Screening Tool Metrics'!$C$3:$G$17,5,FALSE)/100))*AJ50)</f>
        <v>13.757439477091129</v>
      </c>
      <c r="AM50" s="706">
        <f>IF($C50="other",$C40*AJ50,(VLOOKUP($C50,'S3 - Screening Tool Metrics'!$C$3:$G$17,5,FALSE)/100)*AJ50)</f>
        <v>32.100692113212631</v>
      </c>
      <c r="AN50" s="709">
        <f t="shared" si="39"/>
        <v>1.9852005017447514</v>
      </c>
    </row>
    <row r="51" spans="2:40" ht="11" customHeight="1" x14ac:dyDescent="0.15">
      <c r="B51" s="700" t="s">
        <v>11</v>
      </c>
      <c r="C51" s="1082" t="str">
        <f>$C41</f>
        <v>FIT 20-50 µg/g threshold (CRC)</v>
      </c>
      <c r="D51" s="552" t="s">
        <v>202</v>
      </c>
      <c r="E51" s="710">
        <f>VLOOKUP($B51&amp;"_"&amp;$D51,'App5 - CRUK Inci Rates'!C:H,6,FALSE)</f>
        <v>66.354542653419429</v>
      </c>
      <c r="F51" s="711">
        <f>VLOOKUP($B51&amp;"_"&amp;$D51,'App5 - CRUK Inci Rates'!C:H,3,FALSE)</f>
        <v>48.212380665809548</v>
      </c>
      <c r="G51" s="712">
        <f>VLOOKUP($B51&amp;"_"&amp;$D51,'App5 - CRUK Inci Rates'!C:J,8,FALSE)</f>
        <v>8839716.6666666679</v>
      </c>
      <c r="H51" s="713">
        <f>VLOOKUP($B51&amp;"_"&amp;$D51,'App5 - CRUK Inci Rates'!C:J,7,FALSE)</f>
        <v>4355391.333333333</v>
      </c>
      <c r="I51" s="713">
        <f>VLOOKUP($B51&amp;"_"&amp;$D51,'App5 - CRUK Inci Rates'!C:J,4,FALSE)</f>
        <v>4484325.333333334</v>
      </c>
      <c r="J51" s="709">
        <f>VLOOKUP($B51&amp;"_"&amp;$D51,'App5 - CRUK Inci Rates'!C:K,9,FALSE)</f>
        <v>5052</v>
      </c>
      <c r="K51" s="706">
        <f t="shared" si="7"/>
        <v>4419858.333333334</v>
      </c>
      <c r="L51" s="706">
        <f>VLOOKUP("*"&amp;$B51&amp;"*",'S4 - Summ PRS Characteristics'!$C$5:$Q$12,11,FALSE)*$J51</f>
        <v>3349.8837490747505</v>
      </c>
      <c r="M51" s="706">
        <f t="shared" si="8"/>
        <v>1702.1162509252495</v>
      </c>
      <c r="N51" s="706">
        <f>IF($C51="other",(1-$C$7)*L51,(1-(VLOOKUP($C51,'S3 - Screening Tool Metrics'!$C$3:$G$17,5,FALSE)/100))*L51)</f>
        <v>1004.9651247224253</v>
      </c>
      <c r="O51" s="706">
        <f>IF($C51="other",$C$7*L51,(VLOOKUP($C51,'S3 - Screening Tool Metrics'!$C$3:$G$17,5,FALSE)/100)*L51)</f>
        <v>2344.9186243523254</v>
      </c>
      <c r="P51" s="706">
        <f t="shared" si="9"/>
        <v>46.415649729856007</v>
      </c>
      <c r="Q51" s="707">
        <f t="shared" si="32"/>
        <v>1767943.3333333337</v>
      </c>
      <c r="R51" s="706">
        <f>VLOOKUP("*"&amp;$B51&amp;"*",'S4 - Summ PRS Characteristics'!$C$5:$Q$12,12,FALSE)*$J51</f>
        <v>1702.3931013650356</v>
      </c>
      <c r="S51" s="706">
        <f t="shared" si="40"/>
        <v>3349.6068986349646</v>
      </c>
      <c r="T51" s="706">
        <f>IF($C51="other",(1-$C40)*R51,(1-(VLOOKUP($C51,'S3 - Screening Tool Metrics'!$C$3:$G$17,5,FALSE)/100))*R51)</f>
        <v>510.71793040951076</v>
      </c>
      <c r="U51" s="706">
        <f>IF($C51="other",$C40*R51,(VLOOKUP($C51,'S3 - Screening Tool Metrics'!$C$3:$G$17,5,FALSE)/100)*R51)</f>
        <v>1191.6751709555249</v>
      </c>
      <c r="V51" s="708">
        <f t="shared" si="33"/>
        <v>23.588186281779986</v>
      </c>
      <c r="W51" s="707">
        <f t="shared" si="34"/>
        <v>883971.66666666686</v>
      </c>
      <c r="X51" s="706">
        <f>VLOOKUP("*"&amp;$B51&amp;"*",'S4 - Summ PRS Characteristics'!$C$5:$Q$12,13,FALSE)*$J51</f>
        <v>983.68016038232167</v>
      </c>
      <c r="Y51" s="706">
        <f t="shared" si="41"/>
        <v>4068.3198396176786</v>
      </c>
      <c r="Z51" s="706">
        <f>IF($C51="other",(1-$C40)*X51,(1-(VLOOKUP($C51,'S3 - Screening Tool Metrics'!$C$3:$G$17,5,FALSE)/100))*X51)</f>
        <v>295.10404811469652</v>
      </c>
      <c r="AA51" s="706">
        <f>IF($C51="other",$C40*X51,(VLOOKUP($C51,'S3 - Screening Tool Metrics'!$C$3:$G$17,5,FALSE)/100)*X51)</f>
        <v>688.57611226762515</v>
      </c>
      <c r="AB51" s="708">
        <f t="shared" si="35"/>
        <v>13.629772610206356</v>
      </c>
      <c r="AC51" s="707">
        <f t="shared" si="36"/>
        <v>441985.83333333343</v>
      </c>
      <c r="AD51" s="706">
        <f>VLOOKUP("*"&amp;$B51&amp;"*",'S4 - Summ PRS Characteristics'!$C$5:$Q$12,14,FALSE)*$J51</f>
        <v>558.15584895313441</v>
      </c>
      <c r="AE51" s="706">
        <f t="shared" si="43"/>
        <v>4493.8441510468656</v>
      </c>
      <c r="AF51" s="706">
        <f>IF($C51="other",(1-$C40)*AD51,(1-(VLOOKUP($C51,'S3 - Screening Tool Metrics'!$C$3:$G$17,5,FALSE)/100))*AD51)</f>
        <v>167.44675468594033</v>
      </c>
      <c r="AG51" s="706">
        <f>IF($C51="other",$C40*AD51,(VLOOKUP($C51,'S3 - Screening Tool Metrics'!$C$3:$G$17,5,FALSE)/100)*AD51)</f>
        <v>390.70909426719408</v>
      </c>
      <c r="AH51" s="708">
        <f t="shared" si="37"/>
        <v>7.7337508762310785</v>
      </c>
      <c r="AI51" s="707">
        <f t="shared" si="38"/>
        <v>88397.166666666686</v>
      </c>
      <c r="AJ51" s="706">
        <f>VLOOKUP("*"&amp;$B51&amp;"*",'S4 - Summ PRS Characteristics'!$C$5:$Q$12,15,FALSE)*$J51</f>
        <v>143.27475621163549</v>
      </c>
      <c r="AK51" s="706">
        <f t="shared" si="42"/>
        <v>4908.7252437883644</v>
      </c>
      <c r="AL51" s="706">
        <f>IF($C51="other",(1-$C40)*AJ51,(1-(VLOOKUP($C51,'S3 - Screening Tool Metrics'!$C$3:$G$17,5,FALSE)/100))*AJ51)</f>
        <v>42.982426863490652</v>
      </c>
      <c r="AM51" s="706">
        <f>IF($C51="other",$C40*AJ51,(VLOOKUP($C51,'S3 - Screening Tool Metrics'!$C$3:$G$17,5,FALSE)/100)*AJ51)</f>
        <v>100.29232934814483</v>
      </c>
      <c r="AN51" s="709">
        <f t="shared" si="39"/>
        <v>1.9852005017447512</v>
      </c>
    </row>
    <row r="52" spans="2:40" ht="11" customHeight="1" x14ac:dyDescent="0.15">
      <c r="B52" s="700" t="s">
        <v>11</v>
      </c>
      <c r="C52" s="1082" t="str">
        <f>$C41</f>
        <v>FIT 20-50 µg/g threshold (CRC)</v>
      </c>
      <c r="D52" s="552" t="s">
        <v>203</v>
      </c>
      <c r="E52" s="710">
        <f>VLOOKUP($B52&amp;"_"&amp;$D52,'App5 - CRUK Inci Rates'!C:H,6,FALSE)</f>
        <v>114.20950638927653</v>
      </c>
      <c r="F52" s="711">
        <f>VLOOKUP($B52&amp;"_"&amp;$D52,'App5 - CRUK Inci Rates'!C:H,3,FALSE)</f>
        <v>73.646226089279153</v>
      </c>
      <c r="G52" s="712">
        <f>VLOOKUP($B52&amp;"_"&amp;$D52,'App5 - CRUK Inci Rates'!C:J,8,FALSE)</f>
        <v>15943902</v>
      </c>
      <c r="H52" s="713">
        <f>VLOOKUP($B52&amp;"_"&amp;$D52,'App5 - CRUK Inci Rates'!C:J,7,FALSE)</f>
        <v>7817212.666666666</v>
      </c>
      <c r="I52" s="713">
        <f>VLOOKUP($B52&amp;"_"&amp;$D52,'App5 - CRUK Inci Rates'!C:J,4,FALSE)</f>
        <v>8126689.333333334</v>
      </c>
      <c r="J52" s="709">
        <f>VLOOKUP($B52&amp;"_"&amp;$D52,'App5 - CRUK Inci Rates'!C:K,9,FALSE)</f>
        <v>14913</v>
      </c>
      <c r="K52" s="706">
        <f t="shared" si="7"/>
        <v>7971951</v>
      </c>
      <c r="L52" s="706">
        <f>VLOOKUP("*"&amp;$B52&amp;"*",'S4 - Summ PRS Characteristics'!$C$5:$Q$12,11,FALSE)*$J52</f>
        <v>9888.5226345906085</v>
      </c>
      <c r="M52" s="706">
        <f t="shared" si="8"/>
        <v>5024.4773654093915</v>
      </c>
      <c r="N52" s="706">
        <f>IF($C52="other",(1-$C$7)*L52,(1-(VLOOKUP($C52,'S3 - Screening Tool Metrics'!$C$3:$G$17,5,FALSE)/100))*L52)</f>
        <v>2966.556790377183</v>
      </c>
      <c r="O52" s="706">
        <f>IF($C52="other",$C$7*L52,(VLOOKUP($C52,'S3 - Screening Tool Metrics'!$C$3:$G$17,5,FALSE)/100)*L52)</f>
        <v>6921.965844213426</v>
      </c>
      <c r="P52" s="706">
        <f t="shared" si="9"/>
        <v>46.415649729856007</v>
      </c>
      <c r="Q52" s="707">
        <f t="shared" si="32"/>
        <v>3188780.4000000004</v>
      </c>
      <c r="R52" s="706">
        <f>VLOOKUP("*"&amp;$B52&amp;"*",'S4 - Summ PRS Characteristics'!$C$5:$Q$12,12,FALSE)*$J52</f>
        <v>5025.2946002883564</v>
      </c>
      <c r="S52" s="706">
        <f t="shared" si="40"/>
        <v>9887.7053997116436</v>
      </c>
      <c r="T52" s="706">
        <f>IF($C52="other",(1-$C40)*R52,(1-(VLOOKUP($C52,'S3 - Screening Tool Metrics'!$C$3:$G$17,5,FALSE)/100))*R52)</f>
        <v>1507.5883800865072</v>
      </c>
      <c r="U52" s="706">
        <f>IF($C52="other",$C40*R52,(VLOOKUP($C52,'S3 - Screening Tool Metrics'!$C$3:$G$17,5,FALSE)/100)*R52)</f>
        <v>3517.7062202018492</v>
      </c>
      <c r="V52" s="708">
        <f t="shared" si="33"/>
        <v>23.588186281779986</v>
      </c>
      <c r="W52" s="707">
        <f t="shared" si="34"/>
        <v>1594390.2000000002</v>
      </c>
      <c r="X52" s="706">
        <f>VLOOKUP("*"&amp;$B52&amp;"*",'S4 - Summ PRS Characteristics'!$C$5:$Q$12,13,FALSE)*$J52</f>
        <v>2903.72569908582</v>
      </c>
      <c r="Y52" s="706">
        <f t="shared" si="41"/>
        <v>12009.27430091418</v>
      </c>
      <c r="Z52" s="706">
        <f>IF($C52="other",(1-$C40)*X52,(1-(VLOOKUP($C52,'S3 - Screening Tool Metrics'!$C$3:$G$17,5,FALSE)/100))*X52)</f>
        <v>871.11770972574618</v>
      </c>
      <c r="AA52" s="706">
        <f>IF($C52="other",$C40*X52,(VLOOKUP($C52,'S3 - Screening Tool Metrics'!$C$3:$G$17,5,FALSE)/100)*X52)</f>
        <v>2032.6079893600738</v>
      </c>
      <c r="AB52" s="708">
        <f t="shared" si="35"/>
        <v>13.629772610206356</v>
      </c>
      <c r="AC52" s="707">
        <f t="shared" si="36"/>
        <v>797195.10000000009</v>
      </c>
      <c r="AD52" s="706">
        <f>VLOOKUP("*"&amp;$B52&amp;"*",'S4 - Summ PRS Characteristics'!$C$5:$Q$12,14,FALSE)*$J52</f>
        <v>1647.6203831033438</v>
      </c>
      <c r="AE52" s="706">
        <f t="shared" si="43"/>
        <v>13265.379616896656</v>
      </c>
      <c r="AF52" s="706">
        <f>IF($C52="other",(1-$C40)*AD52,(1-(VLOOKUP($C52,'S3 - Screening Tool Metrics'!$C$3:$G$17,5,FALSE)/100))*AD52)</f>
        <v>494.28611493100323</v>
      </c>
      <c r="AG52" s="706">
        <f>IF($C52="other",$C40*AD52,(VLOOKUP($C52,'S3 - Screening Tool Metrics'!$C$3:$G$17,5,FALSE)/100)*AD52)</f>
        <v>1153.3342681723407</v>
      </c>
      <c r="AH52" s="708">
        <f t="shared" si="37"/>
        <v>7.7337508762310785</v>
      </c>
      <c r="AI52" s="707">
        <f t="shared" si="38"/>
        <v>159439.01999999999</v>
      </c>
      <c r="AJ52" s="706">
        <f>VLOOKUP("*"&amp;$B52&amp;"*",'S4 - Summ PRS Characteristics'!$C$5:$Q$12,15,FALSE)*$J52</f>
        <v>422.93278689313541</v>
      </c>
      <c r="AK52" s="706">
        <f t="shared" si="42"/>
        <v>14490.067213106864</v>
      </c>
      <c r="AL52" s="706">
        <f>IF($C52="other",(1-$C40)*AJ52,(1-(VLOOKUP($C52,'S3 - Screening Tool Metrics'!$C$3:$G$17,5,FALSE)/100))*AJ52)</f>
        <v>126.87983606794064</v>
      </c>
      <c r="AM52" s="706">
        <f>IF($C52="other",$C40*AJ52,(VLOOKUP($C52,'S3 - Screening Tool Metrics'!$C$3:$G$17,5,FALSE)/100)*AJ52)</f>
        <v>296.05295082519478</v>
      </c>
      <c r="AN52" s="709">
        <f t="shared" si="39"/>
        <v>1.9852005017447514</v>
      </c>
    </row>
    <row r="53" spans="2:40" ht="11" customHeight="1" x14ac:dyDescent="0.15">
      <c r="B53" s="700" t="s">
        <v>11</v>
      </c>
      <c r="C53" s="1082" t="str">
        <f>$C42</f>
        <v>FIT 20-50 µg/g threshold (CRC)</v>
      </c>
      <c r="D53" s="552" t="s">
        <v>292</v>
      </c>
      <c r="E53" s="710">
        <f>VLOOKUP($B53&amp;"_"&amp;$D53,'App5 - CRUK Inci Rates'!C:H,6,FALSE)</f>
        <v>203.90336051751802</v>
      </c>
      <c r="F53" s="711">
        <f>VLOOKUP($B53&amp;"_"&amp;$D53,'App5 - CRUK Inci Rates'!C:H,3,FALSE)</f>
        <v>125.21984320546531</v>
      </c>
      <c r="G53" s="712">
        <f>VLOOKUP($B53&amp;"_"&amp;$D53,'App5 - CRUK Inci Rates'!C:J,8,FALSE)</f>
        <v>8881256.9603638444</v>
      </c>
      <c r="H53" s="713">
        <f>VLOOKUP($B53&amp;"_"&amp;$D53,'App5 - CRUK Inci Rates'!C:J,7,FALSE)</f>
        <v>4929786.333333333</v>
      </c>
      <c r="I53" s="713">
        <f>VLOOKUP($B53&amp;"_"&amp;$D53,'App5 - CRUK Inci Rates'!C:J,4,FALSE)</f>
        <v>5245973.666666667</v>
      </c>
      <c r="J53" s="709">
        <f>VLOOKUP($B53&amp;"_"&amp;$D53,'App5 - CRUK Inci Rates'!C:K,9,FALSE)</f>
        <v>16621</v>
      </c>
      <c r="K53" s="706">
        <f t="shared" si="7"/>
        <v>4440628.4801819222</v>
      </c>
      <c r="L53" s="706">
        <f>VLOOKUP("*"&amp;$B53&amp;"*",'S4 - Summ PRS Characteristics'!$C$5:$Q$12,11,FALSE)*$J53</f>
        <v>11021.064487999096</v>
      </c>
      <c r="M53" s="706">
        <f t="shared" si="8"/>
        <v>5599.9355120009041</v>
      </c>
      <c r="N53" s="706">
        <f>IF($C53="other",(1-$C$7)*L53,(1-(VLOOKUP($C53,'S3 - Screening Tool Metrics'!$C$3:$G$17,5,FALSE)/100))*L53)</f>
        <v>3306.3193463997291</v>
      </c>
      <c r="O53" s="706">
        <f>IF($C53="other",$C$7*L53,(VLOOKUP($C53,'S3 - Screening Tool Metrics'!$C$3:$G$17,5,FALSE)/100)*L53)</f>
        <v>7714.7451415993664</v>
      </c>
      <c r="P53" s="706">
        <f t="shared" si="9"/>
        <v>46.415649729856007</v>
      </c>
      <c r="Q53" s="707">
        <f>$G53*Q$3</f>
        <v>1776251.3920727689</v>
      </c>
      <c r="R53" s="706">
        <f>VLOOKUP("*"&amp;$B53&amp;"*",'S4 - Summ PRS Characteristics'!$C$5:$Q$12,12,FALSE)*$J53</f>
        <v>5600.8463455637884</v>
      </c>
      <c r="S53" s="706">
        <f>$J53-R53</f>
        <v>11020.153654436212</v>
      </c>
      <c r="T53" s="706">
        <f>IF($C53="other",(1-$C41)*R53,(1-(VLOOKUP($C53,'S3 - Screening Tool Metrics'!$C$3:$G$17,5,FALSE)/100))*R53)</f>
        <v>1680.2539036691367</v>
      </c>
      <c r="U53" s="706">
        <f>IF($C53="other",$C41*R53,(VLOOKUP($C53,'S3 - Screening Tool Metrics'!$C$3:$G$17,5,FALSE)/100)*R53)</f>
        <v>3920.5924418946515</v>
      </c>
      <c r="V53" s="708">
        <f t="shared" si="33"/>
        <v>23.588186281779986</v>
      </c>
      <c r="W53" s="707">
        <f>$G53*W$3</f>
        <v>888125.69603638444</v>
      </c>
      <c r="X53" s="706">
        <f>VLOOKUP("*"&amp;$B53&amp;"*",'S4 - Summ PRS Characteristics'!$C$5:$Q$12,13,FALSE)*$J53</f>
        <v>3236.2921507748551</v>
      </c>
      <c r="Y53" s="706">
        <f t="shared" si="41"/>
        <v>13384.707849225146</v>
      </c>
      <c r="Z53" s="706">
        <f>IF($C53="other",(1-$C41)*X53,(1-(VLOOKUP($C53,'S3 - Screening Tool Metrics'!$C$3:$G$17,5,FALSE)/100))*X53)</f>
        <v>970.88764523245663</v>
      </c>
      <c r="AA53" s="706">
        <f>IF($C53="other",$C41*X53,(VLOOKUP($C53,'S3 - Screening Tool Metrics'!$C$3:$G$17,5,FALSE)/100)*X53)</f>
        <v>2265.4045055423985</v>
      </c>
      <c r="AB53" s="708">
        <f t="shared" si="35"/>
        <v>13.629772610206356</v>
      </c>
      <c r="AC53" s="707">
        <f t="shared" si="36"/>
        <v>444062.84801819222</v>
      </c>
      <c r="AD53" s="706">
        <f>VLOOKUP("*"&amp;$B53&amp;"*",'S4 - Summ PRS Characteristics'!$C$5:$Q$12,14,FALSE)*$J53</f>
        <v>1836.3239044833822</v>
      </c>
      <c r="AE53" s="706">
        <f t="shared" si="43"/>
        <v>14784.676095516617</v>
      </c>
      <c r="AF53" s="706">
        <f>IF($C53="other",(1-$C41)*AD53,(1-(VLOOKUP($C53,'S3 - Screening Tool Metrics'!$C$3:$G$17,5,FALSE)/100))*AD53)</f>
        <v>550.89717134501473</v>
      </c>
      <c r="AG53" s="706">
        <f>IF($C53="other",$C41*AD53,(VLOOKUP($C53,'S3 - Screening Tool Metrics'!$C$3:$G$17,5,FALSE)/100)*AD53)</f>
        <v>1285.4267331383674</v>
      </c>
      <c r="AH53" s="708">
        <f t="shared" si="37"/>
        <v>7.7337508762310767</v>
      </c>
      <c r="AI53" s="707">
        <f t="shared" si="38"/>
        <v>88812.569603638447</v>
      </c>
      <c r="AJ53" s="706">
        <f>VLOOKUP("*"&amp;$B53&amp;"*",'S4 - Summ PRS Characteristics'!$C$5:$Q$12,15,FALSE)*$J53</f>
        <v>471.37167913570732</v>
      </c>
      <c r="AK53" s="706">
        <f t="shared" si="42"/>
        <v>16149.628320864293</v>
      </c>
      <c r="AL53" s="706">
        <f>IF($C53="other",(1-$C41)*AJ53,(1-(VLOOKUP($C53,'S3 - Screening Tool Metrics'!$C$3:$G$17,5,FALSE)/100))*AJ53)</f>
        <v>141.41150374071222</v>
      </c>
      <c r="AM53" s="706">
        <f>IF($C53="other",$C41*AJ53,(VLOOKUP($C53,'S3 - Screening Tool Metrics'!$C$3:$G$17,5,FALSE)/100)*AJ53)</f>
        <v>329.96017539499513</v>
      </c>
      <c r="AN53" s="709">
        <f t="shared" si="39"/>
        <v>1.9852005017447514</v>
      </c>
    </row>
    <row r="54" spans="2:40" ht="11" customHeight="1" x14ac:dyDescent="0.15">
      <c r="B54" s="700" t="s">
        <v>11</v>
      </c>
      <c r="C54" s="1082" t="str">
        <f>$C41</f>
        <v>FIT 20-50 µg/g threshold (CRC)</v>
      </c>
      <c r="D54" s="552" t="s">
        <v>204</v>
      </c>
      <c r="E54" s="710">
        <f>VLOOKUP($B54&amp;"_"&amp;$D54,'App5 - CRUK Inci Rates'!C:H,6,FALSE)</f>
        <v>118.95830504657053</v>
      </c>
      <c r="F54" s="711">
        <f>VLOOKUP($B54&amp;"_"&amp;$D54,'App5 - CRUK Inci Rates'!C:H,3,FALSE)</f>
        <v>80.364374337399624</v>
      </c>
      <c r="G54" s="712">
        <f>VLOOKUP($B54&amp;"_"&amp;$D54,'App5 - CRUK Inci Rates'!C:J,8,FALSE)</f>
        <v>29847254.666666668</v>
      </c>
      <c r="H54" s="713">
        <f>VLOOKUP($B54&amp;"_"&amp;$D54,'App5 - CRUK Inci Rates'!C:J,7,FALSE)</f>
        <v>14565607.666666668</v>
      </c>
      <c r="I54" s="713">
        <f>VLOOKUP($B54&amp;"_"&amp;$D54,'App5 - CRUK Inci Rates'!C:J,4,FALSE)</f>
        <v>15281647</v>
      </c>
      <c r="J54" s="709">
        <f>VLOOKUP($B54&amp;"_"&amp;$D54,'App5 - CRUK Inci Rates'!C:K,9,FALSE)</f>
        <v>29608</v>
      </c>
      <c r="K54" s="706">
        <f t="shared" si="7"/>
        <v>14923627.333333334</v>
      </c>
      <c r="L54" s="706">
        <f>VLOOKUP("*"&amp;$B54&amp;"*",'S4 - Summ PRS Characteristics'!$C$5:$Q$12,11,FALSE)*$J54</f>
        <v>19632.49367430824</v>
      </c>
      <c r="M54" s="706">
        <f t="shared" si="8"/>
        <v>9975.5063256917601</v>
      </c>
      <c r="N54" s="706">
        <f>IF($C54="other",(1-$C$7)*L54,(1-(VLOOKUP($C54,'S3 - Screening Tool Metrics'!$C$3:$G$17,5,FALSE)/100))*L54)</f>
        <v>5889.748102292473</v>
      </c>
      <c r="O54" s="706">
        <f>IF($C54="other",$C$7*L54,(VLOOKUP($C54,'S3 - Screening Tool Metrics'!$C$3:$G$17,5,FALSE)/100)*L54)</f>
        <v>13742.745572015767</v>
      </c>
      <c r="P54" s="706">
        <f t="shared" si="9"/>
        <v>46.415649729856007</v>
      </c>
      <c r="Q54" s="707">
        <f t="shared" si="32"/>
        <v>5969450.9333333336</v>
      </c>
      <c r="R54" s="706">
        <f>VLOOKUP("*"&amp;$B54&amp;"*",'S4 - Summ PRS Characteristics'!$C$5:$Q$12,12,FALSE)*$J54</f>
        <v>9977.1288490134557</v>
      </c>
      <c r="S54" s="706">
        <f t="shared" si="40"/>
        <v>19630.871150986546</v>
      </c>
      <c r="T54" s="706">
        <f>IF($C54="other",(1-$C40)*R54,(1-(VLOOKUP($C54,'S3 - Screening Tool Metrics'!$C$3:$G$17,5,FALSE)/100))*R54)</f>
        <v>2993.138654704037</v>
      </c>
      <c r="U54" s="706">
        <f>IF($C54="other",$C40*R54,(VLOOKUP($C54,'S3 - Screening Tool Metrics'!$C$3:$G$17,5,FALSE)/100)*R54)</f>
        <v>6983.9901943094183</v>
      </c>
      <c r="V54" s="708">
        <f t="shared" si="33"/>
        <v>23.588186281779986</v>
      </c>
      <c r="W54" s="707">
        <f t="shared" si="34"/>
        <v>2984725.4666666668</v>
      </c>
      <c r="X54" s="706">
        <f>VLOOKUP("*"&amp;$B54&amp;"*",'S4 - Summ PRS Characteristics'!$C$5:$Q$12,13,FALSE)*$J54</f>
        <v>5765.0043920427115</v>
      </c>
      <c r="Y54" s="706">
        <f t="shared" si="41"/>
        <v>23842.995607957288</v>
      </c>
      <c r="Z54" s="706">
        <f>IF($C54="other",(1-$C40)*X54,(1-(VLOOKUP($C54,'S3 - Screening Tool Metrics'!$C$3:$G$17,5,FALSE)/100))*X54)</f>
        <v>1729.5013176128136</v>
      </c>
      <c r="AA54" s="706">
        <f>IF($C54="other",$C40*X54,(VLOOKUP($C54,'S3 - Screening Tool Metrics'!$C$3:$G$17,5,FALSE)/100)*X54)</f>
        <v>4035.5030744298979</v>
      </c>
      <c r="AB54" s="708">
        <f t="shared" si="35"/>
        <v>13.629772610206356</v>
      </c>
      <c r="AC54" s="707">
        <f t="shared" si="36"/>
        <v>1492362.7333333334</v>
      </c>
      <c r="AD54" s="706">
        <f>VLOOKUP("*"&amp;$B54&amp;"*",'S4 - Summ PRS Characteristics'!$C$5:$Q$12,14,FALSE)*$J54</f>
        <v>3271.1556563349968</v>
      </c>
      <c r="AE54" s="706">
        <f t="shared" si="43"/>
        <v>26336.844343665005</v>
      </c>
      <c r="AF54" s="706">
        <f>IF($C54="other",(1-$C40)*AD54,(1-(VLOOKUP($C54,'S3 - Screening Tool Metrics'!$C$3:$G$17,5,FALSE)/100))*AD54)</f>
        <v>981.34669690049918</v>
      </c>
      <c r="AG54" s="706">
        <f>IF($C54="other",$C40*AD54,(VLOOKUP($C54,'S3 - Screening Tool Metrics'!$C$3:$G$17,5,FALSE)/100)*AD54)</f>
        <v>2289.8089594344974</v>
      </c>
      <c r="AH54" s="708">
        <f t="shared" si="37"/>
        <v>7.7337508762310767</v>
      </c>
      <c r="AI54" s="707">
        <f t="shared" si="38"/>
        <v>298472.54666666669</v>
      </c>
      <c r="AJ54" s="706">
        <f>VLOOKUP("*"&amp;$B54&amp;"*",'S4 - Summ PRS Characteristics'!$C$5:$Q$12,15,FALSE)*$J54</f>
        <v>839.6830922236943</v>
      </c>
      <c r="AK54" s="706">
        <f t="shared" si="42"/>
        <v>28768.316907776305</v>
      </c>
      <c r="AL54" s="706">
        <f>IF($C54="other",(1-$C40)*AJ54,(1-(VLOOKUP($C54,'S3 - Screening Tool Metrics'!$C$3:$G$17,5,FALSE)/100))*AJ54)</f>
        <v>251.90492766710832</v>
      </c>
      <c r="AM54" s="706">
        <f>IF($C54="other",$C40*AJ54,(VLOOKUP($C54,'S3 - Screening Tool Metrics'!$C$3:$G$17,5,FALSE)/100)*AJ54)</f>
        <v>587.77816455658592</v>
      </c>
      <c r="AN54" s="709">
        <f t="shared" si="39"/>
        <v>1.9852005017447512</v>
      </c>
    </row>
    <row r="55" spans="2:40" ht="11" customHeight="1" thickBot="1" x14ac:dyDescent="0.2">
      <c r="B55" s="700" t="s">
        <v>11</v>
      </c>
      <c r="C55" s="1083" t="str">
        <f>$C42</f>
        <v>FIT 20-50 µg/g threshold (CRC)</v>
      </c>
      <c r="D55" s="552" t="s">
        <v>205</v>
      </c>
      <c r="E55" s="710">
        <f>VLOOKUP($B55&amp;"_"&amp;$D55,'App5 - CRUK Inci Rates'!C:H,6,FALSE)</f>
        <v>84.5</v>
      </c>
      <c r="F55" s="711">
        <f>VLOOKUP($B55&amp;"_"&amp;$D55,'App5 - CRUK Inci Rates'!C:H,3,FALSE)</f>
        <v>56.5</v>
      </c>
      <c r="G55" s="712">
        <f>VLOOKUP($B55&amp;"_"&amp;$D55,'App5 - CRUK Inci Rates'!C:J,8,FALSE)</f>
        <v>66041277.666666664</v>
      </c>
      <c r="H55" s="713">
        <f>VLOOKUP($B55&amp;"_"&amp;$D55,'App5 - CRUK Inci Rates'!C:J,7,FALSE)</f>
        <v>32583225.666666668</v>
      </c>
      <c r="I55" s="713">
        <f>VLOOKUP($B55&amp;"_"&amp;$D55,'App5 - CRUK Inci Rates'!C:J,4,FALSE)</f>
        <v>33458051.999999996</v>
      </c>
      <c r="J55" s="709">
        <f>VLOOKUP($B55&amp;"_"&amp;$D55,'App5 - CRUK Inci Rates'!C:K,9,FALSE)</f>
        <v>42885</v>
      </c>
      <c r="K55" s="714"/>
      <c r="L55" s="714"/>
      <c r="M55" s="714"/>
      <c r="N55" s="714"/>
      <c r="O55" s="714"/>
      <c r="P55" s="714"/>
      <c r="Q55" s="715"/>
      <c r="R55" s="716"/>
      <c r="S55" s="716"/>
      <c r="T55" s="716"/>
      <c r="U55" s="716"/>
      <c r="V55" s="717"/>
      <c r="W55" s="715"/>
      <c r="X55" s="716"/>
      <c r="Y55" s="716"/>
      <c r="Z55" s="716"/>
      <c r="AA55" s="716"/>
      <c r="AB55" s="717"/>
      <c r="AC55" s="716"/>
      <c r="AD55" s="716"/>
      <c r="AE55" s="716"/>
      <c r="AF55" s="716"/>
      <c r="AG55" s="716"/>
      <c r="AH55" s="717"/>
      <c r="AI55" s="715"/>
      <c r="AJ55" s="716"/>
      <c r="AK55" s="716"/>
      <c r="AL55" s="716"/>
      <c r="AM55" s="716"/>
      <c r="AN55" s="718"/>
    </row>
    <row r="56" spans="2:40" ht="11" customHeight="1" thickBot="1" x14ac:dyDescent="0.2">
      <c r="B56" s="686" t="s">
        <v>12</v>
      </c>
      <c r="C56" s="687"/>
      <c r="D56" s="688"/>
      <c r="E56" s="689"/>
      <c r="F56" s="690"/>
      <c r="G56" s="691"/>
      <c r="H56" s="692"/>
      <c r="I56" s="692"/>
      <c r="J56" s="693"/>
      <c r="K56" s="694"/>
      <c r="L56" s="694"/>
      <c r="M56" s="694"/>
      <c r="N56" s="694"/>
      <c r="O56" s="694"/>
      <c r="P56" s="694"/>
      <c r="Q56" s="695"/>
      <c r="R56" s="719"/>
      <c r="S56" s="696"/>
      <c r="T56" s="696"/>
      <c r="U56" s="696"/>
      <c r="V56" s="699"/>
      <c r="W56" s="695"/>
      <c r="X56" s="696"/>
      <c r="Y56" s="696"/>
      <c r="Z56" s="696"/>
      <c r="AA56" s="696"/>
      <c r="AB56" s="697"/>
      <c r="AC56" s="695"/>
      <c r="AD56" s="696"/>
      <c r="AE56" s="696"/>
      <c r="AF56" s="696"/>
      <c r="AG56" s="696"/>
      <c r="AH56" s="697"/>
      <c r="AI56" s="695"/>
      <c r="AJ56" s="696"/>
      <c r="AK56" s="696"/>
      <c r="AL56" s="696"/>
      <c r="AM56" s="696"/>
      <c r="AN56" s="699"/>
    </row>
    <row r="57" spans="2:40" ht="11" customHeight="1" x14ac:dyDescent="0.15">
      <c r="B57" s="700" t="s">
        <v>12</v>
      </c>
      <c r="C57" s="1081" t="s">
        <v>147</v>
      </c>
      <c r="D57" s="593" t="s">
        <v>192</v>
      </c>
      <c r="E57" s="701">
        <f>VLOOKUP($B57&amp;"_"&amp;$D57,'App5 - CRUK Inci Rates'!C:H,6,FALSE)</f>
        <v>2.6</v>
      </c>
      <c r="F57" s="702">
        <f>VLOOKUP($B57&amp;"_"&amp;$D57,'App5 - CRUK Inci Rates'!C:H,3,FALSE)</f>
        <v>2</v>
      </c>
      <c r="G57" s="703">
        <f>VLOOKUP($B57&amp;"_"&amp;$D57,'App5 - CRUK Inci Rates'!C:J,8,FALSE)</f>
        <v>4075608</v>
      </c>
      <c r="H57" s="704">
        <f>VLOOKUP($B57&amp;"_"&amp;$D57,'App5 - CRUK Inci Rates'!C:J,7,FALSE)</f>
        <v>2021384.6666666667</v>
      </c>
      <c r="I57" s="704">
        <f>VLOOKUP($B57&amp;"_"&amp;$D57,'App5 - CRUK Inci Rates'!C:J,4,FALSE)</f>
        <v>2054223.3333333333</v>
      </c>
      <c r="J57" s="705">
        <f>VLOOKUP($B57&amp;"_"&amp;$D57,'App5 - CRUK Inci Rates'!C:K,9,FALSE)</f>
        <v>94</v>
      </c>
      <c r="K57" s="706">
        <f t="shared" si="7"/>
        <v>2037804</v>
      </c>
      <c r="L57" s="706">
        <f>VLOOKUP("*"&amp;$B57&amp;"*",'S4 - Summ PRS Characteristics'!$C$5:$Q$12,11,FALSE)*$J57</f>
        <v>57.433178330318569</v>
      </c>
      <c r="M57" s="706">
        <f t="shared" si="8"/>
        <v>36.566821669681431</v>
      </c>
      <c r="N57" s="706">
        <f>IF($C57="other",(1-$C$7)*L57,(1-(VLOOKUP($C57,'S3 - Screening Tool Metrics'!$C$3:$G$17,5,FALSE)/100))*L57)</f>
        <v>18.493483422362583</v>
      </c>
      <c r="O57" s="706">
        <f>IF($C57="other",$C$7*L57,(VLOOKUP($C57,'S3 - Screening Tool Metrics'!$C$3:$G$17,5,FALSE)/100)*L57)</f>
        <v>38.939694907955989</v>
      </c>
      <c r="P57" s="706">
        <f t="shared" si="9"/>
        <v>41.425207348889344</v>
      </c>
      <c r="Q57" s="707">
        <f t="shared" ref="Q57:Q70" si="44">$G57*Q$3</f>
        <v>815121.60000000009</v>
      </c>
      <c r="R57" s="706">
        <f>VLOOKUP("*"&amp;$B57&amp;"*",'S4 - Summ PRS Characteristics'!$C$5:$Q$12,12,FALSE)*$J57</f>
        <v>27.056584247998874</v>
      </c>
      <c r="S57" s="706">
        <f>$J57-R57</f>
        <v>66.94341575200113</v>
      </c>
      <c r="T57" s="706">
        <f>IF($C57="other",(1-$C56)*R57,(1-(VLOOKUP($C57,'S3 - Screening Tool Metrics'!$C$3:$G$17,5,FALSE)/100))*R57)</f>
        <v>8.7122201278556393</v>
      </c>
      <c r="U57" s="706">
        <f>IF($C57="other",$C56*R57,(VLOOKUP($C57,'S3 - Screening Tool Metrics'!$C$3:$G$17,5,FALSE)/100)*R57)</f>
        <v>18.344364120143236</v>
      </c>
      <c r="V57" s="708">
        <f t="shared" ref="V57:V70" si="45">$U57/$J57*100</f>
        <v>19.515280978875786</v>
      </c>
      <c r="W57" s="707">
        <f t="shared" ref="W57:W70" si="46">$G57*W$3</f>
        <v>407560.80000000005</v>
      </c>
      <c r="X57" s="706">
        <f>VLOOKUP("*"&amp;$B57&amp;"*",'S4 - Summ PRS Characteristics'!$C$5:$Q$12,13,FALSE)*$J57</f>
        <v>14.921600808760783</v>
      </c>
      <c r="Y57" s="706">
        <f>$J57-X57</f>
        <v>79.078399191239214</v>
      </c>
      <c r="Z57" s="706">
        <f>IF($C57="other",(1-$C56)*X57,(1-(VLOOKUP($C57,'S3 - Screening Tool Metrics'!$C$3:$G$17,5,FALSE)/100))*X57)</f>
        <v>4.8047554604209726</v>
      </c>
      <c r="AA57" s="706">
        <f>IF($C57="other",$C56*X57,(VLOOKUP($C57,'S3 - Screening Tool Metrics'!$C$3:$G$17,5,FALSE)/100)*X57)</f>
        <v>10.11684534833981</v>
      </c>
      <c r="AB57" s="708">
        <f t="shared" ref="AB57:AB70" si="47">$AA57/$J57*100</f>
        <v>10.762601434404054</v>
      </c>
      <c r="AC57" s="707">
        <f t="shared" ref="AC57:AC70" si="48">$G57*AC$3</f>
        <v>203780.40000000002</v>
      </c>
      <c r="AD57" s="706">
        <f>VLOOKUP("*"&amp;$B57&amp;"*",'S4 - Summ PRS Characteristics'!$C$5:$Q$12,14,FALSE)*$J57</f>
        <v>8.1262172205425944</v>
      </c>
      <c r="AE57" s="706">
        <f>$J57-AD57</f>
        <v>85.8737827794574</v>
      </c>
      <c r="AF57" s="706">
        <f>IF($C57="other",(1-$C56)*AD57,(1-(VLOOKUP($C57,'S3 - Screening Tool Metrics'!$C$3:$G$17,5,FALSE)/100))*AD57)</f>
        <v>2.6166419450147158</v>
      </c>
      <c r="AG57" s="706">
        <f>IF($C57="other",$C56*AD57,(VLOOKUP($C57,'S3 - Screening Tool Metrics'!$C$3:$G$17,5,FALSE)/100)*AD57)</f>
        <v>5.5095752755278786</v>
      </c>
      <c r="AH57" s="708">
        <f t="shared" ref="AH57:AH70" si="49">$AG57/$J57*100</f>
        <v>5.8612502931147645</v>
      </c>
      <c r="AI57" s="707">
        <f t="shared" ref="AI57:AI70" si="50">$G57*AI$3</f>
        <v>40756.080000000002</v>
      </c>
      <c r="AJ57" s="706">
        <f>VLOOKUP("*"&amp;$B57&amp;"*",'S4 - Summ PRS Characteristics'!$C$5:$Q$12,15,FALSE)*$J57</f>
        <v>1.9227545088381404</v>
      </c>
      <c r="AK57" s="706">
        <f>$J57-AJ57</f>
        <v>92.077245491161861</v>
      </c>
      <c r="AL57" s="706">
        <f>IF($C57="other",(1-$C56)*AJ57,(1-(VLOOKUP($C57,'S3 - Screening Tool Metrics'!$C$3:$G$17,5,FALSE)/100))*AJ57)</f>
        <v>0.61912695184588129</v>
      </c>
      <c r="AM57" s="706">
        <f>IF($C57="other",$C56*AJ57,(VLOOKUP($C57,'S3 - Screening Tool Metrics'!$C$3:$G$17,5,FALSE)/100)*AJ57)</f>
        <v>1.3036275569922591</v>
      </c>
      <c r="AN57" s="709">
        <f t="shared" ref="AN57:AN70" si="51">$AM57/$J57*100</f>
        <v>1.3868378265875096</v>
      </c>
    </row>
    <row r="58" spans="2:40" ht="11" customHeight="1" x14ac:dyDescent="0.15">
      <c r="B58" s="700" t="s">
        <v>12</v>
      </c>
      <c r="C58" s="1082" t="str">
        <f>$C57</f>
        <v>CA19-9_20U/mL cutoff</v>
      </c>
      <c r="D58" s="552" t="s">
        <v>193</v>
      </c>
      <c r="E58" s="710">
        <f>VLOOKUP($B58&amp;"_"&amp;$D58,'App5 - CRUK Inci Rates'!C:H,6,FALSE)</f>
        <v>5.6</v>
      </c>
      <c r="F58" s="711">
        <f>VLOOKUP($B58&amp;"_"&amp;$D58,'App5 - CRUK Inci Rates'!C:H,3,FALSE)</f>
        <v>3.9</v>
      </c>
      <c r="G58" s="712">
        <f>VLOOKUP($B58&amp;"_"&amp;$D58,'App5 - CRUK Inci Rates'!C:J,8,FALSE)</f>
        <v>4567159.333333334</v>
      </c>
      <c r="H58" s="713">
        <f>VLOOKUP($B58&amp;"_"&amp;$D58,'App5 - CRUK Inci Rates'!C:J,7,FALSE)</f>
        <v>2251680</v>
      </c>
      <c r="I58" s="713">
        <f>VLOOKUP($B58&amp;"_"&amp;$D58,'App5 - CRUK Inci Rates'!C:J,4,FALSE)</f>
        <v>2315479.3333333335</v>
      </c>
      <c r="J58" s="709">
        <f>VLOOKUP($B58&amp;"_"&amp;$D58,'App5 - CRUK Inci Rates'!C:K,9,FALSE)</f>
        <v>215</v>
      </c>
      <c r="K58" s="706">
        <f t="shared" si="7"/>
        <v>2283579.666666667</v>
      </c>
      <c r="L58" s="706">
        <f>VLOOKUP("*"&amp;$B58&amp;"*",'S4 - Summ PRS Characteristics'!$C$5:$Q$12,11,FALSE)*$J58</f>
        <v>131.3631206491329</v>
      </c>
      <c r="M58" s="706">
        <f t="shared" si="8"/>
        <v>83.636879350867105</v>
      </c>
      <c r="N58" s="706">
        <f>IF($C58="other",(1-$C$7)*L58,(1-(VLOOKUP($C58,'S3 - Screening Tool Metrics'!$C$3:$G$17,5,FALSE)/100))*L58)</f>
        <v>42.2989248490208</v>
      </c>
      <c r="O58" s="706">
        <f>IF($C58="other",$C$7*L58,(VLOOKUP($C58,'S3 - Screening Tool Metrics'!$C$3:$G$17,5,FALSE)/100)*L58)</f>
        <v>89.064195800112088</v>
      </c>
      <c r="P58" s="706">
        <f t="shared" si="9"/>
        <v>41.425207348889344</v>
      </c>
      <c r="Q58" s="707">
        <f t="shared" si="44"/>
        <v>913431.86666666681</v>
      </c>
      <c r="R58" s="706">
        <f>VLOOKUP("*"&amp;$B58&amp;"*",'S4 - Summ PRS Characteristics'!$C$5:$Q$12,12,FALSE)*$J58</f>
        <v>61.884740567231468</v>
      </c>
      <c r="S58" s="706">
        <f t="shared" ref="S58:S70" si="52">$J58-R58</f>
        <v>153.11525943276854</v>
      </c>
      <c r="T58" s="706">
        <f>IF($C58="other",(1-$C56)*R58,(1-(VLOOKUP($C58,'S3 - Screening Tool Metrics'!$C$3:$G$17,5,FALSE)/100))*R58)</f>
        <v>19.926886462648536</v>
      </c>
      <c r="U58" s="706">
        <f>IF($C58="other",$C56*R58,(VLOOKUP($C58,'S3 - Screening Tool Metrics'!$C$3:$G$17,5,FALSE)/100)*R58)</f>
        <v>41.957854104582928</v>
      </c>
      <c r="V58" s="708">
        <f t="shared" si="45"/>
        <v>19.515280978875783</v>
      </c>
      <c r="W58" s="707">
        <f t="shared" si="46"/>
        <v>456715.93333333341</v>
      </c>
      <c r="X58" s="706">
        <f>VLOOKUP("*"&amp;$B58&amp;"*",'S4 - Summ PRS Characteristics'!$C$5:$Q$12,13,FALSE)*$J58</f>
        <v>34.129193339186898</v>
      </c>
      <c r="Y58" s="706">
        <f t="shared" ref="Y58:Y70" si="53">$J58-X58</f>
        <v>180.87080666081312</v>
      </c>
      <c r="Z58" s="706">
        <f>IF($C58="other",(1-$C56)*X58,(1-(VLOOKUP($C58,'S3 - Screening Tool Metrics'!$C$3:$G$17,5,FALSE)/100))*X58)</f>
        <v>10.989600255218184</v>
      </c>
      <c r="AA58" s="706">
        <f>IF($C58="other",$C56*X58,(VLOOKUP($C58,'S3 - Screening Tool Metrics'!$C$3:$G$17,5,FALSE)/100)*X58)</f>
        <v>23.139593083968716</v>
      </c>
      <c r="AB58" s="708">
        <f t="shared" si="47"/>
        <v>10.762601434404054</v>
      </c>
      <c r="AC58" s="707">
        <f t="shared" si="48"/>
        <v>228357.9666666667</v>
      </c>
      <c r="AD58" s="706">
        <f>VLOOKUP("*"&amp;$B58&amp;"*",'S4 - Summ PRS Characteristics'!$C$5:$Q$12,14,FALSE)*$J58</f>
        <v>18.586560664006996</v>
      </c>
      <c r="AE58" s="706">
        <f>$J58-AD58</f>
        <v>196.41343933599302</v>
      </c>
      <c r="AF58" s="706">
        <f>IF($C58="other",(1-$C56)*AD58,(1-(VLOOKUP($C58,'S3 - Screening Tool Metrics'!$C$3:$G$17,5,FALSE)/100))*AD58)</f>
        <v>5.984872533810254</v>
      </c>
      <c r="AG58" s="706">
        <f>IF($C58="other",$C56*AD58,(VLOOKUP($C58,'S3 - Screening Tool Metrics'!$C$3:$G$17,5,FALSE)/100)*AD58)</f>
        <v>12.601688130196742</v>
      </c>
      <c r="AH58" s="708">
        <f t="shared" si="49"/>
        <v>5.8612502931147636</v>
      </c>
      <c r="AI58" s="707">
        <f t="shared" si="50"/>
        <v>45671.593333333338</v>
      </c>
      <c r="AJ58" s="706">
        <f>VLOOKUP("*"&amp;$B58&amp;"*",'S4 - Summ PRS Characteristics'!$C$5:$Q$12,15,FALSE)*$J58</f>
        <v>4.3977895680872363</v>
      </c>
      <c r="AK58" s="706">
        <f t="shared" ref="AK58:AK70" si="54">$J58-AJ58</f>
        <v>210.60221043191277</v>
      </c>
      <c r="AL58" s="706">
        <f>IF($C58="other",(1-$C56)*AJ58,(1-(VLOOKUP($C58,'S3 - Screening Tool Metrics'!$C$3:$G$17,5,FALSE)/100))*AJ58)</f>
        <v>1.4160882409240905</v>
      </c>
      <c r="AM58" s="706">
        <f>IF($C58="other",$C56*AJ58,(VLOOKUP($C58,'S3 - Screening Tool Metrics'!$C$3:$G$17,5,FALSE)/100)*AJ58)</f>
        <v>2.9817013271631461</v>
      </c>
      <c r="AN58" s="709">
        <f t="shared" si="51"/>
        <v>1.3868378265875099</v>
      </c>
    </row>
    <row r="59" spans="2:40" ht="11" customHeight="1" x14ac:dyDescent="0.15">
      <c r="B59" s="700" t="s">
        <v>12</v>
      </c>
      <c r="C59" s="1082" t="str">
        <f>$C57</f>
        <v>CA19-9_20U/mL cutoff</v>
      </c>
      <c r="D59" s="552" t="s">
        <v>194</v>
      </c>
      <c r="E59" s="710">
        <f>VLOOKUP($B59&amp;"_"&amp;$D59,'App5 - CRUK Inci Rates'!C:H,6,FALSE)</f>
        <v>10.199999999999999</v>
      </c>
      <c r="F59" s="711">
        <f>VLOOKUP($B59&amp;"_"&amp;$D59,'App5 - CRUK Inci Rates'!C:H,3,FALSE)</f>
        <v>7.3</v>
      </c>
      <c r="G59" s="712">
        <f>VLOOKUP($B59&amp;"_"&amp;$D59,'App5 - CRUK Inci Rates'!C:J,8,FALSE)</f>
        <v>4658110.666666666</v>
      </c>
      <c r="H59" s="713">
        <f>VLOOKUP($B59&amp;"_"&amp;$D59,'App5 - CRUK Inci Rates'!C:J,7,FALSE)</f>
        <v>2293472.6666666665</v>
      </c>
      <c r="I59" s="713">
        <f>VLOOKUP($B59&amp;"_"&amp;$D59,'App5 - CRUK Inci Rates'!C:J,4,FALSE)</f>
        <v>2364638</v>
      </c>
      <c r="J59" s="709">
        <f>VLOOKUP($B59&amp;"_"&amp;$D59,'App5 - CRUK Inci Rates'!C:K,9,FALSE)</f>
        <v>409</v>
      </c>
      <c r="K59" s="706">
        <f t="shared" si="7"/>
        <v>2329055.333333333</v>
      </c>
      <c r="L59" s="706">
        <f>VLOOKUP("*"&amp;$B59&amp;"*",'S4 - Summ PRS Characteristics'!$C$5:$Q$12,11,FALSE)*$J59</f>
        <v>249.89542486276909</v>
      </c>
      <c r="M59" s="706">
        <f t="shared" si="8"/>
        <v>159.10457513723091</v>
      </c>
      <c r="N59" s="706">
        <f>IF($C59="other",(1-$C$7)*L59,(1-(VLOOKUP($C59,'S3 - Screening Tool Metrics'!$C$3:$G$17,5,FALSE)/100))*L59)</f>
        <v>80.466326805811661</v>
      </c>
      <c r="O59" s="706">
        <f>IF($C59="other",$C$7*L59,(VLOOKUP($C59,'S3 - Screening Tool Metrics'!$C$3:$G$17,5,FALSE)/100)*L59)</f>
        <v>169.42909805695743</v>
      </c>
      <c r="P59" s="706">
        <f t="shared" si="9"/>
        <v>41.425207348889344</v>
      </c>
      <c r="Q59" s="707">
        <f t="shared" si="44"/>
        <v>931622.1333333333</v>
      </c>
      <c r="R59" s="706">
        <f>VLOOKUP("*"&amp;$B59&amp;"*",'S4 - Summ PRS Characteristics'!$C$5:$Q$12,12,FALSE)*$J59</f>
        <v>117.72492507905893</v>
      </c>
      <c r="S59" s="706">
        <f t="shared" si="52"/>
        <v>291.27507492094105</v>
      </c>
      <c r="T59" s="706">
        <f>IF($C59="other",(1-$C56)*R59,(1-(VLOOKUP($C59,'S3 - Screening Tool Metrics'!$C$3:$G$17,5,FALSE)/100))*R59)</f>
        <v>37.907425875456987</v>
      </c>
      <c r="U59" s="706">
        <f>IF($C59="other",$C56*R59,(VLOOKUP($C59,'S3 - Screening Tool Metrics'!$C$3:$G$17,5,FALSE)/100)*R59)</f>
        <v>79.817499203601955</v>
      </c>
      <c r="V59" s="708">
        <f t="shared" si="45"/>
        <v>19.515280978875786</v>
      </c>
      <c r="W59" s="707">
        <f t="shared" si="46"/>
        <v>465811.06666666665</v>
      </c>
      <c r="X59" s="706">
        <f>VLOOKUP("*"&amp;$B59&amp;"*",'S4 - Summ PRS Characteristics'!$C$5:$Q$12,13,FALSE)*$J59</f>
        <v>64.924837561522978</v>
      </c>
      <c r="Y59" s="706">
        <f t="shared" si="53"/>
        <v>344.07516243847704</v>
      </c>
      <c r="Z59" s="706">
        <f>IF($C59="other",(1-$C56)*X59,(1-(VLOOKUP($C59,'S3 - Screening Tool Metrics'!$C$3:$G$17,5,FALSE)/100))*X59)</f>
        <v>20.905797694810403</v>
      </c>
      <c r="AA59" s="706">
        <f>IF($C59="other",$C56*X59,(VLOOKUP($C59,'S3 - Screening Tool Metrics'!$C$3:$G$17,5,FALSE)/100)*X59)</f>
        <v>44.019039866712575</v>
      </c>
      <c r="AB59" s="708">
        <f t="shared" si="47"/>
        <v>10.762601434404052</v>
      </c>
      <c r="AC59" s="707">
        <f t="shared" si="48"/>
        <v>232905.53333333333</v>
      </c>
      <c r="AD59" s="706">
        <f>VLOOKUP("*"&amp;$B59&amp;"*",'S4 - Summ PRS Characteristics'!$C$5:$Q$12,14,FALSE)*$J59</f>
        <v>35.357689821297029</v>
      </c>
      <c r="AE59" s="706">
        <f t="shared" ref="AE59:AE70" si="55">$J59-AD59</f>
        <v>373.64231017870299</v>
      </c>
      <c r="AF59" s="706">
        <f>IF($C59="other",(1-$C56)*AD59,(1-(VLOOKUP($C59,'S3 - Screening Tool Metrics'!$C$3:$G$17,5,FALSE)/100))*AD59)</f>
        <v>11.385176122457645</v>
      </c>
      <c r="AG59" s="706">
        <f>IF($C59="other",$C56*AD59,(VLOOKUP($C59,'S3 - Screening Tool Metrics'!$C$3:$G$17,5,FALSE)/100)*AD59)</f>
        <v>23.972513698839382</v>
      </c>
      <c r="AH59" s="708">
        <f t="shared" si="49"/>
        <v>5.8612502931147636</v>
      </c>
      <c r="AI59" s="707">
        <f t="shared" si="50"/>
        <v>46581.106666666659</v>
      </c>
      <c r="AJ59" s="706">
        <f>VLOOKUP("*"&amp;$B59&amp;"*",'S4 - Summ PRS Characteristics'!$C$5:$Q$12,15,FALSE)*$J59</f>
        <v>8.3660275969659512</v>
      </c>
      <c r="AK59" s="706">
        <f t="shared" si="54"/>
        <v>400.63397240303402</v>
      </c>
      <c r="AL59" s="706">
        <f>IF($C59="other",(1-$C56)*AJ59,(1-(VLOOKUP($C59,'S3 - Screening Tool Metrics'!$C$3:$G$17,5,FALSE)/100))*AJ59)</f>
        <v>2.6938608862230367</v>
      </c>
      <c r="AM59" s="706">
        <f>IF($C59="other",$C56*AJ59,(VLOOKUP($C59,'S3 - Screening Tool Metrics'!$C$3:$G$17,5,FALSE)/100)*AJ59)</f>
        <v>5.6721667107429141</v>
      </c>
      <c r="AN59" s="709">
        <f t="shared" si="51"/>
        <v>1.3868378265875094</v>
      </c>
    </row>
    <row r="60" spans="2:40" ht="11" customHeight="1" x14ac:dyDescent="0.15">
      <c r="B60" s="700" t="s">
        <v>12</v>
      </c>
      <c r="C60" s="1082" t="str">
        <f>$C57</f>
        <v>CA19-9_20U/mL cutoff</v>
      </c>
      <c r="D60" s="552" t="s">
        <v>195</v>
      </c>
      <c r="E60" s="710">
        <f>VLOOKUP($B60&amp;"_"&amp;$D60,'App5 - CRUK Inci Rates'!C:H,6,FALSE)</f>
        <v>18.3</v>
      </c>
      <c r="F60" s="711">
        <f>VLOOKUP($B60&amp;"_"&amp;$D60,'App5 - CRUK Inci Rates'!C:H,3,FALSE)</f>
        <v>13.6</v>
      </c>
      <c r="G60" s="712">
        <f>VLOOKUP($B60&amp;"_"&amp;$D60,'App5 - CRUK Inci Rates'!C:J,8,FALSE)</f>
        <v>4181606</v>
      </c>
      <c r="H60" s="713">
        <f>VLOOKUP($B60&amp;"_"&amp;$D60,'App5 - CRUK Inci Rates'!C:J,7,FALSE)</f>
        <v>2061918.6666666667</v>
      </c>
      <c r="I60" s="713">
        <f>VLOOKUP($B60&amp;"_"&amp;$D60,'App5 - CRUK Inci Rates'!C:J,4,FALSE)</f>
        <v>2119687.3333333335</v>
      </c>
      <c r="J60" s="709">
        <f>VLOOKUP($B60&amp;"_"&amp;$D60,'App5 - CRUK Inci Rates'!C:K,9,FALSE)</f>
        <v>666</v>
      </c>
      <c r="K60" s="706">
        <f t="shared" si="7"/>
        <v>2090803</v>
      </c>
      <c r="L60" s="706">
        <f>VLOOKUP("*"&amp;$B60&amp;"*",'S4 - Summ PRS Characteristics'!$C$5:$Q$12,11,FALSE)*$J60</f>
        <v>406.92017838289541</v>
      </c>
      <c r="M60" s="706">
        <f t="shared" si="8"/>
        <v>259.07982161710459</v>
      </c>
      <c r="N60" s="706">
        <f>IF($C60="other",(1-$C$7)*L60,(1-(VLOOKUP($C60,'S3 - Screening Tool Metrics'!$C$3:$G$17,5,FALSE)/100))*L60)</f>
        <v>131.02829743929234</v>
      </c>
      <c r="O60" s="706">
        <f>IF($C60="other",$C$7*L60,(VLOOKUP($C60,'S3 - Screening Tool Metrics'!$C$3:$G$17,5,FALSE)/100)*L60)</f>
        <v>275.89188094360304</v>
      </c>
      <c r="P60" s="706">
        <f t="shared" si="9"/>
        <v>41.425207348889344</v>
      </c>
      <c r="Q60" s="707">
        <f t="shared" si="44"/>
        <v>836321.20000000007</v>
      </c>
      <c r="R60" s="706">
        <f>VLOOKUP("*"&amp;$B60&amp;"*",'S4 - Summ PRS Characteristics'!$C$5:$Q$12,12,FALSE)*$J60</f>
        <v>191.69877775709841</v>
      </c>
      <c r="S60" s="706">
        <f t="shared" si="52"/>
        <v>474.30122224290159</v>
      </c>
      <c r="T60" s="706">
        <f>IF($C60="other",(1-$C56)*R60,(1-(VLOOKUP($C60,'S3 - Screening Tool Metrics'!$C$3:$G$17,5,FALSE)/100))*R60)</f>
        <v>61.727006437785704</v>
      </c>
      <c r="U60" s="706">
        <f>IF($C60="other",$C56*R60,(VLOOKUP($C60,'S3 - Screening Tool Metrics'!$C$3:$G$17,5,FALSE)/100)*R60)</f>
        <v>129.97177131931272</v>
      </c>
      <c r="V60" s="708">
        <f t="shared" si="45"/>
        <v>19.515280978875786</v>
      </c>
      <c r="W60" s="707">
        <f t="shared" si="46"/>
        <v>418160.60000000003</v>
      </c>
      <c r="X60" s="706">
        <f>VLOOKUP("*"&amp;$B60&amp;"*",'S4 - Summ PRS Characteristics'!$C$5:$Q$12,13,FALSE)*$J60</f>
        <v>105.7211291344115</v>
      </c>
      <c r="Y60" s="706">
        <f t="shared" si="53"/>
        <v>560.27887086558849</v>
      </c>
      <c r="Z60" s="706">
        <f>IF($C60="other",(1-$C56)*X60,(1-(VLOOKUP($C60,'S3 - Screening Tool Metrics'!$C$3:$G$17,5,FALSE)/100))*X60)</f>
        <v>34.042203581280511</v>
      </c>
      <c r="AA60" s="706">
        <f>IF($C60="other",$C56*X60,(VLOOKUP($C60,'S3 - Screening Tool Metrics'!$C$3:$G$17,5,FALSE)/100)*X60)</f>
        <v>71.678925553130995</v>
      </c>
      <c r="AB60" s="708">
        <f t="shared" si="47"/>
        <v>10.762601434404054</v>
      </c>
      <c r="AC60" s="707">
        <f t="shared" si="48"/>
        <v>209080.30000000002</v>
      </c>
      <c r="AD60" s="706">
        <f>VLOOKUP("*"&amp;$B60&amp;"*",'S4 - Summ PRS Characteristics'!$C$5:$Q$12,14,FALSE)*$J60</f>
        <v>57.575113498737956</v>
      </c>
      <c r="AE60" s="706">
        <f t="shared" si="55"/>
        <v>608.42488650126199</v>
      </c>
      <c r="AF60" s="706">
        <f>IF($C60="other",(1-$C56)*AD60,(1-(VLOOKUP($C60,'S3 - Screening Tool Metrics'!$C$3:$G$17,5,FALSE)/100))*AD60)</f>
        <v>18.539186546593626</v>
      </c>
      <c r="AG60" s="706">
        <f>IF($C60="other",$C56*AD60,(VLOOKUP($C60,'S3 - Screening Tool Metrics'!$C$3:$G$17,5,FALSE)/100)*AD60)</f>
        <v>39.03592695214433</v>
      </c>
      <c r="AH60" s="708">
        <f t="shared" si="49"/>
        <v>5.8612502931147645</v>
      </c>
      <c r="AI60" s="707">
        <f t="shared" si="50"/>
        <v>41816.06</v>
      </c>
      <c r="AJ60" s="706">
        <f>VLOOKUP("*"&amp;$B60&amp;"*",'S4 - Summ PRS Characteristics'!$C$5:$Q$12,15,FALSE)*$J60</f>
        <v>13.622920243470229</v>
      </c>
      <c r="AK60" s="706">
        <f t="shared" si="54"/>
        <v>652.37707975652972</v>
      </c>
      <c r="AL60" s="706">
        <f>IF($C60="other",(1-$C56)*AJ60,(1-(VLOOKUP($C60,'S3 - Screening Tool Metrics'!$C$3:$G$17,5,FALSE)/100))*AJ60)</f>
        <v>4.3865803183974146</v>
      </c>
      <c r="AM60" s="706">
        <f>IF($C60="other",$C56*AJ60,(VLOOKUP($C60,'S3 - Screening Tool Metrics'!$C$3:$G$17,5,FALSE)/100)*AJ60)</f>
        <v>9.236339925072814</v>
      </c>
      <c r="AN60" s="709">
        <f t="shared" si="51"/>
        <v>1.3868378265875096</v>
      </c>
    </row>
    <row r="61" spans="2:40" ht="11" customHeight="1" x14ac:dyDescent="0.15">
      <c r="B61" s="700" t="s">
        <v>12</v>
      </c>
      <c r="C61" s="1082" t="str">
        <f>$C57</f>
        <v>CA19-9_20U/mL cutoff</v>
      </c>
      <c r="D61" s="552" t="s">
        <v>196</v>
      </c>
      <c r="E61" s="710">
        <f>VLOOKUP($B61&amp;"_"&amp;$D61,'App5 - CRUK Inci Rates'!C:H,6,FALSE)</f>
        <v>29.2</v>
      </c>
      <c r="F61" s="711">
        <f>VLOOKUP($B61&amp;"_"&amp;$D61,'App5 - CRUK Inci Rates'!C:H,3,FALSE)</f>
        <v>22.4</v>
      </c>
      <c r="G61" s="712">
        <f>VLOOKUP($B61&amp;"_"&amp;$D61,'App5 - CRUK Inci Rates'!C:J,8,FALSE)</f>
        <v>3602002</v>
      </c>
      <c r="H61" s="713">
        <f>VLOOKUP($B61&amp;"_"&amp;$D61,'App5 - CRUK Inci Rates'!C:J,7,FALSE)</f>
        <v>1764828</v>
      </c>
      <c r="I61" s="713">
        <f>VLOOKUP($B61&amp;"_"&amp;$D61,'App5 - CRUK Inci Rates'!C:J,4,FALSE)</f>
        <v>1837174</v>
      </c>
      <c r="J61" s="709">
        <f>VLOOKUP($B61&amp;"_"&amp;$D61,'App5 - CRUK Inci Rates'!C:K,9,FALSE)</f>
        <v>926</v>
      </c>
      <c r="K61" s="706">
        <f t="shared" si="7"/>
        <v>1801001</v>
      </c>
      <c r="L61" s="706">
        <f>VLOOKUP("*"&amp;$B61&amp;"*",'S4 - Summ PRS Characteristics'!$C$5:$Q$12,11,FALSE)*$J61</f>
        <v>565.77790567952127</v>
      </c>
      <c r="M61" s="706">
        <f t="shared" si="8"/>
        <v>360.22209432047873</v>
      </c>
      <c r="N61" s="706">
        <f>IF($C61="other",(1-$C$7)*L61,(1-(VLOOKUP($C61,'S3 - Screening Tool Metrics'!$C$3:$G$17,5,FALSE)/100))*L61)</f>
        <v>182.18048562880588</v>
      </c>
      <c r="O61" s="706">
        <f>IF($C61="other",$C$7*L61,(VLOOKUP($C61,'S3 - Screening Tool Metrics'!$C$3:$G$17,5,FALSE)/100)*L61)</f>
        <v>383.59742005071536</v>
      </c>
      <c r="P61" s="706">
        <f t="shared" si="9"/>
        <v>41.425207348889344</v>
      </c>
      <c r="Q61" s="707">
        <f t="shared" si="44"/>
        <v>720400.4</v>
      </c>
      <c r="R61" s="706">
        <f>VLOOKUP("*"&amp;$B61&amp;"*",'S4 - Summ PRS Characteristics'!$C$5:$Q$12,12,FALSE)*$J61</f>
        <v>266.53613844305272</v>
      </c>
      <c r="S61" s="706">
        <f t="shared" si="52"/>
        <v>659.46386155694722</v>
      </c>
      <c r="T61" s="706">
        <f>IF($C61="other",(1-$C56)*R61,(1-(VLOOKUP($C61,'S3 - Screening Tool Metrics'!$C$3:$G$17,5,FALSE)/100))*R61)</f>
        <v>85.824636578662989</v>
      </c>
      <c r="U61" s="706">
        <f>IF($C61="other",$C56*R61,(VLOOKUP($C61,'S3 - Screening Tool Metrics'!$C$3:$G$17,5,FALSE)/100)*R61)</f>
        <v>180.71150186438973</v>
      </c>
      <c r="V61" s="708">
        <f t="shared" si="45"/>
        <v>19.515280978875783</v>
      </c>
      <c r="W61" s="707">
        <f t="shared" si="46"/>
        <v>360200.2</v>
      </c>
      <c r="X61" s="706">
        <f>VLOOKUP("*"&amp;$B61&amp;"*",'S4 - Summ PRS Characteristics'!$C$5:$Q$12,13,FALSE)*$J61</f>
        <v>146.99364200970729</v>
      </c>
      <c r="Y61" s="706">
        <f t="shared" si="53"/>
        <v>779.00635799029271</v>
      </c>
      <c r="Z61" s="706">
        <f>IF($C61="other",(1-$C56)*X61,(1-(VLOOKUP($C61,'S3 - Screening Tool Metrics'!$C$3:$G$17,5,FALSE)/100))*X61)</f>
        <v>47.331952727125753</v>
      </c>
      <c r="AA61" s="706">
        <f>IF($C61="other",$C56*X61,(VLOOKUP($C61,'S3 - Screening Tool Metrics'!$C$3:$G$17,5,FALSE)/100)*X61)</f>
        <v>99.661689282581534</v>
      </c>
      <c r="AB61" s="708">
        <f t="shared" si="47"/>
        <v>10.762601434404054</v>
      </c>
      <c r="AC61" s="707">
        <f t="shared" si="48"/>
        <v>180100.1</v>
      </c>
      <c r="AD61" s="706">
        <f>VLOOKUP("*"&amp;$B61&amp;"*",'S4 - Summ PRS Characteristics'!$C$5:$Q$12,14,FALSE)*$J61</f>
        <v>80.051884534281299</v>
      </c>
      <c r="AE61" s="706">
        <f t="shared" si="55"/>
        <v>845.94811546571873</v>
      </c>
      <c r="AF61" s="706">
        <f>IF($C61="other",(1-$C56)*AD61,(1-(VLOOKUP($C61,'S3 - Screening Tool Metrics'!$C$3:$G$17,5,FALSE)/100))*AD61)</f>
        <v>25.776706820038584</v>
      </c>
      <c r="AG61" s="706">
        <f>IF($C61="other",$C56*AD61,(VLOOKUP($C61,'S3 - Screening Tool Metrics'!$C$3:$G$17,5,FALSE)/100)*AD61)</f>
        <v>54.275177714242716</v>
      </c>
      <c r="AH61" s="708">
        <f t="shared" si="49"/>
        <v>5.8612502931147645</v>
      </c>
      <c r="AI61" s="707">
        <f t="shared" si="50"/>
        <v>36020.020000000004</v>
      </c>
      <c r="AJ61" s="706">
        <f>VLOOKUP("*"&amp;$B61&amp;"*",'S4 - Summ PRS Characteristics'!$C$5:$Q$12,15,FALSE)*$J61</f>
        <v>18.941177395575725</v>
      </c>
      <c r="AK61" s="706">
        <f t="shared" si="54"/>
        <v>907.05882260442422</v>
      </c>
      <c r="AL61" s="706">
        <f>IF($C61="other",(1-$C56)*AJ61,(1-(VLOOKUP($C61,'S3 - Screening Tool Metrics'!$C$3:$G$17,5,FALSE)/100))*AJ61)</f>
        <v>6.0990591213753849</v>
      </c>
      <c r="AM61" s="706">
        <f>IF($C61="other",$C56*AJ61,(VLOOKUP($C61,'S3 - Screening Tool Metrics'!$C$3:$G$17,5,FALSE)/100)*AJ61)</f>
        <v>12.84211827420034</v>
      </c>
      <c r="AN61" s="709">
        <f t="shared" si="51"/>
        <v>1.3868378265875096</v>
      </c>
    </row>
    <row r="62" spans="2:40" ht="11" customHeight="1" x14ac:dyDescent="0.15">
      <c r="B62" s="700" t="s">
        <v>12</v>
      </c>
      <c r="C62" s="1082" t="str">
        <f>$C57</f>
        <v>CA19-9_20U/mL cutoff</v>
      </c>
      <c r="D62" s="552" t="s">
        <v>197</v>
      </c>
      <c r="E62" s="710">
        <f>VLOOKUP($B62&amp;"_"&amp;$D62,'App5 - CRUK Inci Rates'!C:H,6,FALSE)</f>
        <v>47.2</v>
      </c>
      <c r="F62" s="711">
        <f>VLOOKUP($B62&amp;"_"&amp;$D62,'App5 - CRUK Inci Rates'!C:H,3,FALSE)</f>
        <v>34.1</v>
      </c>
      <c r="G62" s="712">
        <f>VLOOKUP($B62&amp;"_"&amp;$D62,'App5 - CRUK Inci Rates'!C:J,8,FALSE)</f>
        <v>3502183.333333333</v>
      </c>
      <c r="H62" s="713">
        <f>VLOOKUP($B62&amp;"_"&amp;$D62,'App5 - CRUK Inci Rates'!C:J,7,FALSE)</f>
        <v>1696993.3333333333</v>
      </c>
      <c r="I62" s="713">
        <f>VLOOKUP($B62&amp;"_"&amp;$D62,'App5 - CRUK Inci Rates'!C:J,4,FALSE)</f>
        <v>1805190</v>
      </c>
      <c r="J62" s="709">
        <f>VLOOKUP($B62&amp;"_"&amp;$D62,'App5 - CRUK Inci Rates'!C:K,9,FALSE)</f>
        <v>1417</v>
      </c>
      <c r="K62" s="706">
        <f t="shared" si="7"/>
        <v>1751091.6666666665</v>
      </c>
      <c r="L62" s="706">
        <f>VLOOKUP("*"&amp;$B62&amp;"*",'S4 - Summ PRS Characteristics'!$C$5:$Q$12,11,FALSE)*$J62</f>
        <v>865.77461376661086</v>
      </c>
      <c r="M62" s="706">
        <f t="shared" si="8"/>
        <v>551.22538623338914</v>
      </c>
      <c r="N62" s="706">
        <f>IF($C62="other",(1-$C$7)*L62,(1-(VLOOKUP($C62,'S3 - Screening Tool Metrics'!$C$3:$G$17,5,FALSE)/100))*L62)</f>
        <v>278.77942563284876</v>
      </c>
      <c r="O62" s="706">
        <f>IF($C62="other",$C$7*L62,(VLOOKUP($C62,'S3 - Screening Tool Metrics'!$C$3:$G$17,5,FALSE)/100)*L62)</f>
        <v>586.9951881337621</v>
      </c>
      <c r="P62" s="706">
        <f t="shared" si="9"/>
        <v>41.425207348889344</v>
      </c>
      <c r="Q62" s="707">
        <f t="shared" si="44"/>
        <v>700436.66666666663</v>
      </c>
      <c r="R62" s="706">
        <f>VLOOKUP("*"&amp;$B62&amp;"*",'S4 - Summ PRS Characteristics'!$C$5:$Q$12,12,FALSE)*$J62</f>
        <v>407.86361573845113</v>
      </c>
      <c r="S62" s="706">
        <f t="shared" si="52"/>
        <v>1009.1363842615489</v>
      </c>
      <c r="T62" s="706">
        <f>IF($C62="other",(1-$C56)*R62,(1-(VLOOKUP($C62,'S3 - Screening Tool Metrics'!$C$3:$G$17,5,FALSE)/100))*R62)</f>
        <v>131.33208426778128</v>
      </c>
      <c r="U62" s="706">
        <f>IF($C62="other",$C56*R62,(VLOOKUP($C62,'S3 - Screening Tool Metrics'!$C$3:$G$17,5,FALSE)/100)*R62)</f>
        <v>276.53153147066985</v>
      </c>
      <c r="V62" s="708">
        <f t="shared" si="45"/>
        <v>19.515280978875783</v>
      </c>
      <c r="W62" s="707">
        <f t="shared" si="46"/>
        <v>350218.33333333331</v>
      </c>
      <c r="X62" s="706">
        <f>VLOOKUP("*"&amp;$B62&amp;"*",'S4 - Summ PRS Characteristics'!$C$5:$Q$12,13,FALSE)*$J62</f>
        <v>224.93519517036202</v>
      </c>
      <c r="Y62" s="706">
        <f t="shared" si="53"/>
        <v>1192.064804829638</v>
      </c>
      <c r="Z62" s="706">
        <f>IF($C62="other",(1-$C56)*X62,(1-(VLOOKUP($C62,'S3 - Screening Tool Metrics'!$C$3:$G$17,5,FALSE)/100))*X62)</f>
        <v>72.429132844856582</v>
      </c>
      <c r="AA62" s="706">
        <f>IF($C62="other",$C56*X62,(VLOOKUP($C62,'S3 - Screening Tool Metrics'!$C$3:$G$17,5,FALSE)/100)*X62)</f>
        <v>152.50606232550544</v>
      </c>
      <c r="AB62" s="708">
        <f t="shared" si="47"/>
        <v>10.762601434404054</v>
      </c>
      <c r="AC62" s="707">
        <f t="shared" si="48"/>
        <v>175109.16666666666</v>
      </c>
      <c r="AD62" s="706">
        <f>VLOOKUP("*"&amp;$B62&amp;"*",'S4 - Summ PRS Characteristics'!$C$5:$Q$12,14,FALSE)*$J62</f>
        <v>122.49840214371123</v>
      </c>
      <c r="AE62" s="706">
        <f t="shared" si="55"/>
        <v>1294.5015978562888</v>
      </c>
      <c r="AF62" s="706">
        <f>IF($C62="other",(1-$C56)*AD62,(1-(VLOOKUP($C62,'S3 - Screening Tool Metrics'!$C$3:$G$17,5,FALSE)/100))*AD62)</f>
        <v>39.444485490275028</v>
      </c>
      <c r="AG62" s="706">
        <f>IF($C62="other",$C56*AD62,(VLOOKUP($C62,'S3 - Screening Tool Metrics'!$C$3:$G$17,5,FALSE)/100)*AD62)</f>
        <v>83.053916653436204</v>
      </c>
      <c r="AH62" s="708">
        <f t="shared" si="49"/>
        <v>5.8612502931147645</v>
      </c>
      <c r="AI62" s="707">
        <f t="shared" si="50"/>
        <v>35021.833333333328</v>
      </c>
      <c r="AJ62" s="706">
        <f>VLOOKUP("*"&amp;$B62&amp;"*",'S4 - Summ PRS Characteristics'!$C$5:$Q$12,15,FALSE)*$J62</f>
        <v>28.984501478974945</v>
      </c>
      <c r="AK62" s="706">
        <f t="shared" si="54"/>
        <v>1388.0154985210252</v>
      </c>
      <c r="AL62" s="706">
        <f>IF($C62="other",(1-$C56)*AJ62,(1-(VLOOKUP($C62,'S3 - Screening Tool Metrics'!$C$3:$G$17,5,FALSE)/100))*AJ62)</f>
        <v>9.3330094762299343</v>
      </c>
      <c r="AM62" s="706">
        <f>IF($C62="other",$C56*AJ62,(VLOOKUP($C62,'S3 - Screening Tool Metrics'!$C$3:$G$17,5,FALSE)/100)*AJ62)</f>
        <v>19.651492002745012</v>
      </c>
      <c r="AN62" s="709">
        <f t="shared" si="51"/>
        <v>1.3868378265875096</v>
      </c>
    </row>
    <row r="63" spans="2:40" ht="11" customHeight="1" x14ac:dyDescent="0.15">
      <c r="B63" s="700" t="s">
        <v>12</v>
      </c>
      <c r="C63" s="1082" t="str">
        <f>$C57</f>
        <v>CA19-9_20U/mL cutoff</v>
      </c>
      <c r="D63" s="552" t="s">
        <v>198</v>
      </c>
      <c r="E63" s="710">
        <f>VLOOKUP($B63&amp;"_"&amp;$D63,'App5 - CRUK Inci Rates'!C:H,6,FALSE)</f>
        <v>66.400000000000006</v>
      </c>
      <c r="F63" s="711">
        <f>VLOOKUP($B63&amp;"_"&amp;$D63,'App5 - CRUK Inci Rates'!C:H,3,FALSE)</f>
        <v>48.8</v>
      </c>
      <c r="G63" s="712">
        <f>VLOOKUP($B63&amp;"_"&amp;$D63,'App5 - CRUK Inci Rates'!C:J,8,FALSE)</f>
        <v>3071574.666666667</v>
      </c>
      <c r="H63" s="713">
        <f>VLOOKUP($B63&amp;"_"&amp;$D63,'App5 - CRUK Inci Rates'!C:J,7,FALSE)</f>
        <v>1467965</v>
      </c>
      <c r="I63" s="713">
        <f>VLOOKUP($B63&amp;"_"&amp;$D63,'App5 - CRUK Inci Rates'!C:J,4,FALSE)</f>
        <v>1603609.6666666667</v>
      </c>
      <c r="J63" s="709">
        <f>VLOOKUP($B63&amp;"_"&amp;$D63,'App5 - CRUK Inci Rates'!C:K,9,FALSE)</f>
        <v>1757</v>
      </c>
      <c r="K63" s="706">
        <f t="shared" si="7"/>
        <v>1535787.3333333335</v>
      </c>
      <c r="L63" s="706">
        <f>VLOOKUP("*"&amp;$B63&amp;"*",'S4 - Summ PRS Characteristics'!$C$5:$Q$12,11,FALSE)*$J63</f>
        <v>1073.5116417698907</v>
      </c>
      <c r="M63" s="706">
        <f t="shared" si="8"/>
        <v>683.48835823010927</v>
      </c>
      <c r="N63" s="706">
        <f>IF($C63="other",(1-$C$7)*L63,(1-(VLOOKUP($C63,'S3 - Screening Tool Metrics'!$C$3:$G$17,5,FALSE)/100))*L63)</f>
        <v>345.67074864990491</v>
      </c>
      <c r="O63" s="706">
        <f>IF($C63="other",$C$7*L63,(VLOOKUP($C63,'S3 - Screening Tool Metrics'!$C$3:$G$17,5,FALSE)/100)*L63)</f>
        <v>727.84089311998582</v>
      </c>
      <c r="P63" s="706">
        <f t="shared" si="9"/>
        <v>41.425207348889344</v>
      </c>
      <c r="Q63" s="707">
        <f t="shared" si="44"/>
        <v>614314.93333333347</v>
      </c>
      <c r="R63" s="706">
        <f>VLOOKUP("*"&amp;$B63&amp;"*",'S4 - Summ PRS Characteristics'!$C$5:$Q$12,12,FALSE)*$J63</f>
        <v>505.72785663546836</v>
      </c>
      <c r="S63" s="706">
        <f t="shared" si="52"/>
        <v>1251.2721433645315</v>
      </c>
      <c r="T63" s="706">
        <f>IF($C63="other",(1-$C56)*R63,(1-(VLOOKUP($C63,'S3 - Screening Tool Metrics'!$C$3:$G$17,5,FALSE)/100))*R63)</f>
        <v>162.84436983662084</v>
      </c>
      <c r="U63" s="706">
        <f>IF($C63="other",$C56*R63,(VLOOKUP($C63,'S3 - Screening Tool Metrics'!$C$3:$G$17,5,FALSE)/100)*R63)</f>
        <v>342.88348679884751</v>
      </c>
      <c r="V63" s="708">
        <f t="shared" si="45"/>
        <v>19.515280978875786</v>
      </c>
      <c r="W63" s="707">
        <f t="shared" si="46"/>
        <v>307157.46666666673</v>
      </c>
      <c r="X63" s="706">
        <f>VLOOKUP("*"&amp;$B63&amp;"*",'S4 - Summ PRS Characteristics'!$C$5:$Q$12,13,FALSE)*$J63</f>
        <v>278.90694277651801</v>
      </c>
      <c r="Y63" s="706">
        <f t="shared" si="53"/>
        <v>1478.093057223482</v>
      </c>
      <c r="Z63" s="706">
        <f>IF($C63="other",(1-$C56)*X63,(1-(VLOOKUP($C63,'S3 - Screening Tool Metrics'!$C$3:$G$17,5,FALSE)/100))*X63)</f>
        <v>89.808035574038811</v>
      </c>
      <c r="AA63" s="706">
        <f>IF($C63="other",$C56*X63,(VLOOKUP($C63,'S3 - Screening Tool Metrics'!$C$3:$G$17,5,FALSE)/100)*X63)</f>
        <v>189.09890720247918</v>
      </c>
      <c r="AB63" s="708">
        <f t="shared" si="47"/>
        <v>10.762601434404051</v>
      </c>
      <c r="AC63" s="707">
        <f t="shared" si="48"/>
        <v>153578.73333333337</v>
      </c>
      <c r="AD63" s="706">
        <f>VLOOKUP("*"&amp;$B63&amp;"*",'S4 - Summ PRS Characteristics'!$C$5:$Q$12,14,FALSE)*$J63</f>
        <v>151.89110272865253</v>
      </c>
      <c r="AE63" s="706">
        <f t="shared" si="55"/>
        <v>1605.1088972713474</v>
      </c>
      <c r="AF63" s="706">
        <f>IF($C63="other",(1-$C56)*AD63,(1-(VLOOKUP($C63,'S3 - Screening Tool Metrics'!$C$3:$G$17,5,FALSE)/100))*AD63)</f>
        <v>48.908935078626122</v>
      </c>
      <c r="AG63" s="706">
        <f>IF($C63="other",$C56*AD63,(VLOOKUP($C63,'S3 - Screening Tool Metrics'!$C$3:$G$17,5,FALSE)/100)*AD63)</f>
        <v>102.9821676500264</v>
      </c>
      <c r="AH63" s="708">
        <f t="shared" si="49"/>
        <v>5.8612502931147636</v>
      </c>
      <c r="AI63" s="707">
        <f t="shared" si="50"/>
        <v>30715.74666666667</v>
      </c>
      <c r="AJ63" s="706">
        <f>VLOOKUP("*"&amp;$B63&amp;"*",'S4 - Summ PRS Characteristics'!$C$5:$Q$12,15,FALSE)*$J63</f>
        <v>35.939145447112899</v>
      </c>
      <c r="AK63" s="706">
        <f t="shared" si="54"/>
        <v>1721.0608545528871</v>
      </c>
      <c r="AL63" s="706">
        <f>IF($C63="other",(1-$C56)*AJ63,(1-(VLOOKUP($C63,'S3 - Screening Tool Metrics'!$C$3:$G$17,5,FALSE)/100))*AJ63)</f>
        <v>11.572404833970356</v>
      </c>
      <c r="AM63" s="706">
        <f>IF($C63="other",$C56*AJ63,(VLOOKUP($C63,'S3 - Screening Tool Metrics'!$C$3:$G$17,5,FALSE)/100)*AJ63)</f>
        <v>24.366740613142543</v>
      </c>
      <c r="AN63" s="709">
        <f t="shared" si="51"/>
        <v>1.3868378265875094</v>
      </c>
    </row>
    <row r="64" spans="2:40" ht="11" customHeight="1" x14ac:dyDescent="0.15">
      <c r="B64" s="700" t="s">
        <v>12</v>
      </c>
      <c r="C64" s="1082" t="str">
        <f>$C57</f>
        <v>CA19-9_20U/mL cutoff</v>
      </c>
      <c r="D64" s="552" t="s">
        <v>199</v>
      </c>
      <c r="E64" s="710">
        <f>VLOOKUP($B64&amp;"_"&amp;$D64,'App5 - CRUK Inci Rates'!C:H,6,FALSE)</f>
        <v>86</v>
      </c>
      <c r="F64" s="711">
        <f>VLOOKUP($B64&amp;"_"&amp;$D64,'App5 - CRUK Inci Rates'!C:H,3,FALSE)</f>
        <v>70.8</v>
      </c>
      <c r="G64" s="712">
        <f>VLOOKUP($B64&amp;"_"&amp;$D64,'App5 - CRUK Inci Rates'!C:J,8,FALSE)</f>
        <v>2189010.6666666665</v>
      </c>
      <c r="H64" s="713">
        <f>VLOOKUP($B64&amp;"_"&amp;$D64,'App5 - CRUK Inci Rates'!C:J,7,FALSE)</f>
        <v>1007365.3333333334</v>
      </c>
      <c r="I64" s="713">
        <f>VLOOKUP($B64&amp;"_"&amp;$D64,'App5 - CRUK Inci Rates'!C:J,4,FALSE)</f>
        <v>1181645.3333333333</v>
      </c>
      <c r="J64" s="709">
        <f>VLOOKUP($B64&amp;"_"&amp;$D64,'App5 - CRUK Inci Rates'!C:K,9,FALSE)</f>
        <v>1702</v>
      </c>
      <c r="K64" s="706">
        <f t="shared" si="7"/>
        <v>1094505.3333333333</v>
      </c>
      <c r="L64" s="706">
        <f>VLOOKUP("*"&amp;$B64&amp;"*",'S4 - Summ PRS Characteristics'!$C$5:$Q$12,11,FALSE)*$J64</f>
        <v>1039.907122534066</v>
      </c>
      <c r="M64" s="706">
        <f t="shared" si="8"/>
        <v>662.09287746593395</v>
      </c>
      <c r="N64" s="706">
        <f>IF($C64="other",(1-$C$7)*L64,(1-(VLOOKUP($C64,'S3 - Screening Tool Metrics'!$C$3:$G$17,5,FALSE)/100))*L64)</f>
        <v>334.85009345596933</v>
      </c>
      <c r="O64" s="706">
        <f>IF($C64="other",$C$7*L64,(VLOOKUP($C64,'S3 - Screening Tool Metrics'!$C$3:$G$17,5,FALSE)/100)*L64)</f>
        <v>705.05702907809666</v>
      </c>
      <c r="P64" s="706">
        <f t="shared" si="9"/>
        <v>41.425207348889344</v>
      </c>
      <c r="Q64" s="707">
        <f t="shared" si="44"/>
        <v>437802.1333333333</v>
      </c>
      <c r="R64" s="706">
        <f>VLOOKUP("*"&amp;$B64&amp;"*",'S4 - Summ PRS Characteristics'!$C$5:$Q$12,12,FALSE)*$J64</f>
        <v>489.89687649036262</v>
      </c>
      <c r="S64" s="706">
        <f t="shared" si="52"/>
        <v>1212.1031235096375</v>
      </c>
      <c r="T64" s="706">
        <f>IF($C64="other",(1-$C56)*R64,(1-(VLOOKUP($C64,'S3 - Screening Tool Metrics'!$C$3:$G$17,5,FALSE)/100))*R64)</f>
        <v>157.74679422989681</v>
      </c>
      <c r="U64" s="706">
        <f>IF($C64="other",$C56*R64,(VLOOKUP($C64,'S3 - Screening Tool Metrics'!$C$3:$G$17,5,FALSE)/100)*R64)</f>
        <v>332.15008226046581</v>
      </c>
      <c r="V64" s="708">
        <f t="shared" si="45"/>
        <v>19.515280978875783</v>
      </c>
      <c r="W64" s="707">
        <f t="shared" si="46"/>
        <v>218901.06666666665</v>
      </c>
      <c r="X64" s="706">
        <f>VLOOKUP("*"&amp;$B64&amp;"*",'S4 - Summ PRS Characteristics'!$C$5:$Q$12,13,FALSE)*$J64</f>
        <v>270.17621889905161</v>
      </c>
      <c r="Y64" s="706">
        <f t="shared" si="53"/>
        <v>1431.8237811009485</v>
      </c>
      <c r="Z64" s="706">
        <f>IF($C64="other",(1-$C56)*X64,(1-(VLOOKUP($C64,'S3 - Screening Tool Metrics'!$C$3:$G$17,5,FALSE)/100))*X64)</f>
        <v>86.996742485494636</v>
      </c>
      <c r="AA64" s="706">
        <f>IF($C64="other",$C56*X64,(VLOOKUP($C64,'S3 - Screening Tool Metrics'!$C$3:$G$17,5,FALSE)/100)*X64)</f>
        <v>183.17947641355698</v>
      </c>
      <c r="AB64" s="708">
        <f t="shared" si="47"/>
        <v>10.762601434404052</v>
      </c>
      <c r="AC64" s="707">
        <f t="shared" si="48"/>
        <v>109450.53333333333</v>
      </c>
      <c r="AD64" s="706">
        <f>VLOOKUP("*"&amp;$B64&amp;"*",'S4 - Summ PRS Characteristics'!$C$5:$Q$12,14,FALSE)*$J64</f>
        <v>147.13640116344143</v>
      </c>
      <c r="AE64" s="706">
        <f t="shared" si="55"/>
        <v>1554.8635988365586</v>
      </c>
      <c r="AF64" s="706">
        <f>IF($C64="other",(1-$C56)*AD64,(1-(VLOOKUP($C64,'S3 - Screening Tool Metrics'!$C$3:$G$17,5,FALSE)/100))*AD64)</f>
        <v>47.377921174628149</v>
      </c>
      <c r="AG64" s="706">
        <f>IF($C64="other",$C56*AD64,(VLOOKUP($C64,'S3 - Screening Tool Metrics'!$C$3:$G$17,5,FALSE)/100)*AD64)</f>
        <v>99.758479988813278</v>
      </c>
      <c r="AH64" s="708">
        <f t="shared" si="49"/>
        <v>5.8612502931147636</v>
      </c>
      <c r="AI64" s="707">
        <f t="shared" si="50"/>
        <v>21890.106666666667</v>
      </c>
      <c r="AJ64" s="706">
        <f>VLOOKUP("*"&amp;$B64&amp;"*",'S4 - Summ PRS Characteristics'!$C$5:$Q$12,15,FALSE)*$J64</f>
        <v>34.814129511090584</v>
      </c>
      <c r="AK64" s="706">
        <f t="shared" si="54"/>
        <v>1667.1858704889094</v>
      </c>
      <c r="AL64" s="706">
        <f>IF($C64="other",(1-$C56)*AJ64,(1-(VLOOKUP($C64,'S3 - Screening Tool Metrics'!$C$3:$G$17,5,FALSE)/100))*AJ64)</f>
        <v>11.21014970257117</v>
      </c>
      <c r="AM64" s="706">
        <f>IF($C64="other",$C56*AJ64,(VLOOKUP($C64,'S3 - Screening Tool Metrics'!$C$3:$G$17,5,FALSE)/100)*AJ64)</f>
        <v>23.603979808519416</v>
      </c>
      <c r="AN64" s="709">
        <f t="shared" si="51"/>
        <v>1.3868378265875096</v>
      </c>
    </row>
    <row r="65" spans="2:40" ht="11" customHeight="1" x14ac:dyDescent="0.15">
      <c r="B65" s="700" t="s">
        <v>12</v>
      </c>
      <c r="C65" s="1082" t="str">
        <f>$C57</f>
        <v>CA19-9_20U/mL cutoff</v>
      </c>
      <c r="D65" s="552" t="s">
        <v>200</v>
      </c>
      <c r="E65" s="710">
        <f>VLOOKUP($B65&amp;"_"&amp;$D65,'App5 - CRUK Inci Rates'!C:H,6,FALSE)</f>
        <v>17.427226372970985</v>
      </c>
      <c r="F65" s="711">
        <f>VLOOKUP($B65&amp;"_"&amp;$D65,'App5 - CRUK Inci Rates'!C:H,3,FALSE)</f>
        <v>12.96374185444887</v>
      </c>
      <c r="G65" s="712">
        <f>VLOOKUP($B65&amp;"_"&amp;$D65,'App5 - CRUK Inci Rates'!C:J,8,FALSE)</f>
        <v>24586669.333333336</v>
      </c>
      <c r="H65" s="713">
        <f>VLOOKUP($B65&amp;"_"&amp;$D65,'App5 - CRUK Inci Rates'!C:J,7,FALSE)</f>
        <v>12090277.333333334</v>
      </c>
      <c r="I65" s="713">
        <f>VLOOKUP($B65&amp;"_"&amp;$D65,'App5 - CRUK Inci Rates'!C:J,4,FALSE)</f>
        <v>12496392</v>
      </c>
      <c r="J65" s="709">
        <f>VLOOKUP($B65&amp;"_"&amp;$D65,'App5 - CRUK Inci Rates'!C:K,9,FALSE)</f>
        <v>3727</v>
      </c>
      <c r="K65" s="706">
        <f t="shared" si="7"/>
        <v>12293334.666666668</v>
      </c>
      <c r="L65" s="706">
        <f>VLOOKUP("*"&amp;$B65&amp;"*",'S4 - Summ PRS Characteristics'!$C$5:$Q$12,11,FALSE)*$J65</f>
        <v>2277.164421671248</v>
      </c>
      <c r="M65" s="706">
        <f t="shared" si="8"/>
        <v>1449.835578328752</v>
      </c>
      <c r="N65" s="706">
        <f>IF($C65="other",(1-$C$7)*L65,(1-(VLOOKUP($C65,'S3 - Screening Tool Metrics'!$C$3:$G$17,5,FALSE)/100))*L65)</f>
        <v>733.24694377814194</v>
      </c>
      <c r="O65" s="706">
        <f>IF($C65="other",$C$7*L65,(VLOOKUP($C65,'S3 - Screening Tool Metrics'!$C$3:$G$17,5,FALSE)/100)*L65)</f>
        <v>1543.917477893106</v>
      </c>
      <c r="P65" s="706">
        <f t="shared" si="9"/>
        <v>41.425207348889344</v>
      </c>
      <c r="Q65" s="707">
        <f t="shared" si="44"/>
        <v>4917333.8666666672</v>
      </c>
      <c r="R65" s="706">
        <f>VLOOKUP("*"&amp;$B65&amp;"*",'S4 - Summ PRS Characteristics'!$C$5:$Q$12,12,FALSE)*$J65</f>
        <v>1072.7647818328915</v>
      </c>
      <c r="S65" s="706">
        <f t="shared" si="52"/>
        <v>2654.2352181671085</v>
      </c>
      <c r="T65" s="706">
        <f>IF($C65="other",(1-$C56)*R65,(1-(VLOOKUP($C65,'S3 - Screening Tool Metrics'!$C$3:$G$17,5,FALSE)/100))*R65)</f>
        <v>345.43025975019111</v>
      </c>
      <c r="U65" s="706">
        <f>IF($C65="other",$C56*R65,(VLOOKUP($C65,'S3 - Screening Tool Metrics'!$C$3:$G$17,5,FALSE)/100)*R65)</f>
        <v>727.33452208270035</v>
      </c>
      <c r="V65" s="708">
        <f t="shared" si="45"/>
        <v>19.515280978875783</v>
      </c>
      <c r="W65" s="707">
        <f t="shared" si="46"/>
        <v>2458666.9333333336</v>
      </c>
      <c r="X65" s="706">
        <f>VLOOKUP("*"&amp;$B65&amp;"*",'S4 - Summ PRS Characteristics'!$C$5:$Q$12,13,FALSE)*$J65</f>
        <v>591.6255980239514</v>
      </c>
      <c r="Y65" s="706">
        <f t="shared" si="53"/>
        <v>3135.3744019760488</v>
      </c>
      <c r="Z65" s="706">
        <f>IF($C65="other",(1-$C56)*X65,(1-(VLOOKUP($C65,'S3 - Screening Tool Metrics'!$C$3:$G$17,5,FALSE)/100))*X65)</f>
        <v>190.50344256371238</v>
      </c>
      <c r="AA65" s="706">
        <f>IF($C65="other",$C56*X65,(VLOOKUP($C65,'S3 - Screening Tool Metrics'!$C$3:$G$17,5,FALSE)/100)*X65)</f>
        <v>401.12215546023901</v>
      </c>
      <c r="AB65" s="708">
        <f t="shared" si="47"/>
        <v>10.762601434404052</v>
      </c>
      <c r="AC65" s="707">
        <f t="shared" si="48"/>
        <v>1229333.4666666668</v>
      </c>
      <c r="AD65" s="706">
        <f>VLOOKUP("*"&amp;$B65&amp;"*",'S4 - Summ PRS Characteristics'!$C$5:$Q$12,14,FALSE)*$J65</f>
        <v>322.19586788257709</v>
      </c>
      <c r="AE65" s="706">
        <f t="shared" si="55"/>
        <v>3404.8041321174228</v>
      </c>
      <c r="AF65" s="706">
        <f>IF($C65="other",(1-$C56)*AD65,(1-(VLOOKUP($C65,'S3 - Screening Tool Metrics'!$C$3:$G$17,5,FALSE)/100))*AD65)</f>
        <v>103.74706945818984</v>
      </c>
      <c r="AG65" s="706">
        <f>IF($C65="other",$C56*AD65,(VLOOKUP($C65,'S3 - Screening Tool Metrics'!$C$3:$G$17,5,FALSE)/100)*AD65)</f>
        <v>218.44879842438723</v>
      </c>
      <c r="AH65" s="708">
        <f t="shared" si="49"/>
        <v>5.8612502931147636</v>
      </c>
      <c r="AI65" s="707">
        <f t="shared" si="50"/>
        <v>245866.69333333336</v>
      </c>
      <c r="AJ65" s="706">
        <f>VLOOKUP("*"&amp;$B65&amp;"*",'S4 - Summ PRS Characteristics'!$C$5:$Q$12,15,FALSE)*$J65</f>
        <v>76.235170791912225</v>
      </c>
      <c r="AK65" s="706">
        <f t="shared" si="54"/>
        <v>3650.7648292080876</v>
      </c>
      <c r="AL65" s="706">
        <f>IF($C65="other",(1-$C56)*AJ65,(1-(VLOOKUP($C65,'S3 - Screening Tool Metrics'!$C$3:$G$17,5,FALSE)/100))*AJ65)</f>
        <v>24.54772499499574</v>
      </c>
      <c r="AM65" s="706">
        <f>IF($C65="other",$C56*AJ65,(VLOOKUP($C65,'S3 - Screening Tool Metrics'!$C$3:$G$17,5,FALSE)/100)*AJ65)</f>
        <v>51.687445796916485</v>
      </c>
      <c r="AN65" s="709">
        <f t="shared" si="51"/>
        <v>1.3868378265875096</v>
      </c>
    </row>
    <row r="66" spans="2:40" ht="11" customHeight="1" x14ac:dyDescent="0.15">
      <c r="B66" s="700" t="s">
        <v>12</v>
      </c>
      <c r="C66" s="1082" t="str">
        <f>$C57</f>
        <v>CA19-9_20U/mL cutoff</v>
      </c>
      <c r="D66" s="552" t="s">
        <v>201</v>
      </c>
      <c r="E66" s="710">
        <f>VLOOKUP($B66&amp;"_"&amp;$D66,'App5 - CRUK Inci Rates'!C:H,6,FALSE)</f>
        <v>4.1656285098735539</v>
      </c>
      <c r="F66" s="711">
        <f>VLOOKUP($B66&amp;"_"&amp;$D66,'App5 - CRUK Inci Rates'!C:H,3,FALSE)</f>
        <v>2.9979156476550499</v>
      </c>
      <c r="G66" s="712">
        <f>VLOOKUP($B66&amp;"_"&amp;$D66,'App5 - CRUK Inci Rates'!C:J,8,FALSE)</f>
        <v>8642767.333333334</v>
      </c>
      <c r="H66" s="713">
        <f>VLOOKUP($B66&amp;"_"&amp;$D66,'App5 - CRUK Inci Rates'!C:J,7,FALSE)</f>
        <v>4273064.666666667</v>
      </c>
      <c r="I66" s="713">
        <f>VLOOKUP($B66&amp;"_"&amp;$D66,'App5 - CRUK Inci Rates'!C:J,4,FALSE)</f>
        <v>4369702.666666667</v>
      </c>
      <c r="J66" s="709">
        <f>VLOOKUP($B66&amp;"_"&amp;$D66,'App5 - CRUK Inci Rates'!C:K,9,FALSE)</f>
        <v>309</v>
      </c>
      <c r="K66" s="706">
        <f t="shared" si="7"/>
        <v>4321383.666666667</v>
      </c>
      <c r="L66" s="706">
        <f>VLOOKUP("*"&amp;$B66&amp;"*",'S4 - Summ PRS Characteristics'!$C$5:$Q$12,11,FALSE)*$J66</f>
        <v>188.79629897945148</v>
      </c>
      <c r="M66" s="706">
        <f t="shared" si="8"/>
        <v>120.20370102054852</v>
      </c>
      <c r="N66" s="706">
        <f>IF($C66="other",(1-$C$7)*L66,(1-(VLOOKUP($C66,'S3 - Screening Tool Metrics'!$C$3:$G$17,5,FALSE)/100))*L66)</f>
        <v>60.792408271383387</v>
      </c>
      <c r="O66" s="706">
        <f>IF($C66="other",$C$7*L66,(VLOOKUP($C66,'S3 - Screening Tool Metrics'!$C$3:$G$17,5,FALSE)/100)*L66)</f>
        <v>128.0038907080681</v>
      </c>
      <c r="P66" s="706">
        <f t="shared" si="9"/>
        <v>41.425207348889352</v>
      </c>
      <c r="Q66" s="707">
        <f t="shared" si="44"/>
        <v>1728553.4666666668</v>
      </c>
      <c r="R66" s="706">
        <f>VLOOKUP("*"&amp;$B66&amp;"*",'S4 - Summ PRS Characteristics'!$C$5:$Q$12,12,FALSE)*$J66</f>
        <v>88.941324815230345</v>
      </c>
      <c r="S66" s="706">
        <f t="shared" si="52"/>
        <v>220.05867518476964</v>
      </c>
      <c r="T66" s="706">
        <f>IF($C66="other",(1-$C56)*R66,(1-(VLOOKUP($C66,'S3 - Screening Tool Metrics'!$C$3:$G$17,5,FALSE)/100))*R66)</f>
        <v>28.639106590504177</v>
      </c>
      <c r="U66" s="706">
        <f>IF($C66="other",$C56*R66,(VLOOKUP($C66,'S3 - Screening Tool Metrics'!$C$3:$G$17,5,FALSE)/100)*R66)</f>
        <v>60.302218224726168</v>
      </c>
      <c r="V66" s="708">
        <f t="shared" si="45"/>
        <v>19.515280978875783</v>
      </c>
      <c r="W66" s="707">
        <f t="shared" si="46"/>
        <v>864276.7333333334</v>
      </c>
      <c r="X66" s="706">
        <f>VLOOKUP("*"&amp;$B66&amp;"*",'S4 - Summ PRS Characteristics'!$C$5:$Q$12,13,FALSE)*$J66</f>
        <v>49.050794147947677</v>
      </c>
      <c r="Y66" s="706">
        <f t="shared" si="53"/>
        <v>259.94920585205233</v>
      </c>
      <c r="Z66" s="706">
        <f>IF($C66="other",(1-$C56)*X66,(1-(VLOOKUP($C66,'S3 - Screening Tool Metrics'!$C$3:$G$17,5,FALSE)/100))*X66)</f>
        <v>15.794355715639155</v>
      </c>
      <c r="AA66" s="706">
        <f>IF($C66="other",$C56*X66,(VLOOKUP($C66,'S3 - Screening Tool Metrics'!$C$3:$G$17,5,FALSE)/100)*X66)</f>
        <v>33.256438432308521</v>
      </c>
      <c r="AB66" s="708">
        <f t="shared" si="47"/>
        <v>10.762601434404052</v>
      </c>
      <c r="AC66" s="707">
        <f t="shared" si="48"/>
        <v>432138.3666666667</v>
      </c>
      <c r="AD66" s="706">
        <f>VLOOKUP("*"&amp;$B66&amp;"*",'S4 - Summ PRS Characteristics'!$C$5:$Q$12,14,FALSE)*$J66</f>
        <v>26.712777884549592</v>
      </c>
      <c r="AE66" s="706">
        <f t="shared" si="55"/>
        <v>282.28722211545039</v>
      </c>
      <c r="AF66" s="706">
        <f>IF($C66="other",(1-$C56)*AD66,(1-(VLOOKUP($C66,'S3 - Screening Tool Metrics'!$C$3:$G$17,5,FALSE)/100))*AD66)</f>
        <v>8.6015144788249707</v>
      </c>
      <c r="AG66" s="706">
        <f>IF($C66="other",$C56*AD66,(VLOOKUP($C66,'S3 - Screening Tool Metrics'!$C$3:$G$17,5,FALSE)/100)*AD66)</f>
        <v>18.111263405724621</v>
      </c>
      <c r="AH66" s="708">
        <f t="shared" si="49"/>
        <v>5.8612502931147645</v>
      </c>
      <c r="AI66" s="707">
        <f t="shared" si="50"/>
        <v>86427.67333333334</v>
      </c>
      <c r="AJ66" s="706">
        <f>VLOOKUP("*"&amp;$B66&amp;"*",'S4 - Summ PRS Characteristics'!$C$5:$Q$12,15,FALSE)*$J66</f>
        <v>6.3205440769253762</v>
      </c>
      <c r="AK66" s="706">
        <f t="shared" si="54"/>
        <v>302.67945592307461</v>
      </c>
      <c r="AL66" s="706">
        <f>IF($C66="other",(1-$C56)*AJ66,(1-(VLOOKUP($C66,'S3 - Screening Tool Metrics'!$C$3:$G$17,5,FALSE)/100))*AJ66)</f>
        <v>2.0352151927699715</v>
      </c>
      <c r="AM66" s="706">
        <f>IF($C66="other",$C56*AJ66,(VLOOKUP($C66,'S3 - Screening Tool Metrics'!$C$3:$G$17,5,FALSE)/100)*AJ66)</f>
        <v>4.2853288841554047</v>
      </c>
      <c r="AN66" s="709">
        <f t="shared" si="51"/>
        <v>1.3868378265875096</v>
      </c>
    </row>
    <row r="67" spans="2:40" ht="11" customHeight="1" x14ac:dyDescent="0.15">
      <c r="B67" s="700" t="s">
        <v>12</v>
      </c>
      <c r="C67" s="1082" t="str">
        <f>$C57</f>
        <v>CA19-9_20U/mL cutoff</v>
      </c>
      <c r="D67" s="552" t="s">
        <v>202</v>
      </c>
      <c r="E67" s="710">
        <f>VLOOKUP($B67&amp;"_"&amp;$D67,'App5 - CRUK Inci Rates'!C:H,6,FALSE)</f>
        <v>14.074510258320455</v>
      </c>
      <c r="F67" s="711">
        <f>VLOOKUP($B67&amp;"_"&amp;$D67,'App5 - CRUK Inci Rates'!C:H,3,FALSE)</f>
        <v>10.302553130251624</v>
      </c>
      <c r="G67" s="712">
        <f>VLOOKUP($B67&amp;"_"&amp;$D67,'App5 - CRUK Inci Rates'!C:J,8,FALSE)</f>
        <v>8839716.6666666679</v>
      </c>
      <c r="H67" s="713">
        <f>VLOOKUP($B67&amp;"_"&amp;$D67,'App5 - CRUK Inci Rates'!C:J,7,FALSE)</f>
        <v>4355391.333333333</v>
      </c>
      <c r="I67" s="713">
        <f>VLOOKUP($B67&amp;"_"&amp;$D67,'App5 - CRUK Inci Rates'!C:J,4,FALSE)</f>
        <v>4484325.333333334</v>
      </c>
      <c r="J67" s="709">
        <f>VLOOKUP($B67&amp;"_"&amp;$D67,'App5 - CRUK Inci Rates'!C:K,9,FALSE)</f>
        <v>1075</v>
      </c>
      <c r="K67" s="706">
        <f t="shared" si="7"/>
        <v>4419858.333333334</v>
      </c>
      <c r="L67" s="706">
        <f>VLOOKUP("*"&amp;$B67&amp;"*",'S4 - Summ PRS Characteristics'!$C$5:$Q$12,11,FALSE)*$J67</f>
        <v>656.81560324566453</v>
      </c>
      <c r="M67" s="706">
        <f t="shared" si="8"/>
        <v>418.18439675433547</v>
      </c>
      <c r="N67" s="706">
        <f>IF($C67="other",(1-$C$7)*L67,(1-(VLOOKUP($C67,'S3 - Screening Tool Metrics'!$C$3:$G$17,5,FALSE)/100))*L67)</f>
        <v>211.49462424510403</v>
      </c>
      <c r="O67" s="706">
        <f>IF($C67="other",$C$7*L67,(VLOOKUP($C67,'S3 - Screening Tool Metrics'!$C$3:$G$17,5,FALSE)/100)*L67)</f>
        <v>445.3209790005605</v>
      </c>
      <c r="P67" s="706">
        <f t="shared" si="9"/>
        <v>41.425207348889344</v>
      </c>
      <c r="Q67" s="707">
        <f t="shared" si="44"/>
        <v>1767943.3333333337</v>
      </c>
      <c r="R67" s="706">
        <f>VLOOKUP("*"&amp;$B67&amp;"*",'S4 - Summ PRS Characteristics'!$C$5:$Q$12,12,FALSE)*$J67</f>
        <v>309.42370283615736</v>
      </c>
      <c r="S67" s="706">
        <f t="shared" si="52"/>
        <v>765.57629716384258</v>
      </c>
      <c r="T67" s="706">
        <f>IF($C67="other",(1-$C56)*R67,(1-(VLOOKUP($C67,'S3 - Screening Tool Metrics'!$C$3:$G$17,5,FALSE)/100))*R67)</f>
        <v>99.634432313242684</v>
      </c>
      <c r="U67" s="706">
        <f>IF($C67="other",$C56*R67,(VLOOKUP($C67,'S3 - Screening Tool Metrics'!$C$3:$G$17,5,FALSE)/100)*R67)</f>
        <v>209.78927052291468</v>
      </c>
      <c r="V67" s="708">
        <f t="shared" si="45"/>
        <v>19.515280978875786</v>
      </c>
      <c r="W67" s="707">
        <f t="shared" si="46"/>
        <v>883971.66666666686</v>
      </c>
      <c r="X67" s="706">
        <f>VLOOKUP("*"&amp;$B67&amp;"*",'S4 - Summ PRS Characteristics'!$C$5:$Q$12,13,FALSE)*$J67</f>
        <v>170.64596669593448</v>
      </c>
      <c r="Y67" s="706">
        <f t="shared" si="53"/>
        <v>904.35403330406552</v>
      </c>
      <c r="Z67" s="706">
        <f>IF($C67="other",(1-$C56)*X67,(1-(VLOOKUP($C67,'S3 - Screening Tool Metrics'!$C$3:$G$17,5,FALSE)/100))*X67)</f>
        <v>54.948001276090913</v>
      </c>
      <c r="AA67" s="706">
        <f>IF($C67="other",$C56*X67,(VLOOKUP($C67,'S3 - Screening Tool Metrics'!$C$3:$G$17,5,FALSE)/100)*X67)</f>
        <v>115.69796541984357</v>
      </c>
      <c r="AB67" s="708">
        <f t="shared" si="47"/>
        <v>10.762601434404052</v>
      </c>
      <c r="AC67" s="707">
        <f t="shared" si="48"/>
        <v>441985.83333333343</v>
      </c>
      <c r="AD67" s="706">
        <f>VLOOKUP("*"&amp;$B67&amp;"*",'S4 - Summ PRS Characteristics'!$C$5:$Q$12,14,FALSE)*$J67</f>
        <v>92.932803320034978</v>
      </c>
      <c r="AE67" s="706">
        <f t="shared" si="55"/>
        <v>982.06719667996504</v>
      </c>
      <c r="AF67" s="706">
        <f>IF($C67="other",(1-$C56)*AD67,(1-(VLOOKUP($C67,'S3 - Screening Tool Metrics'!$C$3:$G$17,5,FALSE)/100))*AD67)</f>
        <v>29.92436266905127</v>
      </c>
      <c r="AG67" s="706">
        <f>IF($C67="other",$C56*AD67,(VLOOKUP($C67,'S3 - Screening Tool Metrics'!$C$3:$G$17,5,FALSE)/100)*AD67)</f>
        <v>63.008440650983708</v>
      </c>
      <c r="AH67" s="708">
        <f t="shared" si="49"/>
        <v>5.8612502931147636</v>
      </c>
      <c r="AI67" s="707">
        <f t="shared" si="50"/>
        <v>88397.166666666686</v>
      </c>
      <c r="AJ67" s="706">
        <f>VLOOKUP("*"&amp;$B67&amp;"*",'S4 - Summ PRS Characteristics'!$C$5:$Q$12,15,FALSE)*$J67</f>
        <v>21.988947840436179</v>
      </c>
      <c r="AK67" s="706">
        <f t="shared" si="54"/>
        <v>1053.0110521595639</v>
      </c>
      <c r="AL67" s="706">
        <f>IF($C67="other",(1-$C56)*AJ67,(1-(VLOOKUP($C67,'S3 - Screening Tool Metrics'!$C$3:$G$17,5,FALSE)/100))*AJ67)</f>
        <v>7.0804412046204508</v>
      </c>
      <c r="AM67" s="706">
        <f>IF($C67="other",$C56*AJ67,(VLOOKUP($C67,'S3 - Screening Tool Metrics'!$C$3:$G$17,5,FALSE)/100)*AJ67)</f>
        <v>14.908506635815728</v>
      </c>
      <c r="AN67" s="709">
        <f t="shared" si="51"/>
        <v>1.3868378265875094</v>
      </c>
    </row>
    <row r="68" spans="2:40" ht="11" customHeight="1" x14ac:dyDescent="0.15">
      <c r="B68" s="700" t="s">
        <v>12</v>
      </c>
      <c r="C68" s="1082" t="str">
        <f>$C57</f>
        <v>CA19-9_20U/mL cutoff</v>
      </c>
      <c r="D68" s="552" t="s">
        <v>203</v>
      </c>
      <c r="E68" s="710">
        <f>VLOOKUP($B68&amp;"_"&amp;$D68,'App5 - CRUK Inci Rates'!C:H,6,FALSE)</f>
        <v>24.676314720532528</v>
      </c>
      <c r="F68" s="711">
        <f>VLOOKUP($B68&amp;"_"&amp;$D68,'App5 - CRUK Inci Rates'!C:H,3,FALSE)</f>
        <v>18.322344301910888</v>
      </c>
      <c r="G68" s="712">
        <f>VLOOKUP($B68&amp;"_"&amp;$D68,'App5 - CRUK Inci Rates'!C:J,8,FALSE)</f>
        <v>15943902</v>
      </c>
      <c r="H68" s="713">
        <f>VLOOKUP($B68&amp;"_"&amp;$D68,'App5 - CRUK Inci Rates'!C:J,7,FALSE)</f>
        <v>7817212.666666666</v>
      </c>
      <c r="I68" s="713">
        <f>VLOOKUP($B68&amp;"_"&amp;$D68,'App5 - CRUK Inci Rates'!C:J,4,FALSE)</f>
        <v>8126689.333333334</v>
      </c>
      <c r="J68" s="709">
        <f>VLOOKUP($B68&amp;"_"&amp;$D68,'App5 - CRUK Inci Rates'!C:K,9,FALSE)</f>
        <v>3418</v>
      </c>
      <c r="K68" s="706">
        <f t="shared" si="7"/>
        <v>7971951</v>
      </c>
      <c r="L68" s="706">
        <f>VLOOKUP("*"&amp;$B68&amp;"*",'S4 - Summ PRS Characteristics'!$C$5:$Q$12,11,FALSE)*$J68</f>
        <v>2088.3681226917965</v>
      </c>
      <c r="M68" s="706">
        <f t="shared" si="8"/>
        <v>1329.6318773082035</v>
      </c>
      <c r="N68" s="706">
        <f>IF($C68="other",(1-$C$7)*L68,(1-(VLOOKUP($C68,'S3 - Screening Tool Metrics'!$C$3:$G$17,5,FALSE)/100))*L68)</f>
        <v>672.45453550675859</v>
      </c>
      <c r="O68" s="706">
        <f>IF($C68="other",$C$7*L68,(VLOOKUP($C68,'S3 - Screening Tool Metrics'!$C$3:$G$17,5,FALSE)/100)*L68)</f>
        <v>1415.9135871850378</v>
      </c>
      <c r="P68" s="706">
        <f t="shared" si="9"/>
        <v>41.425207348889344</v>
      </c>
      <c r="Q68" s="707">
        <f t="shared" si="44"/>
        <v>3188780.4000000004</v>
      </c>
      <c r="R68" s="706">
        <f>VLOOKUP("*"&amp;$B68&amp;"*",'S4 - Summ PRS Characteristics'!$C$5:$Q$12,12,FALSE)*$J68</f>
        <v>983.82345701766121</v>
      </c>
      <c r="S68" s="706">
        <f t="shared" si="52"/>
        <v>2434.176542982339</v>
      </c>
      <c r="T68" s="706">
        <f>IF($C68="other",(1-$C56)*R68,(1-(VLOOKUP($C68,'S3 - Screening Tool Metrics'!$C$3:$G$17,5,FALSE)/100))*R68)</f>
        <v>316.79115315968698</v>
      </c>
      <c r="U68" s="706">
        <f>IF($C68="other",$C56*R68,(VLOOKUP($C68,'S3 - Screening Tool Metrics'!$C$3:$G$17,5,FALSE)/100)*R68)</f>
        <v>667.03230385797428</v>
      </c>
      <c r="V68" s="708">
        <f t="shared" si="45"/>
        <v>19.515280978875786</v>
      </c>
      <c r="W68" s="707">
        <f t="shared" si="46"/>
        <v>1594390.2000000002</v>
      </c>
      <c r="X68" s="706">
        <f>VLOOKUP("*"&amp;$B68&amp;"*",'S4 - Summ PRS Characteristics'!$C$5:$Q$12,13,FALSE)*$J68</f>
        <v>542.57480387600378</v>
      </c>
      <c r="Y68" s="706">
        <f t="shared" si="53"/>
        <v>2875.4251961239961</v>
      </c>
      <c r="Z68" s="706">
        <f>IF($C68="other",(1-$C56)*X68,(1-(VLOOKUP($C68,'S3 - Screening Tool Metrics'!$C$3:$G$17,5,FALSE)/100))*X68)</f>
        <v>174.70908684807324</v>
      </c>
      <c r="AA68" s="706">
        <f>IF($C68="other",$C56*X68,(VLOOKUP($C68,'S3 - Screening Tool Metrics'!$C$3:$G$17,5,FALSE)/100)*X68)</f>
        <v>367.86571702793054</v>
      </c>
      <c r="AB68" s="708">
        <f t="shared" si="47"/>
        <v>10.762601434404054</v>
      </c>
      <c r="AC68" s="707">
        <f t="shared" si="48"/>
        <v>797195.10000000009</v>
      </c>
      <c r="AD68" s="706">
        <f>VLOOKUP("*"&amp;$B68&amp;"*",'S4 - Summ PRS Characteristics'!$C$5:$Q$12,14,FALSE)*$J68</f>
        <v>295.48308999802754</v>
      </c>
      <c r="AE68" s="706">
        <f t="shared" si="55"/>
        <v>3122.5169100019725</v>
      </c>
      <c r="AF68" s="706">
        <f>IF($C68="other",(1-$C56)*AD68,(1-(VLOOKUP($C68,'S3 - Screening Tool Metrics'!$C$3:$G$17,5,FALSE)/100))*AD68)</f>
        <v>95.145554979364888</v>
      </c>
      <c r="AG68" s="706">
        <f>IF($C68="other",$C56*AD68,(VLOOKUP($C68,'S3 - Screening Tool Metrics'!$C$3:$G$17,5,FALSE)/100)*AD68)</f>
        <v>200.33753501866266</v>
      </c>
      <c r="AH68" s="708">
        <f t="shared" si="49"/>
        <v>5.8612502931147645</v>
      </c>
      <c r="AI68" s="707">
        <f t="shared" si="50"/>
        <v>159439.01999999999</v>
      </c>
      <c r="AJ68" s="706">
        <f>VLOOKUP("*"&amp;$B68&amp;"*",'S4 - Summ PRS Characteristics'!$C$5:$Q$12,15,FALSE)*$J68</f>
        <v>69.914626714986852</v>
      </c>
      <c r="AK68" s="706">
        <f t="shared" si="54"/>
        <v>3348.0853732850132</v>
      </c>
      <c r="AL68" s="706">
        <f>IF($C68="other",(1-$C56)*AJ68,(1-(VLOOKUP($C68,'S3 - Screening Tool Metrics'!$C$3:$G$17,5,FALSE)/100))*AJ68)</f>
        <v>22.512509802225772</v>
      </c>
      <c r="AM68" s="706">
        <f>IF($C68="other",$C56*AJ68,(VLOOKUP($C68,'S3 - Screening Tool Metrics'!$C$3:$G$17,5,FALSE)/100)*AJ68)</f>
        <v>47.40211691276108</v>
      </c>
      <c r="AN68" s="709">
        <f t="shared" si="51"/>
        <v>1.3868378265875096</v>
      </c>
    </row>
    <row r="69" spans="2:40" ht="11" customHeight="1" x14ac:dyDescent="0.15">
      <c r="B69" s="700" t="s">
        <v>12</v>
      </c>
      <c r="C69" s="1082" t="str">
        <f>$C58</f>
        <v>CA19-9_20U/mL cutoff</v>
      </c>
      <c r="D69" s="552" t="s">
        <v>292</v>
      </c>
      <c r="E69" s="710">
        <f>VLOOKUP($B69&amp;"_"&amp;$D69,'App5 - CRUK Inci Rates'!C:H,6,FALSE)</f>
        <v>46.472602362279531</v>
      </c>
      <c r="F69" s="711">
        <f>VLOOKUP($B69&amp;"_"&amp;$D69,'App5 - CRUK Inci Rates'!C:H,3,FALSE)</f>
        <v>34.483589033138493</v>
      </c>
      <c r="G69" s="712">
        <f>VLOOKUP($B69&amp;"_"&amp;$D69,'App5 - CRUK Inci Rates'!C:J,8,FALSE)</f>
        <v>8881256.9603638444</v>
      </c>
      <c r="H69" s="713">
        <f>VLOOKUP($B69&amp;"_"&amp;$D69,'App5 - CRUK Inci Rates'!C:J,7,FALSE)</f>
        <v>4929786.333333333</v>
      </c>
      <c r="I69" s="713">
        <f>VLOOKUP($B69&amp;"_"&amp;$D69,'App5 - CRUK Inci Rates'!C:J,4,FALSE)</f>
        <v>5245973.666666667</v>
      </c>
      <c r="J69" s="709">
        <f>VLOOKUP($B69&amp;"_"&amp;$D69,'App5 - CRUK Inci Rates'!C:K,9,FALSE)</f>
        <v>4100</v>
      </c>
      <c r="K69" s="706">
        <f t="shared" si="7"/>
        <v>4440628.4801819222</v>
      </c>
      <c r="L69" s="706">
        <f>VLOOKUP("*"&amp;$B69&amp;"*",'S4 - Summ PRS Characteristics'!$C$5:$Q$12,11,FALSE)*$J69</f>
        <v>2505.064161216023</v>
      </c>
      <c r="M69" s="706">
        <f t="shared" si="8"/>
        <v>1594.935838783977</v>
      </c>
      <c r="N69" s="706">
        <f>IF($C69="other",(1-$C$7)*L69,(1-(VLOOKUP($C69,'S3 - Screening Tool Metrics'!$C$3:$G$17,5,FALSE)/100))*L69)</f>
        <v>806.63065991155952</v>
      </c>
      <c r="O69" s="706">
        <f>IF($C69="other",$C$7*L69,(VLOOKUP($C69,'S3 - Screening Tool Metrics'!$C$3:$G$17,5,FALSE)/100)*L69)</f>
        <v>1698.4335013044633</v>
      </c>
      <c r="P69" s="706">
        <f t="shared" si="9"/>
        <v>41.425207348889344</v>
      </c>
      <c r="Q69" s="707">
        <f>$G69*Q$3</f>
        <v>1776251.3920727689</v>
      </c>
      <c r="R69" s="706">
        <f>VLOOKUP("*"&amp;$B69&amp;"*",'S4 - Summ PRS Characteristics'!$C$5:$Q$12,12,FALSE)*$J69</f>
        <v>1180.1276108169723</v>
      </c>
      <c r="S69" s="706">
        <f>$J69-R69</f>
        <v>2919.8723891830277</v>
      </c>
      <c r="T69" s="706">
        <f>IF($C69="other",(1-$C57)*R69,(1-(VLOOKUP($C69,'S3 - Screening Tool Metrics'!$C$3:$G$17,5,FALSE)/100))*R69)</f>
        <v>380.00109068306517</v>
      </c>
      <c r="U69" s="706">
        <f>IF($C69="other",$C57*R69,(VLOOKUP($C69,'S3 - Screening Tool Metrics'!$C$3:$G$17,5,FALSE)/100)*R69)</f>
        <v>800.12652013390709</v>
      </c>
      <c r="V69" s="708">
        <f t="shared" si="45"/>
        <v>19.515280978875783</v>
      </c>
      <c r="W69" s="707">
        <f>$G69*W$3</f>
        <v>888125.69603638444</v>
      </c>
      <c r="X69" s="706">
        <f>VLOOKUP("*"&amp;$B69&amp;"*",'S4 - Summ PRS Characteristics'!$C$5:$Q$12,13,FALSE)*$J69</f>
        <v>650.83577995658732</v>
      </c>
      <c r="Y69" s="706">
        <f t="shared" si="53"/>
        <v>3449.1642200434126</v>
      </c>
      <c r="Z69" s="706">
        <f>IF($C69="other",(1-$C57)*X69,(1-(VLOOKUP($C69,'S3 - Screening Tool Metrics'!$C$3:$G$17,5,FALSE)/100))*X69)</f>
        <v>209.56912114602116</v>
      </c>
      <c r="AA69" s="706">
        <f>IF($C69="other",$C57*X69,(VLOOKUP($C69,'S3 - Screening Tool Metrics'!$C$3:$G$17,5,FALSE)/100)*X69)</f>
        <v>441.26665881056618</v>
      </c>
      <c r="AB69" s="708">
        <f t="shared" si="47"/>
        <v>10.762601434404054</v>
      </c>
      <c r="AC69" s="707">
        <f t="shared" si="48"/>
        <v>444062.84801819222</v>
      </c>
      <c r="AD69" s="706">
        <f>VLOOKUP("*"&amp;$B69&amp;"*",'S4 - Summ PRS Characteristics'!$C$5:$Q$12,14,FALSE)*$J69</f>
        <v>354.44138940664504</v>
      </c>
      <c r="AE69" s="706">
        <f t="shared" si="55"/>
        <v>3745.5586105933548</v>
      </c>
      <c r="AF69" s="706">
        <f>IF($C69="other",(1-$C57)*AD69,(1-(VLOOKUP($C69,'S3 - Screening Tool Metrics'!$C$3:$G$17,5,FALSE)/100))*AD69)</f>
        <v>114.13012738893973</v>
      </c>
      <c r="AG69" s="706">
        <f>IF($C69="other",$C57*AD69,(VLOOKUP($C69,'S3 - Screening Tool Metrics'!$C$3:$G$17,5,FALSE)/100)*AD69)</f>
        <v>240.3112620177053</v>
      </c>
      <c r="AH69" s="708">
        <f t="shared" si="49"/>
        <v>5.8612502931147636</v>
      </c>
      <c r="AI69" s="707">
        <f t="shared" si="50"/>
        <v>88812.569603638447</v>
      </c>
      <c r="AJ69" s="706">
        <f>VLOOKUP("*"&amp;$B69&amp;"*",'S4 - Summ PRS Characteristics'!$C$5:$Q$12,15,FALSE)*$J69</f>
        <v>83.864824321663576</v>
      </c>
      <c r="AK69" s="706">
        <f t="shared" si="54"/>
        <v>4016.1351756783365</v>
      </c>
      <c r="AL69" s="706">
        <f>IF($C69="other",(1-$C57)*AJ69,(1-(VLOOKUP($C69,'S3 - Screening Tool Metrics'!$C$3:$G$17,5,FALSE)/100))*AJ69)</f>
        <v>27.004473431575676</v>
      </c>
      <c r="AM69" s="706">
        <f>IF($C69="other",$C57*AJ69,(VLOOKUP($C69,'S3 - Screening Tool Metrics'!$C$3:$G$17,5,FALSE)/100)*AJ69)</f>
        <v>56.860350890087901</v>
      </c>
      <c r="AN69" s="709">
        <f t="shared" si="51"/>
        <v>1.3868378265875096</v>
      </c>
    </row>
    <row r="70" spans="2:40" ht="11" customHeight="1" x14ac:dyDescent="0.15">
      <c r="B70" s="700" t="s">
        <v>12</v>
      </c>
      <c r="C70" s="1082" t="str">
        <f>$C57</f>
        <v>CA19-9_20U/mL cutoff</v>
      </c>
      <c r="D70" s="552" t="s">
        <v>204</v>
      </c>
      <c r="E70" s="710">
        <f>VLOOKUP($B70&amp;"_"&amp;$D70,'App5 - CRUK Inci Rates'!C:H,6,FALSE)</f>
        <v>27.10494536410576</v>
      </c>
      <c r="F70" s="711">
        <f>VLOOKUP($B70&amp;"_"&amp;$D70,'App5 - CRUK Inci Rates'!C:H,3,FALSE)</f>
        <v>21.188815577273839</v>
      </c>
      <c r="G70" s="712">
        <f>VLOOKUP($B70&amp;"_"&amp;$D70,'App5 - CRUK Inci Rates'!C:J,8,FALSE)</f>
        <v>29847254.666666668</v>
      </c>
      <c r="H70" s="713">
        <f>VLOOKUP($B70&amp;"_"&amp;$D70,'App5 - CRUK Inci Rates'!C:J,7,FALSE)</f>
        <v>14565607.666666668</v>
      </c>
      <c r="I70" s="713">
        <f>VLOOKUP($B70&amp;"_"&amp;$D70,'App5 - CRUK Inci Rates'!C:J,4,FALSE)</f>
        <v>15281647</v>
      </c>
      <c r="J70" s="709">
        <f>VLOOKUP($B70&amp;"_"&amp;$D70,'App5 - CRUK Inci Rates'!C:K,9,FALSE)</f>
        <v>7186</v>
      </c>
      <c r="K70" s="706">
        <f t="shared" si="7"/>
        <v>14923627.333333334</v>
      </c>
      <c r="L70" s="706">
        <f>VLOOKUP("*"&amp;$B70&amp;"*",'S4 - Summ PRS Characteristics'!$C$5:$Q$12,11,FALSE)*$J70</f>
        <v>4390.5831859752052</v>
      </c>
      <c r="M70" s="706">
        <f t="shared" si="8"/>
        <v>2795.4168140247948</v>
      </c>
      <c r="N70" s="706">
        <f>IF($C70="other",(1-$C$7)*L70,(1-(VLOOKUP($C70,'S3 - Screening Tool Metrics'!$C$3:$G$17,5,FALSE)/100))*L70)</f>
        <v>1413.7677858840163</v>
      </c>
      <c r="O70" s="706">
        <f>IF($C70="other",$C$7*L70,(VLOOKUP($C70,'S3 - Screening Tool Metrics'!$C$3:$G$17,5,FALSE)/100)*L70)</f>
        <v>2976.8154000911886</v>
      </c>
      <c r="P70" s="706">
        <f t="shared" si="9"/>
        <v>41.425207348889344</v>
      </c>
      <c r="Q70" s="707">
        <f t="shared" si="44"/>
        <v>5969450.9333333336</v>
      </c>
      <c r="R70" s="706">
        <f>VLOOKUP("*"&amp;$B70&amp;"*",'S4 - Summ PRS Characteristics'!$C$5:$Q$12,12,FALSE)*$J70</f>
        <v>2068.3895149587224</v>
      </c>
      <c r="S70" s="706">
        <f t="shared" si="52"/>
        <v>5117.6104850412776</v>
      </c>
      <c r="T70" s="706">
        <f>IF($C70="other",(1-$C56)*R70,(1-(VLOOKUP($C70,'S3 - Screening Tool Metrics'!$C$3:$G$17,5,FALSE)/100))*R70)</f>
        <v>666.02142381670876</v>
      </c>
      <c r="U70" s="706">
        <f>IF($C70="other",$C56*R70,(VLOOKUP($C70,'S3 - Screening Tool Metrics'!$C$3:$G$17,5,FALSE)/100)*R70)</f>
        <v>1402.3680911420138</v>
      </c>
      <c r="V70" s="708">
        <f t="shared" si="45"/>
        <v>19.515280978875783</v>
      </c>
      <c r="W70" s="707">
        <f t="shared" si="46"/>
        <v>2984725.4666666668</v>
      </c>
      <c r="X70" s="706">
        <f>VLOOKUP("*"&amp;$B70&amp;"*",'S4 - Summ PRS Characteristics'!$C$5:$Q$12,13,FALSE)*$J70</f>
        <v>1140.7087596995211</v>
      </c>
      <c r="Y70" s="706">
        <f t="shared" si="53"/>
        <v>6045.2912403004793</v>
      </c>
      <c r="Z70" s="706">
        <f>IF($C70="other",(1-$C56)*X70,(1-(VLOOKUP($C70,'S3 - Screening Tool Metrics'!$C$3:$G$17,5,FALSE)/100))*X70)</f>
        <v>367.30822062324586</v>
      </c>
      <c r="AA70" s="706">
        <f>IF($C70="other",$C56*X70,(VLOOKUP($C70,'S3 - Screening Tool Metrics'!$C$3:$G$17,5,FALSE)/100)*X70)</f>
        <v>773.40053907627521</v>
      </c>
      <c r="AB70" s="708">
        <f t="shared" si="47"/>
        <v>10.762601434404052</v>
      </c>
      <c r="AC70" s="707">
        <f t="shared" si="48"/>
        <v>1492362.7333333334</v>
      </c>
      <c r="AD70" s="706">
        <f>VLOOKUP("*"&amp;$B70&amp;"*",'S4 - Summ PRS Characteristics'!$C$5:$Q$12,14,FALSE)*$J70</f>
        <v>621.22337177467102</v>
      </c>
      <c r="AE70" s="706">
        <f t="shared" si="55"/>
        <v>6564.7766282253287</v>
      </c>
      <c r="AF70" s="706">
        <f>IF($C70="other",(1-$C56)*AD70,(1-(VLOOKUP($C70,'S3 - Screening Tool Metrics'!$C$3:$G$17,5,FALSE)/100))*AD70)</f>
        <v>200.03392571144411</v>
      </c>
      <c r="AG70" s="706">
        <f>IF($C70="other",$C56*AD70,(VLOOKUP($C70,'S3 - Screening Tool Metrics'!$C$3:$G$17,5,FALSE)/100)*AD70)</f>
        <v>421.18944606322691</v>
      </c>
      <c r="AH70" s="708">
        <f t="shared" si="49"/>
        <v>5.8612502931147636</v>
      </c>
      <c r="AI70" s="707">
        <f t="shared" si="50"/>
        <v>298472.54666666669</v>
      </c>
      <c r="AJ70" s="706">
        <f>VLOOKUP("*"&amp;$B70&amp;"*",'S4 - Summ PRS Characteristics'!$C$5:$Q$12,15,FALSE)*$J70</f>
        <v>146.98844575011572</v>
      </c>
      <c r="AK70" s="706">
        <f t="shared" si="54"/>
        <v>7039.0115542498843</v>
      </c>
      <c r="AL70" s="706">
        <f>IF($C70="other",(1-$C56)*AJ70,(1-(VLOOKUP($C70,'S3 - Screening Tool Metrics'!$C$3:$G$17,5,FALSE)/100))*AJ70)</f>
        <v>47.330279531537272</v>
      </c>
      <c r="AM70" s="706">
        <f>IF($C70="other",$C56*AJ70,(VLOOKUP($C70,'S3 - Screening Tool Metrics'!$C$3:$G$17,5,FALSE)/100)*AJ70)</f>
        <v>99.658166218578444</v>
      </c>
      <c r="AN70" s="709">
        <f t="shared" si="51"/>
        <v>1.3868378265875096</v>
      </c>
    </row>
    <row r="71" spans="2:40" ht="11" customHeight="1" thickBot="1" x14ac:dyDescent="0.2">
      <c r="B71" s="700" t="s">
        <v>12</v>
      </c>
      <c r="C71" s="1083" t="str">
        <f>$C58</f>
        <v>CA19-9_20U/mL cutoff</v>
      </c>
      <c r="D71" s="552" t="s">
        <v>205</v>
      </c>
      <c r="E71" s="710">
        <f>VLOOKUP($B71&amp;"_"&amp;$D71,'App5 - CRUK Inci Rates'!C:H,6,FALSE)</f>
        <v>19.3</v>
      </c>
      <c r="F71" s="711">
        <f>VLOOKUP($B71&amp;"_"&amp;$D71,'App5 - CRUK Inci Rates'!C:H,3,FALSE)</f>
        <v>15</v>
      </c>
      <c r="G71" s="712">
        <f>VLOOKUP($B71&amp;"_"&amp;$D71,'App5 - CRUK Inci Rates'!C:J,8,FALSE)</f>
        <v>66041277.666666664</v>
      </c>
      <c r="H71" s="713">
        <f>VLOOKUP($B71&amp;"_"&amp;$D71,'App5 - CRUK Inci Rates'!C:J,7,FALSE)</f>
        <v>32583225.666666668</v>
      </c>
      <c r="I71" s="713">
        <f>VLOOKUP($B71&amp;"_"&amp;$D71,'App5 - CRUK Inci Rates'!C:J,4,FALSE)</f>
        <v>33458051.999999996</v>
      </c>
      <c r="J71" s="709">
        <f>VLOOKUP($B71&amp;"_"&amp;$D71,'App5 - CRUK Inci Rates'!C:K,9,FALSE)</f>
        <v>10452</v>
      </c>
      <c r="K71" s="714"/>
      <c r="L71" s="714"/>
      <c r="M71" s="714"/>
      <c r="N71" s="714"/>
      <c r="O71" s="714"/>
      <c r="P71" s="714"/>
      <c r="Q71" s="715"/>
      <c r="R71" s="716"/>
      <c r="S71" s="716"/>
      <c r="T71" s="716"/>
      <c r="U71" s="716"/>
      <c r="V71" s="717"/>
      <c r="W71" s="715"/>
      <c r="X71" s="716"/>
      <c r="Y71" s="716"/>
      <c r="Z71" s="716"/>
      <c r="AA71" s="716"/>
      <c r="AB71" s="717"/>
      <c r="AC71" s="716"/>
      <c r="AD71" s="716"/>
      <c r="AE71" s="716"/>
      <c r="AF71" s="716"/>
      <c r="AG71" s="716"/>
      <c r="AH71" s="717"/>
      <c r="AI71" s="715"/>
      <c r="AJ71" s="716"/>
      <c r="AK71" s="716"/>
      <c r="AL71" s="716"/>
      <c r="AM71" s="716"/>
      <c r="AN71" s="718"/>
    </row>
    <row r="72" spans="2:40" ht="11" customHeight="1" thickBot="1" x14ac:dyDescent="0.2">
      <c r="B72" s="686" t="s">
        <v>13</v>
      </c>
      <c r="C72" s="687"/>
      <c r="D72" s="688"/>
      <c r="E72" s="689"/>
      <c r="F72" s="690"/>
      <c r="G72" s="691"/>
      <c r="H72" s="692"/>
      <c r="I72" s="692"/>
      <c r="J72" s="693"/>
      <c r="K72" s="694"/>
      <c r="L72" s="694"/>
      <c r="M72" s="694"/>
      <c r="N72" s="694"/>
      <c r="O72" s="694"/>
      <c r="P72" s="694"/>
      <c r="Q72" s="695"/>
      <c r="R72" s="696"/>
      <c r="S72" s="696"/>
      <c r="T72" s="696"/>
      <c r="U72" s="696"/>
      <c r="V72" s="697"/>
      <c r="W72" s="695"/>
      <c r="X72" s="696"/>
      <c r="Y72" s="696"/>
      <c r="Z72" s="696"/>
      <c r="AA72" s="696"/>
      <c r="AB72" s="697"/>
      <c r="AC72" s="695"/>
      <c r="AD72" s="696"/>
      <c r="AE72" s="696"/>
      <c r="AF72" s="696"/>
      <c r="AG72" s="696"/>
      <c r="AH72" s="697"/>
      <c r="AI72" s="695"/>
      <c r="AJ72" s="696"/>
      <c r="AK72" s="696"/>
      <c r="AL72" s="696"/>
      <c r="AM72" s="696"/>
      <c r="AN72" s="699"/>
    </row>
    <row r="73" spans="2:40" ht="11" customHeight="1" x14ac:dyDescent="0.15">
      <c r="B73" s="700" t="s">
        <v>13</v>
      </c>
      <c r="C73" s="1081" t="s">
        <v>163</v>
      </c>
      <c r="D73" s="593" t="s">
        <v>192</v>
      </c>
      <c r="E73" s="701">
        <f>VLOOKUP($B73&amp;"_"&amp;$D73,'App5 - CRUK Inci Rates'!C:H,6,FALSE)</f>
        <v>0</v>
      </c>
      <c r="F73" s="702">
        <f>VLOOKUP($B73&amp;"_"&amp;$D73,'App5 - CRUK Inci Rates'!C:H,3,FALSE)</f>
        <v>13.2</v>
      </c>
      <c r="G73" s="703">
        <f>VLOOKUP($B73&amp;"_"&amp;$D73,'App5 - CRUK Inci Rates'!C:J,8,FALSE)</f>
        <v>2054223.3333333333</v>
      </c>
      <c r="H73" s="704">
        <f>VLOOKUP($B73&amp;"_"&amp;$D73,'App5 - CRUK Inci Rates'!C:J,7,FALSE)</f>
        <v>0</v>
      </c>
      <c r="I73" s="704">
        <f>VLOOKUP($B73&amp;"_"&amp;$D73,'App5 - CRUK Inci Rates'!C:J,4,FALSE)</f>
        <v>2054223.3333333333</v>
      </c>
      <c r="J73" s="705">
        <f>VLOOKUP($B73&amp;"_"&amp;$D73,'App5 - CRUK Inci Rates'!C:K,9,FALSE)</f>
        <v>270</v>
      </c>
      <c r="K73" s="706">
        <f t="shared" si="7"/>
        <v>1027111.6666666666</v>
      </c>
      <c r="L73" s="706">
        <f>VLOOKUP("*"&amp;$B73&amp;"*",'S4 - Summ PRS Characteristics'!$C$5:$Q$12,11,FALSE)*$J73</f>
        <v>157.06848426367819</v>
      </c>
      <c r="M73" s="706">
        <f t="shared" si="8"/>
        <v>112.93151573632181</v>
      </c>
      <c r="N73" s="706">
        <f>IF($C73="other",(1-$C$7)*L73,(1-(VLOOKUP($C73,'S3 - Screening Tool Metrics'!$C$3:$G$17,5,FALSE)/100))*L73)</f>
        <v>25.130957482188514</v>
      </c>
      <c r="O73" s="706">
        <f>IF($C73="other",$C$7*L73,(VLOOKUP($C73,'S3 - Screening Tool Metrics'!$C$3:$G$17,5,FALSE)/100)*L73)</f>
        <v>131.93752678148968</v>
      </c>
      <c r="P73" s="706">
        <f t="shared" si="9"/>
        <v>48.865750659810992</v>
      </c>
      <c r="Q73" s="707">
        <f t="shared" ref="Q73:Q86" si="56">$G73*Q$3</f>
        <v>410844.66666666669</v>
      </c>
      <c r="R73" s="706">
        <f>VLOOKUP("*"&amp;$B73&amp;"*",'S4 - Summ PRS Characteristics'!$C$5:$Q$12,12,FALSE)*$J73</f>
        <v>70.907579327200025</v>
      </c>
      <c r="S73" s="706">
        <f>$J73-R73</f>
        <v>199.09242067279996</v>
      </c>
      <c r="T73" s="706">
        <f>IF($C73="other",(1-$C72)*R73,(1-(VLOOKUP($C73,'S3 - Screening Tool Metrics'!$C$3:$G$17,5,FALSE)/100))*R73)</f>
        <v>11.345212692352007</v>
      </c>
      <c r="U73" s="706">
        <f>IF($C73="other",$C72*R73,(VLOOKUP($C73,'S3 - Screening Tool Metrics'!$C$3:$G$17,5,FALSE)/100)*R73)</f>
        <v>59.562366634848019</v>
      </c>
      <c r="V73" s="708">
        <f t="shared" ref="V73:V86" si="57">$U73/$J73*100</f>
        <v>22.060135790684452</v>
      </c>
      <c r="W73" s="707">
        <f t="shared" ref="W73:W86" si="58">$G73*W$3</f>
        <v>205422.33333333334</v>
      </c>
      <c r="X73" s="706">
        <f>VLOOKUP("*"&amp;$B73&amp;"*",'S4 - Summ PRS Characteristics'!$C$5:$Q$12,13,FALSE)*$J73</f>
        <v>38.107461257263161</v>
      </c>
      <c r="Y73" s="706">
        <f>$J73-X73</f>
        <v>231.89253874273683</v>
      </c>
      <c r="Z73" s="706">
        <f>IF($C73="other",(1-$C72)*X73,(1-(VLOOKUP($C73,'S3 - Screening Tool Metrics'!$C$3:$G$17,5,FALSE)/100))*X73)</f>
        <v>6.0971938011621072</v>
      </c>
      <c r="AA73" s="706">
        <f>IF($C73="other",$C72*X73,(VLOOKUP($C73,'S3 - Screening Tool Metrics'!$C$3:$G$17,5,FALSE)/100)*X73)</f>
        <v>32.010267456101055</v>
      </c>
      <c r="AB73" s="708">
        <f t="shared" ref="AB73:AB86" si="59">$AA73/$J73*100</f>
        <v>11.855654613370762</v>
      </c>
      <c r="AC73" s="707">
        <f t="shared" ref="AC73:AC86" si="60">$G73*AC$3</f>
        <v>102711.16666666667</v>
      </c>
      <c r="AD73" s="706">
        <f>VLOOKUP("*"&amp;$B73&amp;"*",'S4 - Summ PRS Characteristics'!$C$5:$Q$12,14,FALSE)*$J73</f>
        <v>20.288714315165752</v>
      </c>
      <c r="AE73" s="706">
        <f>$J73-AD73</f>
        <v>249.71128568483425</v>
      </c>
      <c r="AF73" s="706">
        <f>IF($C73="other",(1-$C72)*AD73,(1-(VLOOKUP($C73,'S3 - Screening Tool Metrics'!$C$3:$G$17,5,FALSE)/100))*AD73)</f>
        <v>3.2461942904265211</v>
      </c>
      <c r="AG73" s="706">
        <f>IF($C73="other",$C72*AD73,(VLOOKUP($C73,'S3 - Screening Tool Metrics'!$C$3:$G$17,5,FALSE)/100)*AD73)</f>
        <v>17.042520024739233</v>
      </c>
      <c r="AH73" s="708">
        <f t="shared" ref="AH73:AH86" si="61">$AG73/$J73*100</f>
        <v>6.3120444536071227</v>
      </c>
      <c r="AI73" s="707">
        <f t="shared" ref="AI73:AI86" si="62">$G73*AI$3</f>
        <v>20542.233333333334</v>
      </c>
      <c r="AJ73" s="706">
        <f>VLOOKUP("*"&amp;$B73&amp;"*",'S4 - Summ PRS Characteristics'!$C$5:$Q$12,15,FALSE)*$J73</f>
        <v>4.5906621794031635</v>
      </c>
      <c r="AK73" s="706">
        <f>$J73-AJ73</f>
        <v>265.40933782059682</v>
      </c>
      <c r="AL73" s="706">
        <f>IF($C73="other",(1-$C72)*AJ73,(1-(VLOOKUP($C73,'S3 - Screening Tool Metrics'!$C$3:$G$17,5,FALSE)/100))*AJ73)</f>
        <v>0.73450594870450625</v>
      </c>
      <c r="AM73" s="706">
        <f>IF($C73="other",$C72*AJ73,(VLOOKUP($C73,'S3 - Screening Tool Metrics'!$C$3:$G$17,5,FALSE)/100)*AJ73)</f>
        <v>3.856156230698657</v>
      </c>
      <c r="AN73" s="709">
        <f t="shared" ref="AN73:AN86" si="63">$AM73/$J73*100</f>
        <v>1.4282060113698729</v>
      </c>
    </row>
    <row r="74" spans="2:40" ht="11" customHeight="1" x14ac:dyDescent="0.15">
      <c r="B74" s="700" t="s">
        <v>13</v>
      </c>
      <c r="C74" s="1082" t="str">
        <f>$C73</f>
        <v>MMS (CA-125 + TVU)</v>
      </c>
      <c r="D74" s="552" t="s">
        <v>193</v>
      </c>
      <c r="E74" s="710">
        <f>VLOOKUP($B74&amp;"_"&amp;$D74,'App5 - CRUK Inci Rates'!C:H,6,FALSE)</f>
        <v>0</v>
      </c>
      <c r="F74" s="711">
        <f>VLOOKUP($B74&amp;"_"&amp;$D74,'App5 - CRUK Inci Rates'!C:H,3,FALSE)</f>
        <v>19.399999999999999</v>
      </c>
      <c r="G74" s="712">
        <f>VLOOKUP($B74&amp;"_"&amp;$D74,'App5 - CRUK Inci Rates'!C:J,8,FALSE)</f>
        <v>2315479.3333333335</v>
      </c>
      <c r="H74" s="713">
        <f>VLOOKUP($B74&amp;"_"&amp;$D74,'App5 - CRUK Inci Rates'!C:J,7,FALSE)</f>
        <v>0</v>
      </c>
      <c r="I74" s="713">
        <f>VLOOKUP($B74&amp;"_"&amp;$D74,'App5 - CRUK Inci Rates'!C:J,4,FALSE)</f>
        <v>2315479.3333333335</v>
      </c>
      <c r="J74" s="709">
        <f>VLOOKUP($B74&amp;"_"&amp;$D74,'App5 - CRUK Inci Rates'!C:K,9,FALSE)</f>
        <v>448</v>
      </c>
      <c r="K74" s="706">
        <f t="shared" ref="K74:K137" si="64">$G74*$K$3</f>
        <v>1157739.6666666667</v>
      </c>
      <c r="L74" s="706">
        <f>VLOOKUP("*"&amp;$B74&amp;"*",'S4 - Summ PRS Characteristics'!$C$5:$Q$12,11,FALSE)*$J74</f>
        <v>260.61733685232531</v>
      </c>
      <c r="M74" s="706">
        <f t="shared" ref="M74:M137" si="65">$J74-$L74</f>
        <v>187.38266314767469</v>
      </c>
      <c r="N74" s="706">
        <f>IF($C74="other",(1-$C$7)*L74,(1-(VLOOKUP($C74,'S3 - Screening Tool Metrics'!$C$3:$G$17,5,FALSE)/100))*L74)</f>
        <v>41.69877389637206</v>
      </c>
      <c r="O74" s="706">
        <f>IF($C74="other",$C$7*L74,(VLOOKUP($C74,'S3 - Screening Tool Metrics'!$C$3:$G$17,5,FALSE)/100)*L74)</f>
        <v>218.91856295595326</v>
      </c>
      <c r="P74" s="706">
        <f t="shared" ref="P74:P137" si="66">O74/J74*100</f>
        <v>48.865750659810999</v>
      </c>
      <c r="Q74" s="707">
        <f t="shared" si="56"/>
        <v>463095.8666666667</v>
      </c>
      <c r="R74" s="706">
        <f>VLOOKUP("*"&amp;$B74&amp;"*",'S4 - Summ PRS Characteristics'!$C$5:$Q$12,12,FALSE)*$J74</f>
        <v>117.65405755031708</v>
      </c>
      <c r="S74" s="706">
        <f t="shared" ref="S74:S86" si="67">$J74-R74</f>
        <v>330.34594244968292</v>
      </c>
      <c r="T74" s="706">
        <f>IF($C74="other",(1-$C72)*R74,(1-(VLOOKUP($C74,'S3 - Screening Tool Metrics'!$C$3:$G$17,5,FALSE)/100))*R74)</f>
        <v>18.824649208050737</v>
      </c>
      <c r="U74" s="706">
        <f>IF($C74="other",$C72*R74,(VLOOKUP($C74,'S3 - Screening Tool Metrics'!$C$3:$G$17,5,FALSE)/100)*R74)</f>
        <v>98.829408342266348</v>
      </c>
      <c r="V74" s="708">
        <f t="shared" si="57"/>
        <v>22.060135790684452</v>
      </c>
      <c r="W74" s="707">
        <f t="shared" si="58"/>
        <v>231547.93333333335</v>
      </c>
      <c r="X74" s="706">
        <f>VLOOKUP("*"&amp;$B74&amp;"*",'S4 - Summ PRS Characteristics'!$C$5:$Q$12,13,FALSE)*$J74</f>
        <v>63.230157937977395</v>
      </c>
      <c r="Y74" s="706">
        <f t="shared" ref="Y74:Y86" si="68">$J74-X74</f>
        <v>384.76984206202258</v>
      </c>
      <c r="Z74" s="706">
        <f>IF($C74="other",(1-$C72)*X74,(1-(VLOOKUP($C74,'S3 - Screening Tool Metrics'!$C$3:$G$17,5,FALSE)/100))*X74)</f>
        <v>10.116825270076385</v>
      </c>
      <c r="AA74" s="706">
        <f>IF($C74="other",$C72*X74,(VLOOKUP($C74,'S3 - Screening Tool Metrics'!$C$3:$G$17,5,FALSE)/100)*X74)</f>
        <v>53.113332667901012</v>
      </c>
      <c r="AB74" s="708">
        <f t="shared" si="59"/>
        <v>11.855654613370762</v>
      </c>
      <c r="AC74" s="707">
        <f t="shared" si="60"/>
        <v>115773.96666666667</v>
      </c>
      <c r="AD74" s="706">
        <f>VLOOKUP("*"&amp;$B74&amp;"*",'S4 - Summ PRS Characteristics'!$C$5:$Q$12,14,FALSE)*$J74</f>
        <v>33.664237085904652</v>
      </c>
      <c r="AE74" s="706">
        <f>$J74-AD74</f>
        <v>414.33576291409537</v>
      </c>
      <c r="AF74" s="706">
        <f>IF($C74="other",(1-$C72)*AD74,(1-(VLOOKUP($C74,'S3 - Screening Tool Metrics'!$C$3:$G$17,5,FALSE)/100))*AD74)</f>
        <v>5.3862779337447453</v>
      </c>
      <c r="AG74" s="706">
        <f>IF($C74="other",$C72*AD74,(VLOOKUP($C74,'S3 - Screening Tool Metrics'!$C$3:$G$17,5,FALSE)/100)*AD74)</f>
        <v>28.277959152159905</v>
      </c>
      <c r="AH74" s="708">
        <f t="shared" si="61"/>
        <v>6.312044453607121</v>
      </c>
      <c r="AI74" s="707">
        <f t="shared" si="62"/>
        <v>23154.793333333335</v>
      </c>
      <c r="AJ74" s="706">
        <f>VLOOKUP("*"&amp;$B74&amp;"*",'S4 - Summ PRS Characteristics'!$C$5:$Q$12,15,FALSE)*$J74</f>
        <v>7.6170987273059891</v>
      </c>
      <c r="AK74" s="706">
        <f t="shared" ref="AK74:AK86" si="69">$J74-AJ74</f>
        <v>440.38290127269403</v>
      </c>
      <c r="AL74" s="706">
        <f>IF($C74="other",(1-$C72)*AJ74,(1-(VLOOKUP($C74,'S3 - Screening Tool Metrics'!$C$3:$G$17,5,FALSE)/100))*AJ74)</f>
        <v>1.2187357963689585</v>
      </c>
      <c r="AM74" s="706">
        <f>IF($C74="other",$C72*AJ74,(VLOOKUP($C74,'S3 - Screening Tool Metrics'!$C$3:$G$17,5,FALSE)/100)*AJ74)</f>
        <v>6.3983629309370302</v>
      </c>
      <c r="AN74" s="709">
        <f t="shared" si="63"/>
        <v>1.4282060113698729</v>
      </c>
    </row>
    <row r="75" spans="2:40" ht="11" customHeight="1" x14ac:dyDescent="0.15">
      <c r="B75" s="700" t="s">
        <v>13</v>
      </c>
      <c r="C75" s="1082" t="str">
        <f>$C73</f>
        <v>MMS (CA-125 + TVU)</v>
      </c>
      <c r="D75" s="552" t="s">
        <v>194</v>
      </c>
      <c r="E75" s="710">
        <f>VLOOKUP($B75&amp;"_"&amp;$D75,'App5 - CRUK Inci Rates'!C:H,6,FALSE)</f>
        <v>0</v>
      </c>
      <c r="F75" s="711">
        <f>VLOOKUP($B75&amp;"_"&amp;$D75,'App5 - CRUK Inci Rates'!C:H,3,FALSE)</f>
        <v>27.1</v>
      </c>
      <c r="G75" s="712">
        <f>VLOOKUP($B75&amp;"_"&amp;$D75,'App5 - CRUK Inci Rates'!C:J,8,FALSE)</f>
        <v>2364638</v>
      </c>
      <c r="H75" s="713">
        <f>VLOOKUP($B75&amp;"_"&amp;$D75,'App5 - CRUK Inci Rates'!C:J,7,FALSE)</f>
        <v>0</v>
      </c>
      <c r="I75" s="713">
        <f>VLOOKUP($B75&amp;"_"&amp;$D75,'App5 - CRUK Inci Rates'!C:J,4,FALSE)</f>
        <v>2364638</v>
      </c>
      <c r="J75" s="709">
        <f>VLOOKUP($B75&amp;"_"&amp;$D75,'App5 - CRUK Inci Rates'!C:K,9,FALSE)</f>
        <v>640</v>
      </c>
      <c r="K75" s="706">
        <f t="shared" si="64"/>
        <v>1182319</v>
      </c>
      <c r="L75" s="706">
        <f>VLOOKUP("*"&amp;$B75&amp;"*",'S4 - Summ PRS Characteristics'!$C$5:$Q$12,11,FALSE)*$J75</f>
        <v>372.31048121760756</v>
      </c>
      <c r="M75" s="706">
        <f t="shared" si="65"/>
        <v>267.68951878239244</v>
      </c>
      <c r="N75" s="706">
        <f>IF($C75="other",(1-$C$7)*L75,(1-(VLOOKUP($C75,'S3 - Screening Tool Metrics'!$C$3:$G$17,5,FALSE)/100))*L75)</f>
        <v>59.569676994817222</v>
      </c>
      <c r="O75" s="706">
        <f>IF($C75="other",$C$7*L75,(VLOOKUP($C75,'S3 - Screening Tool Metrics'!$C$3:$G$17,5,FALSE)/100)*L75)</f>
        <v>312.74080422279036</v>
      </c>
      <c r="P75" s="706">
        <f t="shared" si="66"/>
        <v>48.865750659810992</v>
      </c>
      <c r="Q75" s="707">
        <f t="shared" si="56"/>
        <v>472927.60000000003</v>
      </c>
      <c r="R75" s="706">
        <f>VLOOKUP("*"&amp;$B75&amp;"*",'S4 - Summ PRS Characteristics'!$C$5:$Q$12,12,FALSE)*$J75</f>
        <v>168.07722507188151</v>
      </c>
      <c r="S75" s="706">
        <f t="shared" si="67"/>
        <v>471.92277492811849</v>
      </c>
      <c r="T75" s="706">
        <f>IF($C75="other",(1-$C72)*R75,(1-(VLOOKUP($C75,'S3 - Screening Tool Metrics'!$C$3:$G$17,5,FALSE)/100))*R75)</f>
        <v>26.892356011501047</v>
      </c>
      <c r="U75" s="706">
        <f>IF($C75="other",$C72*R75,(VLOOKUP($C75,'S3 - Screening Tool Metrics'!$C$3:$G$17,5,FALSE)/100)*R75)</f>
        <v>141.18486906038046</v>
      </c>
      <c r="V75" s="708">
        <f t="shared" si="57"/>
        <v>22.060135790684448</v>
      </c>
      <c r="W75" s="707">
        <f t="shared" si="58"/>
        <v>236463.80000000002</v>
      </c>
      <c r="X75" s="706">
        <f>VLOOKUP("*"&amp;$B75&amp;"*",'S4 - Summ PRS Characteristics'!$C$5:$Q$12,13,FALSE)*$J75</f>
        <v>90.328797054253428</v>
      </c>
      <c r="Y75" s="706">
        <f t="shared" si="68"/>
        <v>549.67120294574659</v>
      </c>
      <c r="Z75" s="706">
        <f>IF($C75="other",(1-$C72)*X75,(1-(VLOOKUP($C75,'S3 - Screening Tool Metrics'!$C$3:$G$17,5,FALSE)/100))*X75)</f>
        <v>14.452607528680552</v>
      </c>
      <c r="AA75" s="706">
        <f>IF($C75="other",$C72*X75,(VLOOKUP($C75,'S3 - Screening Tool Metrics'!$C$3:$G$17,5,FALSE)/100)*X75)</f>
        <v>75.876189525572883</v>
      </c>
      <c r="AB75" s="708">
        <f t="shared" si="59"/>
        <v>11.855654613370763</v>
      </c>
      <c r="AC75" s="707">
        <f t="shared" si="60"/>
        <v>118231.90000000001</v>
      </c>
      <c r="AD75" s="706">
        <f>VLOOKUP("*"&amp;$B75&amp;"*",'S4 - Summ PRS Characteristics'!$C$5:$Q$12,14,FALSE)*$J75</f>
        <v>48.091767265578078</v>
      </c>
      <c r="AE75" s="706">
        <f t="shared" ref="AE75:AE86" si="70">$J75-AD75</f>
        <v>591.90823273442197</v>
      </c>
      <c r="AF75" s="706">
        <f>IF($C75="other",(1-$C72)*AD75,(1-(VLOOKUP($C75,'S3 - Screening Tool Metrics'!$C$3:$G$17,5,FALSE)/100))*AD75)</f>
        <v>7.6946827624924943</v>
      </c>
      <c r="AG75" s="706">
        <f>IF($C75="other",$C72*AD75,(VLOOKUP($C75,'S3 - Screening Tool Metrics'!$C$3:$G$17,5,FALSE)/100)*AD75)</f>
        <v>40.397084503085587</v>
      </c>
      <c r="AH75" s="708">
        <f t="shared" si="61"/>
        <v>6.3120444536071227</v>
      </c>
      <c r="AI75" s="707">
        <f t="shared" si="62"/>
        <v>23646.38</v>
      </c>
      <c r="AJ75" s="706">
        <f>VLOOKUP("*"&amp;$B75&amp;"*",'S4 - Summ PRS Characteristics'!$C$5:$Q$12,15,FALSE)*$J75</f>
        <v>10.881569610437127</v>
      </c>
      <c r="AK75" s="706">
        <f t="shared" si="69"/>
        <v>629.11843038956283</v>
      </c>
      <c r="AL75" s="706">
        <f>IF($C75="other",(1-$C72)*AJ75,(1-(VLOOKUP($C75,'S3 - Screening Tool Metrics'!$C$3:$G$17,5,FALSE)/100))*AJ75)</f>
        <v>1.7410511376699407</v>
      </c>
      <c r="AM75" s="706">
        <f>IF($C75="other",$C72*AJ75,(VLOOKUP($C75,'S3 - Screening Tool Metrics'!$C$3:$G$17,5,FALSE)/100)*AJ75)</f>
        <v>9.1405184727671873</v>
      </c>
      <c r="AN75" s="709">
        <f t="shared" si="63"/>
        <v>1.4282060113698729</v>
      </c>
    </row>
    <row r="76" spans="2:40" ht="11" customHeight="1" x14ac:dyDescent="0.15">
      <c r="B76" s="700" t="s">
        <v>13</v>
      </c>
      <c r="C76" s="1082" t="str">
        <f>$C73</f>
        <v>MMS (CA-125 + TVU)</v>
      </c>
      <c r="D76" s="552" t="s">
        <v>195</v>
      </c>
      <c r="E76" s="710">
        <f>VLOOKUP($B76&amp;"_"&amp;$D76,'App5 - CRUK Inci Rates'!C:H,6,FALSE)</f>
        <v>0</v>
      </c>
      <c r="F76" s="711">
        <f>VLOOKUP($B76&amp;"_"&amp;$D76,'App5 - CRUK Inci Rates'!C:H,3,FALSE)</f>
        <v>34.799999999999997</v>
      </c>
      <c r="G76" s="712">
        <f>VLOOKUP($B76&amp;"_"&amp;$D76,'App5 - CRUK Inci Rates'!C:J,8,FALSE)</f>
        <v>2119687.3333333335</v>
      </c>
      <c r="H76" s="713">
        <f>VLOOKUP($B76&amp;"_"&amp;$D76,'App5 - CRUK Inci Rates'!C:J,7,FALSE)</f>
        <v>0</v>
      </c>
      <c r="I76" s="713">
        <f>VLOOKUP($B76&amp;"_"&amp;$D76,'App5 - CRUK Inci Rates'!C:J,4,FALSE)</f>
        <v>2119687.3333333335</v>
      </c>
      <c r="J76" s="709">
        <f>VLOOKUP($B76&amp;"_"&amp;$D76,'App5 - CRUK Inci Rates'!C:K,9,FALSE)</f>
        <v>738</v>
      </c>
      <c r="K76" s="706">
        <f t="shared" si="64"/>
        <v>1059843.6666666667</v>
      </c>
      <c r="L76" s="706">
        <f>VLOOKUP("*"&amp;$B76&amp;"*",'S4 - Summ PRS Characteristics'!$C$5:$Q$12,11,FALSE)*$J76</f>
        <v>429.32052365405372</v>
      </c>
      <c r="M76" s="706">
        <f t="shared" si="65"/>
        <v>308.67947634594628</v>
      </c>
      <c r="N76" s="706">
        <f>IF($C76="other",(1-$C$7)*L76,(1-(VLOOKUP($C76,'S3 - Screening Tool Metrics'!$C$3:$G$17,5,FALSE)/100))*L76)</f>
        <v>68.691283784648604</v>
      </c>
      <c r="O76" s="706">
        <f>IF($C76="other",$C$7*L76,(VLOOKUP($C76,'S3 - Screening Tool Metrics'!$C$3:$G$17,5,FALSE)/100)*L76)</f>
        <v>360.62923986940513</v>
      </c>
      <c r="P76" s="706">
        <f t="shared" si="66"/>
        <v>48.865750659810992</v>
      </c>
      <c r="Q76" s="707">
        <f t="shared" si="56"/>
        <v>423937.46666666673</v>
      </c>
      <c r="R76" s="706">
        <f>VLOOKUP("*"&amp;$B76&amp;"*",'S4 - Summ PRS Characteristics'!$C$5:$Q$12,12,FALSE)*$J76</f>
        <v>193.8140501610134</v>
      </c>
      <c r="S76" s="706">
        <f t="shared" si="67"/>
        <v>544.18594983898663</v>
      </c>
      <c r="T76" s="706">
        <f>IF($C76="other",(1-$C72)*R76,(1-(VLOOKUP($C76,'S3 - Screening Tool Metrics'!$C$3:$G$17,5,FALSE)/100))*R76)</f>
        <v>31.010248025762149</v>
      </c>
      <c r="U76" s="706">
        <f>IF($C76="other",$C72*R76,(VLOOKUP($C76,'S3 - Screening Tool Metrics'!$C$3:$G$17,5,FALSE)/100)*R76)</f>
        <v>162.80380213525126</v>
      </c>
      <c r="V76" s="708">
        <f t="shared" si="57"/>
        <v>22.060135790684452</v>
      </c>
      <c r="W76" s="707">
        <f t="shared" si="58"/>
        <v>211968.73333333337</v>
      </c>
      <c r="X76" s="706">
        <f>VLOOKUP("*"&amp;$B76&amp;"*",'S4 - Summ PRS Characteristics'!$C$5:$Q$12,13,FALSE)*$J76</f>
        <v>104.16039410318598</v>
      </c>
      <c r="Y76" s="706">
        <f t="shared" si="68"/>
        <v>633.83960589681396</v>
      </c>
      <c r="Z76" s="706">
        <f>IF($C76="other",(1-$C72)*X76,(1-(VLOOKUP($C76,'S3 - Screening Tool Metrics'!$C$3:$G$17,5,FALSE)/100))*X76)</f>
        <v>16.665663056509761</v>
      </c>
      <c r="AA76" s="706">
        <f>IF($C76="other",$C72*X76,(VLOOKUP($C76,'S3 - Screening Tool Metrics'!$C$3:$G$17,5,FALSE)/100)*X76)</f>
        <v>87.494731046676222</v>
      </c>
      <c r="AB76" s="708">
        <f t="shared" si="59"/>
        <v>11.855654613370762</v>
      </c>
      <c r="AC76" s="707">
        <f t="shared" si="60"/>
        <v>105984.36666666668</v>
      </c>
      <c r="AD76" s="706">
        <f>VLOOKUP("*"&amp;$B76&amp;"*",'S4 - Summ PRS Characteristics'!$C$5:$Q$12,14,FALSE)*$J76</f>
        <v>55.455819128119721</v>
      </c>
      <c r="AE76" s="706">
        <f t="shared" si="70"/>
        <v>682.54418087188026</v>
      </c>
      <c r="AF76" s="706">
        <f>IF($C76="other",(1-$C72)*AD76,(1-(VLOOKUP($C76,'S3 - Screening Tool Metrics'!$C$3:$G$17,5,FALSE)/100))*AD76)</f>
        <v>8.8729310604991571</v>
      </c>
      <c r="AG76" s="706">
        <f>IF($C76="other",$C72*AD76,(VLOOKUP($C76,'S3 - Screening Tool Metrics'!$C$3:$G$17,5,FALSE)/100)*AD76)</f>
        <v>46.582888067620566</v>
      </c>
      <c r="AH76" s="708">
        <f t="shared" si="61"/>
        <v>6.3120444536071227</v>
      </c>
      <c r="AI76" s="707">
        <f t="shared" si="62"/>
        <v>21196.873333333337</v>
      </c>
      <c r="AJ76" s="706">
        <f>VLOOKUP("*"&amp;$B76&amp;"*",'S4 - Summ PRS Characteristics'!$C$5:$Q$12,15,FALSE)*$J76</f>
        <v>12.547809957035312</v>
      </c>
      <c r="AK76" s="706">
        <f t="shared" si="69"/>
        <v>725.45219004296473</v>
      </c>
      <c r="AL76" s="706">
        <f>IF($C76="other",(1-$C72)*AJ76,(1-(VLOOKUP($C76,'S3 - Screening Tool Metrics'!$C$3:$G$17,5,FALSE)/100))*AJ76)</f>
        <v>2.0076495931256502</v>
      </c>
      <c r="AM76" s="706">
        <f>IF($C76="other",$C72*AJ76,(VLOOKUP($C76,'S3 - Screening Tool Metrics'!$C$3:$G$17,5,FALSE)/100)*AJ76)</f>
        <v>10.540160363909662</v>
      </c>
      <c r="AN76" s="709">
        <f t="shared" si="63"/>
        <v>1.4282060113698729</v>
      </c>
    </row>
    <row r="77" spans="2:40" ht="11" customHeight="1" x14ac:dyDescent="0.15">
      <c r="B77" s="700" t="s">
        <v>13</v>
      </c>
      <c r="C77" s="1082" t="str">
        <f>$C73</f>
        <v>MMS (CA-125 + TVU)</v>
      </c>
      <c r="D77" s="552" t="s">
        <v>196</v>
      </c>
      <c r="E77" s="710">
        <f>VLOOKUP($B77&amp;"_"&amp;$D77,'App5 - CRUK Inci Rates'!C:H,6,FALSE)</f>
        <v>0</v>
      </c>
      <c r="F77" s="711">
        <f>VLOOKUP($B77&amp;"_"&amp;$D77,'App5 - CRUK Inci Rates'!C:H,3,FALSE)</f>
        <v>41.6</v>
      </c>
      <c r="G77" s="712">
        <f>VLOOKUP($B77&amp;"_"&amp;$D77,'App5 - CRUK Inci Rates'!C:J,8,FALSE)</f>
        <v>1837174</v>
      </c>
      <c r="H77" s="713">
        <f>VLOOKUP($B77&amp;"_"&amp;$D77,'App5 - CRUK Inci Rates'!C:J,7,FALSE)</f>
        <v>0</v>
      </c>
      <c r="I77" s="713">
        <f>VLOOKUP($B77&amp;"_"&amp;$D77,'App5 - CRUK Inci Rates'!C:J,4,FALSE)</f>
        <v>1837174</v>
      </c>
      <c r="J77" s="709">
        <f>VLOOKUP($B77&amp;"_"&amp;$D77,'App5 - CRUK Inci Rates'!C:K,9,FALSE)</f>
        <v>764</v>
      </c>
      <c r="K77" s="706">
        <f t="shared" si="64"/>
        <v>918587</v>
      </c>
      <c r="L77" s="706">
        <f>VLOOKUP("*"&amp;$B77&amp;"*",'S4 - Summ PRS Characteristics'!$C$5:$Q$12,11,FALSE)*$J77</f>
        <v>444.44563695351906</v>
      </c>
      <c r="M77" s="706">
        <f t="shared" si="65"/>
        <v>319.55436304648094</v>
      </c>
      <c r="N77" s="706">
        <f>IF($C77="other",(1-$C$7)*L77,(1-(VLOOKUP($C77,'S3 - Screening Tool Metrics'!$C$3:$G$17,5,FALSE)/100))*L77)</f>
        <v>71.111301912563064</v>
      </c>
      <c r="O77" s="706">
        <f>IF($C77="other",$C$7*L77,(VLOOKUP($C77,'S3 - Screening Tool Metrics'!$C$3:$G$17,5,FALSE)/100)*L77)</f>
        <v>373.33433504095598</v>
      </c>
      <c r="P77" s="706">
        <f t="shared" si="66"/>
        <v>48.865750659810992</v>
      </c>
      <c r="Q77" s="707">
        <f t="shared" si="56"/>
        <v>367434.80000000005</v>
      </c>
      <c r="R77" s="706">
        <f>VLOOKUP("*"&amp;$B77&amp;"*",'S4 - Summ PRS Characteristics'!$C$5:$Q$12,12,FALSE)*$J77</f>
        <v>200.64218742955856</v>
      </c>
      <c r="S77" s="706">
        <f t="shared" si="67"/>
        <v>563.35781257044141</v>
      </c>
      <c r="T77" s="706">
        <f>IF($C77="other",(1-$C72)*R77,(1-(VLOOKUP($C77,'S3 - Screening Tool Metrics'!$C$3:$G$17,5,FALSE)/100))*R77)</f>
        <v>32.102749988729379</v>
      </c>
      <c r="U77" s="706">
        <f>IF($C77="other",$C72*R77,(VLOOKUP($C77,'S3 - Screening Tool Metrics'!$C$3:$G$17,5,FALSE)/100)*R77)</f>
        <v>168.53943744082918</v>
      </c>
      <c r="V77" s="708">
        <f t="shared" si="57"/>
        <v>22.060135790684445</v>
      </c>
      <c r="W77" s="707">
        <f t="shared" si="58"/>
        <v>183717.40000000002</v>
      </c>
      <c r="X77" s="706">
        <f>VLOOKUP("*"&amp;$B77&amp;"*",'S4 - Summ PRS Characteristics'!$C$5:$Q$12,13,FALSE)*$J77</f>
        <v>107.83000148351502</v>
      </c>
      <c r="Y77" s="706">
        <f t="shared" si="68"/>
        <v>656.16999851648495</v>
      </c>
      <c r="Z77" s="706">
        <f>IF($C77="other",(1-$C72)*X77,(1-(VLOOKUP($C77,'S3 - Screening Tool Metrics'!$C$3:$G$17,5,FALSE)/100))*X77)</f>
        <v>17.252800237362408</v>
      </c>
      <c r="AA77" s="706">
        <f>IF($C77="other",$C72*X77,(VLOOKUP($C77,'S3 - Screening Tool Metrics'!$C$3:$G$17,5,FALSE)/100)*X77)</f>
        <v>90.577201246152612</v>
      </c>
      <c r="AB77" s="708">
        <f t="shared" si="59"/>
        <v>11.855654613370762</v>
      </c>
      <c r="AC77" s="707">
        <f t="shared" si="60"/>
        <v>91858.700000000012</v>
      </c>
      <c r="AD77" s="706">
        <f>VLOOKUP("*"&amp;$B77&amp;"*",'S4 - Summ PRS Characteristics'!$C$5:$Q$12,14,FALSE)*$J77</f>
        <v>57.409547173283826</v>
      </c>
      <c r="AE77" s="706">
        <f t="shared" si="70"/>
        <v>706.59045282671616</v>
      </c>
      <c r="AF77" s="706">
        <f>IF($C77="other",(1-$C72)*AD77,(1-(VLOOKUP($C77,'S3 - Screening Tool Metrics'!$C$3:$G$17,5,FALSE)/100))*AD77)</f>
        <v>9.1855275477254139</v>
      </c>
      <c r="AG77" s="706">
        <f>IF($C77="other",$C72*AD77,(VLOOKUP($C77,'S3 - Screening Tool Metrics'!$C$3:$G$17,5,FALSE)/100)*AD77)</f>
        <v>48.224019625558412</v>
      </c>
      <c r="AH77" s="708">
        <f t="shared" si="61"/>
        <v>6.3120444536071227</v>
      </c>
      <c r="AI77" s="707">
        <f t="shared" si="62"/>
        <v>18371.740000000002</v>
      </c>
      <c r="AJ77" s="706">
        <f>VLOOKUP("*"&amp;$B77&amp;"*",'S4 - Summ PRS Characteristics'!$C$5:$Q$12,15,FALSE)*$J77</f>
        <v>12.98987372245932</v>
      </c>
      <c r="AK77" s="706">
        <f t="shared" si="69"/>
        <v>751.01012627754073</v>
      </c>
      <c r="AL77" s="706">
        <f>IF($C77="other",(1-$C72)*AJ77,(1-(VLOOKUP($C77,'S3 - Screening Tool Metrics'!$C$3:$G$17,5,FALSE)/100))*AJ77)</f>
        <v>2.0783797955934915</v>
      </c>
      <c r="AM77" s="706">
        <f>IF($C77="other",$C72*AJ77,(VLOOKUP($C77,'S3 - Screening Tool Metrics'!$C$3:$G$17,5,FALSE)/100)*AJ77)</f>
        <v>10.911493926865829</v>
      </c>
      <c r="AN77" s="709">
        <f t="shared" si="63"/>
        <v>1.4282060113698729</v>
      </c>
    </row>
    <row r="78" spans="2:40" ht="11" customHeight="1" x14ac:dyDescent="0.15">
      <c r="B78" s="700" t="s">
        <v>13</v>
      </c>
      <c r="C78" s="1082" t="str">
        <f>$C73</f>
        <v>MMS (CA-125 + TVU)</v>
      </c>
      <c r="D78" s="552" t="s">
        <v>197</v>
      </c>
      <c r="E78" s="710">
        <f>VLOOKUP($B78&amp;"_"&amp;$D78,'App5 - CRUK Inci Rates'!C:H,6,FALSE)</f>
        <v>0</v>
      </c>
      <c r="F78" s="711">
        <f>VLOOKUP($B78&amp;"_"&amp;$D78,'App5 - CRUK Inci Rates'!C:H,3,FALSE)</f>
        <v>52.3</v>
      </c>
      <c r="G78" s="712">
        <f>VLOOKUP($B78&amp;"_"&amp;$D78,'App5 - CRUK Inci Rates'!C:J,8,FALSE)</f>
        <v>1805190</v>
      </c>
      <c r="H78" s="713">
        <f>VLOOKUP($B78&amp;"_"&amp;$D78,'App5 - CRUK Inci Rates'!C:J,7,FALSE)</f>
        <v>0</v>
      </c>
      <c r="I78" s="713">
        <f>VLOOKUP($B78&amp;"_"&amp;$D78,'App5 - CRUK Inci Rates'!C:J,4,FALSE)</f>
        <v>1805190</v>
      </c>
      <c r="J78" s="709">
        <f>VLOOKUP($B78&amp;"_"&amp;$D78,'App5 - CRUK Inci Rates'!C:K,9,FALSE)</f>
        <v>944</v>
      </c>
      <c r="K78" s="706">
        <f t="shared" si="64"/>
        <v>902595</v>
      </c>
      <c r="L78" s="706">
        <f>VLOOKUP("*"&amp;$B78&amp;"*",'S4 - Summ PRS Characteristics'!$C$5:$Q$12,11,FALSE)*$J78</f>
        <v>549.15795979597112</v>
      </c>
      <c r="M78" s="706">
        <f t="shared" si="65"/>
        <v>394.84204020402888</v>
      </c>
      <c r="N78" s="706">
        <f>IF($C78="other",(1-$C$7)*L78,(1-(VLOOKUP($C78,'S3 - Screening Tool Metrics'!$C$3:$G$17,5,FALSE)/100))*L78)</f>
        <v>87.865273567355402</v>
      </c>
      <c r="O78" s="706">
        <f>IF($C78="other",$C$7*L78,(VLOOKUP($C78,'S3 - Screening Tool Metrics'!$C$3:$G$17,5,FALSE)/100)*L78)</f>
        <v>461.29268622861571</v>
      </c>
      <c r="P78" s="706">
        <f t="shared" si="66"/>
        <v>48.865750659810985</v>
      </c>
      <c r="Q78" s="707">
        <f t="shared" si="56"/>
        <v>361038</v>
      </c>
      <c r="R78" s="706">
        <f>VLOOKUP("*"&amp;$B78&amp;"*",'S4 - Summ PRS Characteristics'!$C$5:$Q$12,12,FALSE)*$J78</f>
        <v>247.91390698102526</v>
      </c>
      <c r="S78" s="706">
        <f t="shared" si="67"/>
        <v>696.08609301897468</v>
      </c>
      <c r="T78" s="706">
        <f>IF($C78="other",(1-$C72)*R78,(1-(VLOOKUP($C78,'S3 - Screening Tool Metrics'!$C$3:$G$17,5,FALSE)/100))*R78)</f>
        <v>39.66622511696405</v>
      </c>
      <c r="U78" s="706">
        <f>IF($C78="other",$C72*R78,(VLOOKUP($C78,'S3 - Screening Tool Metrics'!$C$3:$G$17,5,FALSE)/100)*R78)</f>
        <v>208.24768186406121</v>
      </c>
      <c r="V78" s="708">
        <f t="shared" si="57"/>
        <v>22.060135790684448</v>
      </c>
      <c r="W78" s="707">
        <f t="shared" si="58"/>
        <v>180519</v>
      </c>
      <c r="X78" s="706">
        <f>VLOOKUP("*"&amp;$B78&amp;"*",'S4 - Summ PRS Characteristics'!$C$5:$Q$12,13,FALSE)*$J78</f>
        <v>133.23497565502379</v>
      </c>
      <c r="Y78" s="706">
        <f t="shared" si="68"/>
        <v>810.76502434497615</v>
      </c>
      <c r="Z78" s="706">
        <f>IF($C78="other",(1-$C72)*X78,(1-(VLOOKUP($C78,'S3 - Screening Tool Metrics'!$C$3:$G$17,5,FALSE)/100))*X78)</f>
        <v>21.317596104803812</v>
      </c>
      <c r="AA78" s="706">
        <f>IF($C78="other",$C72*X78,(VLOOKUP($C78,'S3 - Screening Tool Metrics'!$C$3:$G$17,5,FALSE)/100)*X78)</f>
        <v>111.91737955021998</v>
      </c>
      <c r="AB78" s="708">
        <f t="shared" si="59"/>
        <v>11.85565461337076</v>
      </c>
      <c r="AC78" s="707">
        <f t="shared" si="60"/>
        <v>90259.5</v>
      </c>
      <c r="AD78" s="706">
        <f>VLOOKUP("*"&amp;$B78&amp;"*",'S4 - Summ PRS Characteristics'!$C$5:$Q$12,14,FALSE)*$J78</f>
        <v>70.935356716727668</v>
      </c>
      <c r="AE78" s="706">
        <f t="shared" si="70"/>
        <v>873.06464328327229</v>
      </c>
      <c r="AF78" s="706">
        <f>IF($C78="other",(1-$C72)*AD78,(1-(VLOOKUP($C78,'S3 - Screening Tool Metrics'!$C$3:$G$17,5,FALSE)/100))*AD78)</f>
        <v>11.349657074676429</v>
      </c>
      <c r="AG78" s="706">
        <f>IF($C78="other",$C72*AD78,(VLOOKUP($C78,'S3 - Screening Tool Metrics'!$C$3:$G$17,5,FALSE)/100)*AD78)</f>
        <v>59.585699642051239</v>
      </c>
      <c r="AH78" s="708">
        <f t="shared" si="61"/>
        <v>6.3120444536071227</v>
      </c>
      <c r="AI78" s="707">
        <f t="shared" si="62"/>
        <v>18051.900000000001</v>
      </c>
      <c r="AJ78" s="706">
        <f>VLOOKUP("*"&amp;$B78&amp;"*",'S4 - Summ PRS Characteristics'!$C$5:$Q$12,15,FALSE)*$J78</f>
        <v>16.050315175394761</v>
      </c>
      <c r="AK78" s="706">
        <f t="shared" si="69"/>
        <v>927.94968482460524</v>
      </c>
      <c r="AL78" s="706">
        <f>IF($C78="other",(1-$C72)*AJ78,(1-(VLOOKUP($C78,'S3 - Screening Tool Metrics'!$C$3:$G$17,5,FALSE)/100))*AJ78)</f>
        <v>2.5680504280631622</v>
      </c>
      <c r="AM78" s="706">
        <f>IF($C78="other",$C72*AJ78,(VLOOKUP($C78,'S3 - Screening Tool Metrics'!$C$3:$G$17,5,FALSE)/100)*AJ78)</f>
        <v>13.482264747331598</v>
      </c>
      <c r="AN78" s="709">
        <f t="shared" si="63"/>
        <v>1.4282060113698727</v>
      </c>
    </row>
    <row r="79" spans="2:40" ht="11" customHeight="1" x14ac:dyDescent="0.15">
      <c r="B79" s="700" t="s">
        <v>13</v>
      </c>
      <c r="C79" s="1082" t="str">
        <f>$C73</f>
        <v>MMS (CA-125 + TVU)</v>
      </c>
      <c r="D79" s="552" t="s">
        <v>198</v>
      </c>
      <c r="E79" s="710">
        <f>VLOOKUP($B79&amp;"_"&amp;$D79,'App5 - CRUK Inci Rates'!C:H,6,FALSE)</f>
        <v>0</v>
      </c>
      <c r="F79" s="711">
        <f>VLOOKUP($B79&amp;"_"&amp;$D79,'App5 - CRUK Inci Rates'!C:H,3,FALSE)</f>
        <v>60.8</v>
      </c>
      <c r="G79" s="712">
        <f>VLOOKUP($B79&amp;"_"&amp;$D79,'App5 - CRUK Inci Rates'!C:J,8,FALSE)</f>
        <v>1603609.6666666667</v>
      </c>
      <c r="H79" s="713">
        <f>VLOOKUP($B79&amp;"_"&amp;$D79,'App5 - CRUK Inci Rates'!C:J,7,FALSE)</f>
        <v>0</v>
      </c>
      <c r="I79" s="713">
        <f>VLOOKUP($B79&amp;"_"&amp;$D79,'App5 - CRUK Inci Rates'!C:J,4,FALSE)</f>
        <v>1603609.6666666667</v>
      </c>
      <c r="J79" s="709">
        <f>VLOOKUP($B79&amp;"_"&amp;$D79,'App5 - CRUK Inci Rates'!C:K,9,FALSE)</f>
        <v>975</v>
      </c>
      <c r="K79" s="706">
        <f t="shared" si="64"/>
        <v>801804.83333333337</v>
      </c>
      <c r="L79" s="706">
        <f>VLOOKUP("*"&amp;$B79&amp;"*",'S4 - Summ PRS Characteristics'!$C$5:$Q$12,11,FALSE)*$J79</f>
        <v>567.19174872994904</v>
      </c>
      <c r="M79" s="706">
        <f t="shared" si="65"/>
        <v>407.80825127005096</v>
      </c>
      <c r="N79" s="706">
        <f>IF($C79="other",(1-$C$7)*L79,(1-(VLOOKUP($C79,'S3 - Screening Tool Metrics'!$C$3:$G$17,5,FALSE)/100))*L79)</f>
        <v>90.750679796791857</v>
      </c>
      <c r="O79" s="706">
        <f>IF($C79="other",$C$7*L79,(VLOOKUP($C79,'S3 - Screening Tool Metrics'!$C$3:$G$17,5,FALSE)/100)*L79)</f>
        <v>476.44106893315717</v>
      </c>
      <c r="P79" s="706">
        <f t="shared" si="66"/>
        <v>48.865750659810992</v>
      </c>
      <c r="Q79" s="707">
        <f t="shared" si="56"/>
        <v>320721.93333333335</v>
      </c>
      <c r="R79" s="706">
        <f>VLOOKUP("*"&amp;$B79&amp;"*",'S4 - Summ PRS Characteristics'!$C$5:$Q$12,12,FALSE)*$J79</f>
        <v>256.05514757044449</v>
      </c>
      <c r="S79" s="706">
        <f t="shared" si="67"/>
        <v>718.94485242955557</v>
      </c>
      <c r="T79" s="706">
        <f>IF($C79="other",(1-$C72)*R79,(1-(VLOOKUP($C79,'S3 - Screening Tool Metrics'!$C$3:$G$17,5,FALSE)/100))*R79)</f>
        <v>40.968823611271127</v>
      </c>
      <c r="U79" s="706">
        <f>IF($C79="other",$C72*R79,(VLOOKUP($C79,'S3 - Screening Tool Metrics'!$C$3:$G$17,5,FALSE)/100)*R79)</f>
        <v>215.08632395917337</v>
      </c>
      <c r="V79" s="708">
        <f t="shared" si="57"/>
        <v>22.060135790684448</v>
      </c>
      <c r="W79" s="707">
        <f t="shared" si="58"/>
        <v>160360.96666666667</v>
      </c>
      <c r="X79" s="706">
        <f>VLOOKUP("*"&amp;$B79&amp;"*",'S4 - Summ PRS Characteristics'!$C$5:$Q$12,13,FALSE)*$J79</f>
        <v>137.6102767623392</v>
      </c>
      <c r="Y79" s="706">
        <f t="shared" si="68"/>
        <v>837.38972323766075</v>
      </c>
      <c r="Z79" s="706">
        <f>IF($C79="other",(1-$C72)*X79,(1-(VLOOKUP($C79,'S3 - Screening Tool Metrics'!$C$3:$G$17,5,FALSE)/100))*X79)</f>
        <v>22.017644281974277</v>
      </c>
      <c r="AA79" s="706">
        <f>IF($C79="other",$C72*X79,(VLOOKUP($C79,'S3 - Screening Tool Metrics'!$C$3:$G$17,5,FALSE)/100)*X79)</f>
        <v>115.59263248036493</v>
      </c>
      <c r="AB79" s="708">
        <f t="shared" si="59"/>
        <v>11.855654613370762</v>
      </c>
      <c r="AC79" s="707">
        <f t="shared" si="60"/>
        <v>80180.483333333337</v>
      </c>
      <c r="AD79" s="706">
        <f>VLOOKUP("*"&amp;$B79&amp;"*",'S4 - Summ PRS Characteristics'!$C$5:$Q$12,14,FALSE)*$J79</f>
        <v>73.264801693654107</v>
      </c>
      <c r="AE79" s="706">
        <f t="shared" si="70"/>
        <v>901.73519830634586</v>
      </c>
      <c r="AF79" s="706">
        <f>IF($C79="other",(1-$C72)*AD79,(1-(VLOOKUP($C79,'S3 - Screening Tool Metrics'!$C$3:$G$17,5,FALSE)/100))*AD79)</f>
        <v>11.72236827098466</v>
      </c>
      <c r="AG79" s="706">
        <f>IF($C79="other",$C72*AD79,(VLOOKUP($C79,'S3 - Screening Tool Metrics'!$C$3:$G$17,5,FALSE)/100)*AD79)</f>
        <v>61.542433422669447</v>
      </c>
      <c r="AH79" s="708">
        <f t="shared" si="61"/>
        <v>6.3120444536071227</v>
      </c>
      <c r="AI79" s="707">
        <f t="shared" si="62"/>
        <v>16036.096666666668</v>
      </c>
      <c r="AJ79" s="706">
        <f>VLOOKUP("*"&amp;$B79&amp;"*",'S4 - Summ PRS Characteristics'!$C$5:$Q$12,15,FALSE)*$J79</f>
        <v>16.57739120340031</v>
      </c>
      <c r="AK79" s="706">
        <f t="shared" si="69"/>
        <v>958.42260879659966</v>
      </c>
      <c r="AL79" s="706">
        <f>IF($C79="other",(1-$C72)*AJ79,(1-(VLOOKUP($C79,'S3 - Screening Tool Metrics'!$C$3:$G$17,5,FALSE)/100))*AJ79)</f>
        <v>2.6523825925440501</v>
      </c>
      <c r="AM79" s="706">
        <f>IF($C79="other",$C72*AJ79,(VLOOKUP($C79,'S3 - Screening Tool Metrics'!$C$3:$G$17,5,FALSE)/100)*AJ79)</f>
        <v>13.92500861085626</v>
      </c>
      <c r="AN79" s="709">
        <f t="shared" si="63"/>
        <v>1.4282060113698729</v>
      </c>
    </row>
    <row r="80" spans="2:40" ht="11" customHeight="1" x14ac:dyDescent="0.15">
      <c r="B80" s="700" t="s">
        <v>13</v>
      </c>
      <c r="C80" s="1082" t="str">
        <f>$C73</f>
        <v>MMS (CA-125 + TVU)</v>
      </c>
      <c r="D80" s="552" t="s">
        <v>199</v>
      </c>
      <c r="E80" s="710">
        <f>VLOOKUP($B80&amp;"_"&amp;$D80,'App5 - CRUK Inci Rates'!C:H,6,FALSE)</f>
        <v>0</v>
      </c>
      <c r="F80" s="711">
        <f>VLOOKUP($B80&amp;"_"&amp;$D80,'App5 - CRUK Inci Rates'!C:H,3,FALSE)</f>
        <v>73.8</v>
      </c>
      <c r="G80" s="712">
        <f>VLOOKUP($B80&amp;"_"&amp;$D80,'App5 - CRUK Inci Rates'!C:J,8,FALSE)</f>
        <v>1181645.3333333333</v>
      </c>
      <c r="H80" s="713">
        <f>VLOOKUP($B80&amp;"_"&amp;$D80,'App5 - CRUK Inci Rates'!C:J,7,FALSE)</f>
        <v>0</v>
      </c>
      <c r="I80" s="713">
        <f>VLOOKUP($B80&amp;"_"&amp;$D80,'App5 - CRUK Inci Rates'!C:J,4,FALSE)</f>
        <v>1181645.3333333333</v>
      </c>
      <c r="J80" s="709">
        <f>VLOOKUP($B80&amp;"_"&amp;$D80,'App5 - CRUK Inci Rates'!C:K,9,FALSE)</f>
        <v>872</v>
      </c>
      <c r="K80" s="706">
        <f t="shared" si="64"/>
        <v>590822.66666666663</v>
      </c>
      <c r="L80" s="706">
        <f>VLOOKUP("*"&amp;$B80&amp;"*",'S4 - Summ PRS Characteristics'!$C$5:$Q$12,11,FALSE)*$J80</f>
        <v>507.27303065899031</v>
      </c>
      <c r="M80" s="706">
        <f t="shared" si="65"/>
        <v>364.72696934100969</v>
      </c>
      <c r="N80" s="706">
        <f>IF($C80="other",(1-$C$7)*L80,(1-(VLOOKUP($C80,'S3 - Screening Tool Metrics'!$C$3:$G$17,5,FALSE)/100))*L80)</f>
        <v>81.163684905438458</v>
      </c>
      <c r="O80" s="706">
        <f>IF($C80="other",$C$7*L80,(VLOOKUP($C80,'S3 - Screening Tool Metrics'!$C$3:$G$17,5,FALSE)/100)*L80)</f>
        <v>426.10934575355185</v>
      </c>
      <c r="P80" s="706">
        <f t="shared" si="66"/>
        <v>48.865750659810992</v>
      </c>
      <c r="Q80" s="707">
        <f t="shared" si="56"/>
        <v>236329.06666666665</v>
      </c>
      <c r="R80" s="706">
        <f>VLOOKUP("*"&amp;$B80&amp;"*",'S4 - Summ PRS Characteristics'!$C$5:$Q$12,12,FALSE)*$J80</f>
        <v>229.00521916043857</v>
      </c>
      <c r="S80" s="706">
        <f t="shared" si="67"/>
        <v>642.99478083956137</v>
      </c>
      <c r="T80" s="706">
        <f>IF($C80="other",(1-$C72)*R80,(1-(VLOOKUP($C80,'S3 - Screening Tool Metrics'!$C$3:$G$17,5,FALSE)/100))*R80)</f>
        <v>36.640835065670181</v>
      </c>
      <c r="U80" s="706">
        <f>IF($C80="other",$C72*R80,(VLOOKUP($C80,'S3 - Screening Tool Metrics'!$C$3:$G$17,5,FALSE)/100)*R80)</f>
        <v>192.36438409476838</v>
      </c>
      <c r="V80" s="708">
        <f t="shared" si="57"/>
        <v>22.060135790684448</v>
      </c>
      <c r="W80" s="707">
        <f t="shared" si="58"/>
        <v>118164.53333333333</v>
      </c>
      <c r="X80" s="706">
        <f>VLOOKUP("*"&amp;$B80&amp;"*",'S4 - Summ PRS Characteristics'!$C$5:$Q$12,13,FALSE)*$J80</f>
        <v>123.07298598642029</v>
      </c>
      <c r="Y80" s="706">
        <f t="shared" si="68"/>
        <v>748.92701401357976</v>
      </c>
      <c r="Z80" s="706">
        <f>IF($C80="other",(1-$C72)*X80,(1-(VLOOKUP($C80,'S3 - Screening Tool Metrics'!$C$3:$G$17,5,FALSE)/100))*X80)</f>
        <v>19.69167775782725</v>
      </c>
      <c r="AA80" s="706">
        <f>IF($C80="other",$C72*X80,(VLOOKUP($C80,'S3 - Screening Tool Metrics'!$C$3:$G$17,5,FALSE)/100)*X80)</f>
        <v>103.38130822859304</v>
      </c>
      <c r="AB80" s="708">
        <f t="shared" si="59"/>
        <v>11.855654613370762</v>
      </c>
      <c r="AC80" s="707">
        <f t="shared" si="60"/>
        <v>59082.266666666663</v>
      </c>
      <c r="AD80" s="706">
        <f>VLOOKUP("*"&amp;$B80&amp;"*",'S4 - Summ PRS Characteristics'!$C$5:$Q$12,14,FALSE)*$J80</f>
        <v>65.525032899350123</v>
      </c>
      <c r="AE80" s="706">
        <f t="shared" si="70"/>
        <v>806.47496710064991</v>
      </c>
      <c r="AF80" s="706">
        <f>IF($C80="other",(1-$C72)*AD80,(1-(VLOOKUP($C80,'S3 - Screening Tool Metrics'!$C$3:$G$17,5,FALSE)/100))*AD80)</f>
        <v>10.484005263896021</v>
      </c>
      <c r="AG80" s="706">
        <f>IF($C80="other",$C72*AD80,(VLOOKUP($C80,'S3 - Screening Tool Metrics'!$C$3:$G$17,5,FALSE)/100)*AD80)</f>
        <v>55.0410276354541</v>
      </c>
      <c r="AH80" s="708">
        <f t="shared" si="61"/>
        <v>6.312044453607121</v>
      </c>
      <c r="AI80" s="707">
        <f t="shared" si="62"/>
        <v>11816.453333333333</v>
      </c>
      <c r="AJ80" s="706">
        <f>VLOOKUP("*"&amp;$B80&amp;"*",'S4 - Summ PRS Characteristics'!$C$5:$Q$12,15,FALSE)*$J80</f>
        <v>14.826138594220586</v>
      </c>
      <c r="AK80" s="706">
        <f t="shared" si="69"/>
        <v>857.17386140577946</v>
      </c>
      <c r="AL80" s="706">
        <f>IF($C80="other",(1-$C72)*AJ80,(1-(VLOOKUP($C80,'S3 - Screening Tool Metrics'!$C$3:$G$17,5,FALSE)/100))*AJ80)</f>
        <v>2.3721821750752943</v>
      </c>
      <c r="AM80" s="706">
        <f>IF($C80="other",$C72*AJ80,(VLOOKUP($C80,'S3 - Screening Tool Metrics'!$C$3:$G$17,5,FALSE)/100)*AJ80)</f>
        <v>12.453956419145293</v>
      </c>
      <c r="AN80" s="709">
        <f t="shared" si="63"/>
        <v>1.4282060113698729</v>
      </c>
    </row>
    <row r="81" spans="2:40" ht="11" customHeight="1" x14ac:dyDescent="0.15">
      <c r="B81" s="700" t="s">
        <v>13</v>
      </c>
      <c r="C81" s="1082" t="str">
        <f>$C73</f>
        <v>MMS (CA-125 + TVU)</v>
      </c>
      <c r="D81" s="552" t="s">
        <v>200</v>
      </c>
      <c r="E81" s="710">
        <f>VLOOKUP($B81&amp;"_"&amp;$D81,'App5 - CRUK Inci Rates'!C:H,6,FALSE)</f>
        <v>0</v>
      </c>
      <c r="F81" s="711">
        <f>VLOOKUP($B81&amp;"_"&amp;$D81,'App5 - CRUK Inci Rates'!C:H,3,FALSE)</f>
        <v>30.440786428594748</v>
      </c>
      <c r="G81" s="712">
        <f>VLOOKUP($B81&amp;"_"&amp;$D81,'App5 - CRUK Inci Rates'!C:J,8,FALSE)</f>
        <v>12496392</v>
      </c>
      <c r="H81" s="713">
        <f>VLOOKUP($B81&amp;"_"&amp;$D81,'App5 - CRUK Inci Rates'!C:J,7,FALSE)</f>
        <v>0</v>
      </c>
      <c r="I81" s="713">
        <f>VLOOKUP($B81&amp;"_"&amp;$D81,'App5 - CRUK Inci Rates'!C:J,4,FALSE)</f>
        <v>12496392</v>
      </c>
      <c r="J81" s="709">
        <f>VLOOKUP($B81&amp;"_"&amp;$D81,'App5 - CRUK Inci Rates'!C:K,9,FALSE)</f>
        <v>3804</v>
      </c>
      <c r="K81" s="706">
        <f t="shared" si="64"/>
        <v>6248196</v>
      </c>
      <c r="L81" s="706">
        <f>VLOOKUP("*"&amp;$B81&amp;"*",'S4 - Summ PRS Characteristics'!$C$5:$Q$12,11,FALSE)*$J81</f>
        <v>2212.9204227371551</v>
      </c>
      <c r="M81" s="706">
        <f t="shared" si="65"/>
        <v>1591.0795772628449</v>
      </c>
      <c r="N81" s="706">
        <f>IF($C81="other",(1-$C$7)*L81,(1-(VLOOKUP($C81,'S3 - Screening Tool Metrics'!$C$3:$G$17,5,FALSE)/100))*L81)</f>
        <v>354.06726763794489</v>
      </c>
      <c r="O81" s="706">
        <f>IF($C81="other",$C$7*L81,(VLOOKUP($C81,'S3 - Screening Tool Metrics'!$C$3:$G$17,5,FALSE)/100)*L81)</f>
        <v>1858.8531550992102</v>
      </c>
      <c r="P81" s="706">
        <f t="shared" si="66"/>
        <v>48.865750659810992</v>
      </c>
      <c r="Q81" s="707">
        <f t="shared" si="56"/>
        <v>2499278.4</v>
      </c>
      <c r="R81" s="706">
        <f>VLOOKUP("*"&amp;$B81&amp;"*",'S4 - Summ PRS Characteristics'!$C$5:$Q$12,12,FALSE)*$J81</f>
        <v>999.00900652099585</v>
      </c>
      <c r="S81" s="706">
        <f t="shared" si="67"/>
        <v>2804.9909934790039</v>
      </c>
      <c r="T81" s="706">
        <f>IF($C81="other",(1-$C72)*R81,(1-(VLOOKUP($C81,'S3 - Screening Tool Metrics'!$C$3:$G$17,5,FALSE)/100))*R81)</f>
        <v>159.84144104335937</v>
      </c>
      <c r="U81" s="706">
        <f>IF($C81="other",$C72*R81,(VLOOKUP($C81,'S3 - Screening Tool Metrics'!$C$3:$G$17,5,FALSE)/100)*R81)</f>
        <v>839.16756547763646</v>
      </c>
      <c r="V81" s="708">
        <f t="shared" si="57"/>
        <v>22.060135790684448</v>
      </c>
      <c r="W81" s="707">
        <f t="shared" si="58"/>
        <v>1249639.2</v>
      </c>
      <c r="X81" s="706">
        <f>VLOOKUP("*"&amp;$B81&amp;"*",'S4 - Summ PRS Characteristics'!$C$5:$Q$12,13,FALSE)*$J81</f>
        <v>536.89178749121879</v>
      </c>
      <c r="Y81" s="706">
        <f t="shared" si="68"/>
        <v>3267.1082125087814</v>
      </c>
      <c r="Z81" s="706">
        <f>IF($C81="other",(1-$C72)*X81,(1-(VLOOKUP($C81,'S3 - Screening Tool Metrics'!$C$3:$G$17,5,FALSE)/100))*X81)</f>
        <v>85.902685998595018</v>
      </c>
      <c r="AA81" s="706">
        <f>IF($C81="other",$C72*X81,(VLOOKUP($C81,'S3 - Screening Tool Metrics'!$C$3:$G$17,5,FALSE)/100)*X81)</f>
        <v>450.98910149262377</v>
      </c>
      <c r="AB81" s="708">
        <f t="shared" si="59"/>
        <v>11.855654613370762</v>
      </c>
      <c r="AC81" s="707">
        <f t="shared" si="60"/>
        <v>624819.6</v>
      </c>
      <c r="AD81" s="706">
        <f>VLOOKUP("*"&amp;$B81&amp;"*",'S4 - Summ PRS Characteristics'!$C$5:$Q$12,14,FALSE)*$J81</f>
        <v>285.8454416847797</v>
      </c>
      <c r="AE81" s="706">
        <f t="shared" si="70"/>
        <v>3518.1545583152201</v>
      </c>
      <c r="AF81" s="706">
        <f>IF($C81="other",(1-$C72)*AD81,(1-(VLOOKUP($C81,'S3 - Screening Tool Metrics'!$C$3:$G$17,5,FALSE)/100))*AD81)</f>
        <v>45.735270669564763</v>
      </c>
      <c r="AG81" s="706">
        <f>IF($C81="other",$C72*AD81,(VLOOKUP($C81,'S3 - Screening Tool Metrics'!$C$3:$G$17,5,FALSE)/100)*AD81)</f>
        <v>240.11017101521495</v>
      </c>
      <c r="AH81" s="708">
        <f t="shared" si="61"/>
        <v>6.3120444536071227</v>
      </c>
      <c r="AI81" s="707">
        <f t="shared" si="62"/>
        <v>124963.92</v>
      </c>
      <c r="AJ81" s="706">
        <f>VLOOKUP("*"&amp;$B81&amp;"*",'S4 - Summ PRS Characteristics'!$C$5:$Q$12,15,FALSE)*$J81</f>
        <v>64.677329372035672</v>
      </c>
      <c r="AK81" s="706">
        <f t="shared" si="69"/>
        <v>3739.3226706279643</v>
      </c>
      <c r="AL81" s="706">
        <f>IF($C81="other",(1-$C72)*AJ81,(1-(VLOOKUP($C81,'S3 - Screening Tool Metrics'!$C$3:$G$17,5,FALSE)/100))*AJ81)</f>
        <v>10.34837269952571</v>
      </c>
      <c r="AM81" s="706">
        <f>IF($C81="other",$C72*AJ81,(VLOOKUP($C81,'S3 - Screening Tool Metrics'!$C$3:$G$17,5,FALSE)/100)*AJ81)</f>
        <v>54.32895667250996</v>
      </c>
      <c r="AN81" s="709">
        <f t="shared" si="63"/>
        <v>1.4282060113698729</v>
      </c>
    </row>
    <row r="82" spans="2:40" ht="11" customHeight="1" x14ac:dyDescent="0.15">
      <c r="B82" s="700" t="s">
        <v>13</v>
      </c>
      <c r="C82" s="1082" t="str">
        <f>$C73</f>
        <v>MMS (CA-125 + TVU)</v>
      </c>
      <c r="D82" s="552" t="s">
        <v>201</v>
      </c>
      <c r="E82" s="710">
        <f>VLOOKUP($B82&amp;"_"&amp;$D82,'App5 - CRUK Inci Rates'!C:H,6,FALSE)</f>
        <v>0</v>
      </c>
      <c r="F82" s="711">
        <f>VLOOKUP($B82&amp;"_"&amp;$D82,'App5 - CRUK Inci Rates'!C:H,3,FALSE)</f>
        <v>16.431323931422334</v>
      </c>
      <c r="G82" s="712">
        <f>VLOOKUP($B82&amp;"_"&amp;$D82,'App5 - CRUK Inci Rates'!C:J,8,FALSE)</f>
        <v>4369702.666666667</v>
      </c>
      <c r="H82" s="713">
        <f>VLOOKUP($B82&amp;"_"&amp;$D82,'App5 - CRUK Inci Rates'!C:J,7,FALSE)</f>
        <v>0</v>
      </c>
      <c r="I82" s="713">
        <f>VLOOKUP($B82&amp;"_"&amp;$D82,'App5 - CRUK Inci Rates'!C:J,4,FALSE)</f>
        <v>4369702.666666667</v>
      </c>
      <c r="J82" s="709">
        <f>VLOOKUP($B82&amp;"_"&amp;$D82,'App5 - CRUK Inci Rates'!C:K,9,FALSE)</f>
        <v>718</v>
      </c>
      <c r="K82" s="706">
        <f t="shared" si="64"/>
        <v>2184851.3333333335</v>
      </c>
      <c r="L82" s="706">
        <f>VLOOKUP("*"&amp;$B82&amp;"*",'S4 - Summ PRS Characteristics'!$C$5:$Q$12,11,FALSE)*$J82</f>
        <v>417.68582111600352</v>
      </c>
      <c r="M82" s="706">
        <f t="shared" si="65"/>
        <v>300.31417888399648</v>
      </c>
      <c r="N82" s="706">
        <f>IF($C82="other",(1-$C$7)*L82,(1-(VLOOKUP($C82,'S3 - Screening Tool Metrics'!$C$3:$G$17,5,FALSE)/100))*L82)</f>
        <v>66.829731378560581</v>
      </c>
      <c r="O82" s="706">
        <f>IF($C82="other",$C$7*L82,(VLOOKUP($C82,'S3 - Screening Tool Metrics'!$C$3:$G$17,5,FALSE)/100)*L82)</f>
        <v>350.85608973744297</v>
      </c>
      <c r="P82" s="706">
        <f t="shared" si="66"/>
        <v>48.865750659810999</v>
      </c>
      <c r="Q82" s="707">
        <f t="shared" si="56"/>
        <v>873940.53333333344</v>
      </c>
      <c r="R82" s="706">
        <f>VLOOKUP("*"&amp;$B82&amp;"*",'S4 - Summ PRS Characteristics'!$C$5:$Q$12,12,FALSE)*$J82</f>
        <v>188.56163687751709</v>
      </c>
      <c r="S82" s="706">
        <f t="shared" si="67"/>
        <v>529.43836312248288</v>
      </c>
      <c r="T82" s="706">
        <f>IF($C82="other",(1-$C72)*R82,(1-(VLOOKUP($C82,'S3 - Screening Tool Metrics'!$C$3:$G$17,5,FALSE)/100))*R82)</f>
        <v>30.16986190040274</v>
      </c>
      <c r="U82" s="706">
        <f>IF($C82="other",$C72*R82,(VLOOKUP($C82,'S3 - Screening Tool Metrics'!$C$3:$G$17,5,FALSE)/100)*R82)</f>
        <v>158.39177497711435</v>
      </c>
      <c r="V82" s="708">
        <f t="shared" si="57"/>
        <v>22.060135790684452</v>
      </c>
      <c r="W82" s="707">
        <f t="shared" si="58"/>
        <v>436970.26666666672</v>
      </c>
      <c r="X82" s="706">
        <f>VLOOKUP("*"&amp;$B82&amp;"*",'S4 - Summ PRS Characteristics'!$C$5:$Q$12,13,FALSE)*$J82</f>
        <v>101.33761919524056</v>
      </c>
      <c r="Y82" s="706">
        <f t="shared" si="68"/>
        <v>616.66238080475944</v>
      </c>
      <c r="Z82" s="706">
        <f>IF($C82="other",(1-$C72)*X82,(1-(VLOOKUP($C82,'S3 - Screening Tool Metrics'!$C$3:$G$17,5,FALSE)/100))*X82)</f>
        <v>16.214019071238493</v>
      </c>
      <c r="AA82" s="706">
        <f>IF($C82="other",$C72*X82,(VLOOKUP($C82,'S3 - Screening Tool Metrics'!$C$3:$G$17,5,FALSE)/100)*X82)</f>
        <v>85.123600124002067</v>
      </c>
      <c r="AB82" s="708">
        <f t="shared" si="59"/>
        <v>11.855654613370762</v>
      </c>
      <c r="AC82" s="707">
        <f t="shared" si="60"/>
        <v>218485.13333333336</v>
      </c>
      <c r="AD82" s="706">
        <f>VLOOKUP("*"&amp;$B82&amp;"*",'S4 - Summ PRS Characteristics'!$C$5:$Q$12,14,FALSE)*$J82</f>
        <v>53.952951401070401</v>
      </c>
      <c r="AE82" s="706">
        <f t="shared" si="70"/>
        <v>664.04704859892956</v>
      </c>
      <c r="AF82" s="706">
        <f>IF($C82="other",(1-$C72)*AD82,(1-(VLOOKUP($C82,'S3 - Screening Tool Metrics'!$C$3:$G$17,5,FALSE)/100))*AD82)</f>
        <v>8.6324722241712664</v>
      </c>
      <c r="AG82" s="706">
        <f>IF($C82="other",$C72*AD82,(VLOOKUP($C82,'S3 - Screening Tool Metrics'!$C$3:$G$17,5,FALSE)/100)*AD82)</f>
        <v>45.320479176899134</v>
      </c>
      <c r="AH82" s="708">
        <f t="shared" si="61"/>
        <v>6.312044453607121</v>
      </c>
      <c r="AI82" s="707">
        <f t="shared" si="62"/>
        <v>43697.026666666672</v>
      </c>
      <c r="AJ82" s="706">
        <f>VLOOKUP("*"&amp;$B82&amp;"*",'S4 - Summ PRS Characteristics'!$C$5:$Q$12,15,FALSE)*$J82</f>
        <v>12.207760906709153</v>
      </c>
      <c r="AK82" s="706">
        <f t="shared" si="69"/>
        <v>705.79223909329085</v>
      </c>
      <c r="AL82" s="706">
        <f>IF($C82="other",(1-$C72)*AJ82,(1-(VLOOKUP($C82,'S3 - Screening Tool Metrics'!$C$3:$G$17,5,FALSE)/100))*AJ82)</f>
        <v>1.9532417450734647</v>
      </c>
      <c r="AM82" s="706">
        <f>IF($C82="other",$C72*AJ82,(VLOOKUP($C82,'S3 - Screening Tool Metrics'!$C$3:$G$17,5,FALSE)/100)*AJ82)</f>
        <v>10.254519161635688</v>
      </c>
      <c r="AN82" s="709">
        <f t="shared" si="63"/>
        <v>1.4282060113698729</v>
      </c>
    </row>
    <row r="83" spans="2:40" ht="11" customHeight="1" x14ac:dyDescent="0.15">
      <c r="B83" s="700" t="s">
        <v>13</v>
      </c>
      <c r="C83" s="1082" t="str">
        <f>$C73</f>
        <v>MMS (CA-125 + TVU)</v>
      </c>
      <c r="D83" s="552" t="s">
        <v>202</v>
      </c>
      <c r="E83" s="710">
        <f>VLOOKUP($B83&amp;"_"&amp;$D83,'App5 - CRUK Inci Rates'!C:H,6,FALSE)</f>
        <v>0</v>
      </c>
      <c r="F83" s="711">
        <f>VLOOKUP($B83&amp;"_"&amp;$D83,'App5 - CRUK Inci Rates'!C:H,3,FALSE)</f>
        <v>30.729260202352247</v>
      </c>
      <c r="G83" s="712">
        <f>VLOOKUP($B83&amp;"_"&amp;$D83,'App5 - CRUK Inci Rates'!C:J,8,FALSE)</f>
        <v>4484325.333333334</v>
      </c>
      <c r="H83" s="713">
        <f>VLOOKUP($B83&amp;"_"&amp;$D83,'App5 - CRUK Inci Rates'!C:J,7,FALSE)</f>
        <v>0</v>
      </c>
      <c r="I83" s="713">
        <f>VLOOKUP($B83&amp;"_"&amp;$D83,'App5 - CRUK Inci Rates'!C:J,4,FALSE)</f>
        <v>4484325.333333334</v>
      </c>
      <c r="J83" s="709">
        <f>VLOOKUP($B83&amp;"_"&amp;$D83,'App5 - CRUK Inci Rates'!C:K,9,FALSE)</f>
        <v>1378</v>
      </c>
      <c r="K83" s="706">
        <f t="shared" si="64"/>
        <v>2242162.666666667</v>
      </c>
      <c r="L83" s="706">
        <f>VLOOKUP("*"&amp;$B83&amp;"*",'S4 - Summ PRS Characteristics'!$C$5:$Q$12,11,FALSE)*$J83</f>
        <v>801.63100487166128</v>
      </c>
      <c r="M83" s="706">
        <f t="shared" si="65"/>
        <v>576.36899512833872</v>
      </c>
      <c r="N83" s="706">
        <f>IF($C83="other",(1-$C$7)*L83,(1-(VLOOKUP($C83,'S3 - Screening Tool Metrics'!$C$3:$G$17,5,FALSE)/100))*L83)</f>
        <v>128.26096077946582</v>
      </c>
      <c r="O83" s="706">
        <f>IF($C83="other",$C$7*L83,(VLOOKUP($C83,'S3 - Screening Tool Metrics'!$C$3:$G$17,5,FALSE)/100)*L83)</f>
        <v>673.37004409219549</v>
      </c>
      <c r="P83" s="706">
        <f t="shared" si="66"/>
        <v>48.865750659810992</v>
      </c>
      <c r="Q83" s="707">
        <f t="shared" si="56"/>
        <v>896865.06666666688</v>
      </c>
      <c r="R83" s="706">
        <f>VLOOKUP("*"&amp;$B83&amp;"*",'S4 - Summ PRS Characteristics'!$C$5:$Q$12,12,FALSE)*$J83</f>
        <v>361.89127523289494</v>
      </c>
      <c r="S83" s="706">
        <f t="shared" si="67"/>
        <v>1016.1087247671051</v>
      </c>
      <c r="T83" s="706">
        <f>IF($C83="other",(1-$C72)*R83,(1-(VLOOKUP($C83,'S3 - Screening Tool Metrics'!$C$3:$G$17,5,FALSE)/100))*R83)</f>
        <v>57.902604037263202</v>
      </c>
      <c r="U83" s="706">
        <f>IF($C83="other",$C72*R83,(VLOOKUP($C83,'S3 - Screening Tool Metrics'!$C$3:$G$17,5,FALSE)/100)*R83)</f>
        <v>303.98867119563175</v>
      </c>
      <c r="V83" s="708">
        <f t="shared" si="57"/>
        <v>22.060135790684452</v>
      </c>
      <c r="W83" s="707">
        <f t="shared" si="58"/>
        <v>448432.53333333344</v>
      </c>
      <c r="X83" s="706">
        <f>VLOOKUP("*"&amp;$B83&amp;"*",'S4 - Summ PRS Characteristics'!$C$5:$Q$12,13,FALSE)*$J83</f>
        <v>194.48919115743939</v>
      </c>
      <c r="Y83" s="706">
        <f t="shared" si="68"/>
        <v>1183.5108088425607</v>
      </c>
      <c r="Z83" s="706">
        <f>IF($C83="other",(1-$C72)*X83,(1-(VLOOKUP($C83,'S3 - Screening Tool Metrics'!$C$3:$G$17,5,FALSE)/100))*X83)</f>
        <v>31.118270585190309</v>
      </c>
      <c r="AA83" s="706">
        <f>IF($C83="other",$C72*X83,(VLOOKUP($C83,'S3 - Screening Tool Metrics'!$C$3:$G$17,5,FALSE)/100)*X83)</f>
        <v>163.37092057224908</v>
      </c>
      <c r="AB83" s="708">
        <f t="shared" si="59"/>
        <v>11.85565461337076</v>
      </c>
      <c r="AC83" s="707">
        <f t="shared" si="60"/>
        <v>224216.26666666672</v>
      </c>
      <c r="AD83" s="706">
        <f>VLOOKUP("*"&amp;$B83&amp;"*",'S4 - Summ PRS Characteristics'!$C$5:$Q$12,14,FALSE)*$J83</f>
        <v>103.5475863936978</v>
      </c>
      <c r="AE83" s="706">
        <f t="shared" si="70"/>
        <v>1274.4524136063021</v>
      </c>
      <c r="AF83" s="706">
        <f>IF($C83="other",(1-$C72)*AD83,(1-(VLOOKUP($C83,'S3 - Screening Tool Metrics'!$C$3:$G$17,5,FALSE)/100))*AD83)</f>
        <v>16.56761382299165</v>
      </c>
      <c r="AG83" s="706">
        <f>IF($C83="other",$C72*AD83,(VLOOKUP($C83,'S3 - Screening Tool Metrics'!$C$3:$G$17,5,FALSE)/100)*AD83)</f>
        <v>86.979972570706153</v>
      </c>
      <c r="AH83" s="708">
        <f t="shared" si="61"/>
        <v>6.3120444536071227</v>
      </c>
      <c r="AI83" s="707">
        <f t="shared" si="62"/>
        <v>44843.253333333341</v>
      </c>
      <c r="AJ83" s="706">
        <f>VLOOKUP("*"&amp;$B83&amp;"*",'S4 - Summ PRS Characteristics'!$C$5:$Q$12,15,FALSE)*$J83</f>
        <v>23.429379567472441</v>
      </c>
      <c r="AK83" s="706">
        <f t="shared" si="69"/>
        <v>1354.5706204325274</v>
      </c>
      <c r="AL83" s="706">
        <f>IF($C83="other",(1-$C72)*AJ83,(1-(VLOOKUP($C83,'S3 - Screening Tool Metrics'!$C$3:$G$17,5,FALSE)/100))*AJ83)</f>
        <v>3.7487007307955915</v>
      </c>
      <c r="AM83" s="706">
        <f>IF($C83="other",$C72*AJ83,(VLOOKUP($C83,'S3 - Screening Tool Metrics'!$C$3:$G$17,5,FALSE)/100)*AJ83)</f>
        <v>19.680678836676851</v>
      </c>
      <c r="AN83" s="709">
        <f t="shared" si="63"/>
        <v>1.4282060113698729</v>
      </c>
    </row>
    <row r="84" spans="2:40" ht="11" customHeight="1" x14ac:dyDescent="0.15">
      <c r="B84" s="700" t="s">
        <v>13</v>
      </c>
      <c r="C84" s="1082" t="str">
        <f>$C73</f>
        <v>MMS (CA-125 + TVU)</v>
      </c>
      <c r="D84" s="552" t="s">
        <v>203</v>
      </c>
      <c r="E84" s="710">
        <f>VLOOKUP($B84&amp;"_"&amp;$D84,'App5 - CRUK Inci Rates'!C:H,6,FALSE)</f>
        <v>0</v>
      </c>
      <c r="F84" s="711">
        <f>VLOOKUP($B84&amp;"_"&amp;$D84,'App5 - CRUK Inci Rates'!C:H,3,FALSE)</f>
        <v>37.973643059568168</v>
      </c>
      <c r="G84" s="712">
        <f>VLOOKUP($B84&amp;"_"&amp;$D84,'App5 - CRUK Inci Rates'!C:J,8,FALSE)</f>
        <v>8126689.333333334</v>
      </c>
      <c r="H84" s="713">
        <f>VLOOKUP($B84&amp;"_"&amp;$D84,'App5 - CRUK Inci Rates'!C:J,7,FALSE)</f>
        <v>0</v>
      </c>
      <c r="I84" s="713">
        <f>VLOOKUP($B84&amp;"_"&amp;$D84,'App5 - CRUK Inci Rates'!C:J,4,FALSE)</f>
        <v>8126689.333333334</v>
      </c>
      <c r="J84" s="709">
        <f>VLOOKUP($B84&amp;"_"&amp;$D84,'App5 - CRUK Inci Rates'!C:K,9,FALSE)</f>
        <v>3086</v>
      </c>
      <c r="K84" s="706">
        <f t="shared" si="64"/>
        <v>4063344.666666667</v>
      </c>
      <c r="L84" s="706">
        <f>VLOOKUP("*"&amp;$B84&amp;"*",'S4 - Summ PRS Characteristics'!$C$5:$Q$12,11,FALSE)*$J84</f>
        <v>1795.2346016211516</v>
      </c>
      <c r="M84" s="706">
        <f t="shared" si="65"/>
        <v>1290.7653983788484</v>
      </c>
      <c r="N84" s="706">
        <f>IF($C84="other",(1-$C$7)*L84,(1-(VLOOKUP($C84,'S3 - Screening Tool Metrics'!$C$3:$G$17,5,FALSE)/100))*L84)</f>
        <v>287.23753625938429</v>
      </c>
      <c r="O84" s="706">
        <f>IF($C84="other",$C$7*L84,(VLOOKUP($C84,'S3 - Screening Tool Metrics'!$C$3:$G$17,5,FALSE)/100)*L84)</f>
        <v>1507.9970653617672</v>
      </c>
      <c r="P84" s="706">
        <f t="shared" si="66"/>
        <v>48.865750659810992</v>
      </c>
      <c r="Q84" s="707">
        <f t="shared" si="56"/>
        <v>1625337.8666666669</v>
      </c>
      <c r="R84" s="706">
        <f>VLOOKUP("*"&amp;$B84&amp;"*",'S4 - Summ PRS Characteristics'!$C$5:$Q$12,12,FALSE)*$J84</f>
        <v>810.44736964347874</v>
      </c>
      <c r="S84" s="706">
        <f t="shared" si="67"/>
        <v>2275.5526303565211</v>
      </c>
      <c r="T84" s="706">
        <f>IF($C84="other",(1-$C72)*R84,(1-(VLOOKUP($C84,'S3 - Screening Tool Metrics'!$C$3:$G$17,5,FALSE)/100))*R84)</f>
        <v>129.67157914295663</v>
      </c>
      <c r="U84" s="706">
        <f>IF($C84="other",$C72*R84,(VLOOKUP($C84,'S3 - Screening Tool Metrics'!$C$3:$G$17,5,FALSE)/100)*R84)</f>
        <v>680.77579050052213</v>
      </c>
      <c r="V84" s="708">
        <f t="shared" si="57"/>
        <v>22.060135790684452</v>
      </c>
      <c r="W84" s="707">
        <f t="shared" si="58"/>
        <v>812668.93333333347</v>
      </c>
      <c r="X84" s="706">
        <f>VLOOKUP("*"&amp;$B84&amp;"*",'S4 - Summ PRS Characteristics'!$C$5:$Q$12,13,FALSE)*$J84</f>
        <v>435.55416829597823</v>
      </c>
      <c r="Y84" s="706">
        <f t="shared" si="68"/>
        <v>2650.4458317040217</v>
      </c>
      <c r="Z84" s="706">
        <f>IF($C84="other",(1-$C72)*X84,(1-(VLOOKUP($C84,'S3 - Screening Tool Metrics'!$C$3:$G$17,5,FALSE)/100))*X84)</f>
        <v>69.688666927356536</v>
      </c>
      <c r="AA84" s="706">
        <f>IF($C84="other",$C72*X84,(VLOOKUP($C84,'S3 - Screening Tool Metrics'!$C$3:$G$17,5,FALSE)/100)*X84)</f>
        <v>365.86550136862172</v>
      </c>
      <c r="AB84" s="708">
        <f t="shared" si="59"/>
        <v>11.855654613370763</v>
      </c>
      <c r="AC84" s="707">
        <f t="shared" si="60"/>
        <v>406334.46666666673</v>
      </c>
      <c r="AD84" s="706">
        <f>VLOOKUP("*"&amp;$B84&amp;"*",'S4 - Summ PRS Characteristics'!$C$5:$Q$12,14,FALSE)*$J84</f>
        <v>231.89249028370929</v>
      </c>
      <c r="AE84" s="706">
        <f t="shared" si="70"/>
        <v>2854.1075097162907</v>
      </c>
      <c r="AF84" s="706">
        <f>IF($C84="other",(1-$C72)*AD84,(1-(VLOOKUP($C84,'S3 - Screening Tool Metrics'!$C$3:$G$17,5,FALSE)/100))*AD84)</f>
        <v>37.102798445393496</v>
      </c>
      <c r="AG84" s="706">
        <f>IF($C84="other",$C72*AD84,(VLOOKUP($C84,'S3 - Screening Tool Metrics'!$C$3:$G$17,5,FALSE)/100)*AD84)</f>
        <v>194.7896918383158</v>
      </c>
      <c r="AH84" s="708">
        <f t="shared" si="61"/>
        <v>6.3120444536071227</v>
      </c>
      <c r="AI84" s="707">
        <f t="shared" si="62"/>
        <v>81266.893333333341</v>
      </c>
      <c r="AJ84" s="706">
        <f>VLOOKUP("*"&amp;$B84&amp;"*",'S4 - Summ PRS Characteristics'!$C$5:$Q$12,15,FALSE)*$J84</f>
        <v>52.469568465326525</v>
      </c>
      <c r="AK84" s="706">
        <f t="shared" si="69"/>
        <v>3033.5304315346734</v>
      </c>
      <c r="AL84" s="706">
        <f>IF($C84="other",(1-$C72)*AJ84,(1-(VLOOKUP($C84,'S3 - Screening Tool Metrics'!$C$3:$G$17,5,FALSE)/100))*AJ84)</f>
        <v>8.3951309544522452</v>
      </c>
      <c r="AM84" s="706">
        <f>IF($C84="other",$C72*AJ84,(VLOOKUP($C84,'S3 - Screening Tool Metrics'!$C$3:$G$17,5,FALSE)/100)*AJ84)</f>
        <v>44.074437510874276</v>
      </c>
      <c r="AN84" s="709">
        <f t="shared" si="63"/>
        <v>1.4282060113698729</v>
      </c>
    </row>
    <row r="85" spans="2:40" ht="11" customHeight="1" x14ac:dyDescent="0.15">
      <c r="B85" s="700" t="s">
        <v>13</v>
      </c>
      <c r="C85" s="1082" t="str">
        <f>$C74</f>
        <v>MMS (CA-125 + TVU)</v>
      </c>
      <c r="D85" s="552" t="s">
        <v>292</v>
      </c>
      <c r="E85" s="710">
        <f>VLOOKUP($B85&amp;"_"&amp;$D85,'App5 - CRUK Inci Rates'!C:H,6,FALSE)</f>
        <v>0</v>
      </c>
      <c r="F85" s="711">
        <f>VLOOKUP($B85&amp;"_"&amp;$D85,'App5 - CRUK Inci Rates'!C:H,3,FALSE)</f>
        <v>51.143985282427074</v>
      </c>
      <c r="G85" s="712">
        <f>VLOOKUP($B85&amp;"_"&amp;$D85,'App5 - CRUK Inci Rates'!C:J,8,FALSE)</f>
        <v>5245973.666666667</v>
      </c>
      <c r="H85" s="713">
        <f>VLOOKUP($B85&amp;"_"&amp;$D85,'App5 - CRUK Inci Rates'!C:J,7,FALSE)</f>
        <v>0</v>
      </c>
      <c r="I85" s="713">
        <f>VLOOKUP($B85&amp;"_"&amp;$D85,'App5 - CRUK Inci Rates'!C:J,4,FALSE)</f>
        <v>5245973.666666667</v>
      </c>
      <c r="J85" s="709">
        <f>VLOOKUP($B85&amp;"_"&amp;$D85,'App5 - CRUK Inci Rates'!C:K,9,FALSE)</f>
        <v>2683</v>
      </c>
      <c r="K85" s="706">
        <f t="shared" si="64"/>
        <v>2622986.8333333335</v>
      </c>
      <c r="L85" s="706">
        <f>VLOOKUP("*"&amp;$B85&amp;"*",'S4 - Summ PRS Characteristics'!$C$5:$Q$12,11,FALSE)*$J85</f>
        <v>1560.7953454794392</v>
      </c>
      <c r="M85" s="706">
        <f t="shared" si="65"/>
        <v>1122.2046545205608</v>
      </c>
      <c r="N85" s="706">
        <f>IF($C85="other",(1-$C$7)*L85,(1-(VLOOKUP($C85,'S3 - Screening Tool Metrics'!$C$3:$G$17,5,FALSE)/100))*L85)</f>
        <v>249.72725527671034</v>
      </c>
      <c r="O85" s="706">
        <f>IF($C85="other",$C$7*L85,(VLOOKUP($C85,'S3 - Screening Tool Metrics'!$C$3:$G$17,5,FALSE)/100)*L85)</f>
        <v>1311.0680902027289</v>
      </c>
      <c r="P85" s="706">
        <f t="shared" si="66"/>
        <v>48.865750659810992</v>
      </c>
      <c r="Q85" s="707">
        <f>$G85*Q$3</f>
        <v>1049194.7333333334</v>
      </c>
      <c r="R85" s="706">
        <f>VLOOKUP("*"&amp;$B85&amp;"*",'S4 - Summ PRS Characteristics'!$C$5:$Q$12,12,FALSE)*$J85</f>
        <v>704.61124198102834</v>
      </c>
      <c r="S85" s="706">
        <f>$J85-R85</f>
        <v>1978.3887580189717</v>
      </c>
      <c r="T85" s="706">
        <f>IF($C85="other",(1-$C73)*R85,(1-(VLOOKUP($C85,'S3 - Screening Tool Metrics'!$C$3:$G$17,5,FALSE)/100))*R85)</f>
        <v>112.73779871696456</v>
      </c>
      <c r="U85" s="706">
        <f>IF($C85="other",$C73*R85,(VLOOKUP($C85,'S3 - Screening Tool Metrics'!$C$3:$G$17,5,FALSE)/100)*R85)</f>
        <v>591.87344326406378</v>
      </c>
      <c r="V85" s="708">
        <f t="shared" si="57"/>
        <v>22.060135790684448</v>
      </c>
      <c r="W85" s="707">
        <f>$G85*W$3</f>
        <v>524597.3666666667</v>
      </c>
      <c r="X85" s="706">
        <f>VLOOKUP("*"&amp;$B85&amp;"*",'S4 - Summ PRS Characteristics'!$C$5:$Q$12,13,FALSE)*$J85</f>
        <v>378.67525390087803</v>
      </c>
      <c r="Y85" s="706">
        <f t="shared" si="68"/>
        <v>2304.324746099122</v>
      </c>
      <c r="Z85" s="706">
        <f>IF($C85="other",(1-$C73)*X85,(1-(VLOOKUP($C85,'S3 - Screening Tool Metrics'!$C$3:$G$17,5,FALSE)/100))*X85)</f>
        <v>60.588040624140497</v>
      </c>
      <c r="AA85" s="706">
        <f>IF($C85="other",$C73*X85,(VLOOKUP($C85,'S3 - Screening Tool Metrics'!$C$3:$G$17,5,FALSE)/100)*X85)</f>
        <v>318.08721327673754</v>
      </c>
      <c r="AB85" s="708">
        <f t="shared" si="59"/>
        <v>11.855654613370762</v>
      </c>
      <c r="AC85" s="707">
        <f t="shared" si="60"/>
        <v>262298.68333333335</v>
      </c>
      <c r="AD85" s="706">
        <f>VLOOKUP("*"&amp;$B85&amp;"*",'S4 - Summ PRS Characteristics'!$C$5:$Q$12,14,FALSE)*$J85</f>
        <v>201.6097055836656</v>
      </c>
      <c r="AE85" s="706">
        <f t="shared" si="70"/>
        <v>2481.3902944163342</v>
      </c>
      <c r="AF85" s="706">
        <f>IF($C85="other",(1-$C73)*AD85,(1-(VLOOKUP($C85,'S3 - Screening Tool Metrics'!$C$3:$G$17,5,FALSE)/100))*AD85)</f>
        <v>32.257552893386503</v>
      </c>
      <c r="AG85" s="706">
        <f>IF($C85="other",$C73*AD85,(VLOOKUP($C85,'S3 - Screening Tool Metrics'!$C$3:$G$17,5,FALSE)/100)*AD85)</f>
        <v>169.3521526902791</v>
      </c>
      <c r="AH85" s="708">
        <f t="shared" si="61"/>
        <v>6.3120444536071227</v>
      </c>
      <c r="AI85" s="707">
        <f t="shared" si="62"/>
        <v>52459.736666666671</v>
      </c>
      <c r="AJ85" s="706">
        <f>VLOOKUP("*"&amp;$B85&amp;"*",'S4 - Summ PRS Characteristics'!$C$5:$Q$12,15,FALSE)*$J85</f>
        <v>45.617580101254397</v>
      </c>
      <c r="AK85" s="706">
        <f t="shared" si="69"/>
        <v>2637.3824198987454</v>
      </c>
      <c r="AL85" s="706">
        <f>IF($C85="other",(1-$C73)*AJ85,(1-(VLOOKUP($C85,'S3 - Screening Tool Metrics'!$C$3:$G$17,5,FALSE)/100))*AJ85)</f>
        <v>7.2988128162007051</v>
      </c>
      <c r="AM85" s="706">
        <f>IF($C85="other",$C73*AJ85,(VLOOKUP($C85,'S3 - Screening Tool Metrics'!$C$3:$G$17,5,FALSE)/100)*AJ85)</f>
        <v>38.318767285053696</v>
      </c>
      <c r="AN85" s="709">
        <f t="shared" si="63"/>
        <v>1.4282060113698731</v>
      </c>
    </row>
    <row r="86" spans="2:40" ht="11" customHeight="1" x14ac:dyDescent="0.15">
      <c r="B86" s="700" t="s">
        <v>13</v>
      </c>
      <c r="C86" s="1082" t="str">
        <f>$C73</f>
        <v>MMS (CA-125 + TVU)</v>
      </c>
      <c r="D86" s="552" t="s">
        <v>204</v>
      </c>
      <c r="E86" s="710">
        <f>VLOOKUP($B86&amp;"_"&amp;$D86,'App5 - CRUK Inci Rates'!C:H,6,FALSE)</f>
        <v>0</v>
      </c>
      <c r="F86" s="711">
        <f>VLOOKUP($B86&amp;"_"&amp;$D86,'App5 - CRUK Inci Rates'!C:H,3,FALSE)</f>
        <v>36.978998402462771</v>
      </c>
      <c r="G86" s="712">
        <f>VLOOKUP($B86&amp;"_"&amp;$D86,'App5 - CRUK Inci Rates'!C:J,8,FALSE)</f>
        <v>15281647</v>
      </c>
      <c r="H86" s="713">
        <f>VLOOKUP($B86&amp;"_"&amp;$D86,'App5 - CRUK Inci Rates'!C:J,7,FALSE)</f>
        <v>0</v>
      </c>
      <c r="I86" s="713">
        <f>VLOOKUP($B86&amp;"_"&amp;$D86,'App5 - CRUK Inci Rates'!C:J,4,FALSE)</f>
        <v>15281647</v>
      </c>
      <c r="J86" s="709">
        <f>VLOOKUP($B86&amp;"_"&amp;$D86,'App5 - CRUK Inci Rates'!C:K,9,FALSE)</f>
        <v>5651</v>
      </c>
      <c r="K86" s="706">
        <f t="shared" si="64"/>
        <v>7640823.5</v>
      </c>
      <c r="L86" s="706">
        <f>VLOOKUP("*"&amp;$B86&amp;"*",'S4 - Summ PRS Characteristics'!$C$5:$Q$12,11,FALSE)*$J86</f>
        <v>3287.3852021260946</v>
      </c>
      <c r="M86" s="706">
        <f t="shared" si="65"/>
        <v>2363.6147978739054</v>
      </c>
      <c r="N86" s="706">
        <f>IF($C86="other",(1-$C$7)*L86,(1-(VLOOKUP($C86,'S3 - Screening Tool Metrics'!$C$3:$G$17,5,FALSE)/100))*L86)</f>
        <v>525.98163234017522</v>
      </c>
      <c r="O86" s="706">
        <f>IF($C86="other",$C$7*L86,(VLOOKUP($C86,'S3 - Screening Tool Metrics'!$C$3:$G$17,5,FALSE)/100)*L86)</f>
        <v>2761.4035697859194</v>
      </c>
      <c r="P86" s="706">
        <f t="shared" si="66"/>
        <v>48.865750659810999</v>
      </c>
      <c r="Q86" s="707">
        <f t="shared" si="56"/>
        <v>3056329.4000000004</v>
      </c>
      <c r="R86" s="706">
        <f>VLOOKUP("*"&amp;$B86&amp;"*",'S4 - Summ PRS Characteristics'!$C$5:$Q$12,12,FALSE)*$J86</f>
        <v>1484.0693732518789</v>
      </c>
      <c r="S86" s="706">
        <f t="shared" si="67"/>
        <v>4166.9306267481206</v>
      </c>
      <c r="T86" s="706">
        <f>IF($C86="other",(1-$C72)*R86,(1-(VLOOKUP($C86,'S3 - Screening Tool Metrics'!$C$3:$G$17,5,FALSE)/100))*R86)</f>
        <v>237.45109972030068</v>
      </c>
      <c r="U86" s="706">
        <f>IF($C86="other",$C72*R86,(VLOOKUP($C86,'S3 - Screening Tool Metrics'!$C$3:$G$17,5,FALSE)/100)*R86)</f>
        <v>1246.6182735315783</v>
      </c>
      <c r="V86" s="708">
        <f t="shared" si="57"/>
        <v>22.060135790684452</v>
      </c>
      <c r="W86" s="707">
        <f t="shared" si="58"/>
        <v>1528164.7000000002</v>
      </c>
      <c r="X86" s="706">
        <f>VLOOKUP("*"&amp;$B86&amp;"*",'S4 - Summ PRS Characteristics'!$C$5:$Q$12,13,FALSE)*$J86</f>
        <v>797.57505023997828</v>
      </c>
      <c r="Y86" s="706">
        <f t="shared" si="68"/>
        <v>4853.4249497600213</v>
      </c>
      <c r="Z86" s="706">
        <f>IF($C86="other",(1-$C72)*X86,(1-(VLOOKUP($C86,'S3 - Screening Tool Metrics'!$C$3:$G$17,5,FALSE)/100))*X86)</f>
        <v>127.61200803839655</v>
      </c>
      <c r="AA86" s="706">
        <f>IF($C86="other",$C72*X86,(VLOOKUP($C86,'S3 - Screening Tool Metrics'!$C$3:$G$17,5,FALSE)/100)*X86)</f>
        <v>669.96304220158174</v>
      </c>
      <c r="AB86" s="708">
        <f t="shared" si="59"/>
        <v>11.855654613370762</v>
      </c>
      <c r="AC86" s="707">
        <f t="shared" si="60"/>
        <v>764082.35000000009</v>
      </c>
      <c r="AD86" s="706">
        <f>VLOOKUP("*"&amp;$B86&amp;"*",'S4 - Summ PRS Characteristics'!$C$5:$Q$12,14,FALSE)*$J86</f>
        <v>424.63527627778393</v>
      </c>
      <c r="AE86" s="706">
        <f t="shared" si="70"/>
        <v>5226.3647237222158</v>
      </c>
      <c r="AF86" s="706">
        <f>IF($C86="other",(1-$C72)*AD86,(1-(VLOOKUP($C86,'S3 - Screening Tool Metrics'!$C$3:$G$17,5,FALSE)/100))*AD86)</f>
        <v>67.941644204445439</v>
      </c>
      <c r="AG86" s="706">
        <f>IF($C86="other",$C72*AD86,(VLOOKUP($C86,'S3 - Screening Tool Metrics'!$C$3:$G$17,5,FALSE)/100)*AD86)</f>
        <v>356.69363207333851</v>
      </c>
      <c r="AH86" s="708">
        <f t="shared" si="61"/>
        <v>6.3120444536071227</v>
      </c>
      <c r="AI86" s="707">
        <f t="shared" si="62"/>
        <v>152816.47</v>
      </c>
      <c r="AJ86" s="706">
        <f>VLOOKUP("*"&amp;$B86&amp;"*",'S4 - Summ PRS Characteristics'!$C$5:$Q$12,15,FALSE)*$J86</f>
        <v>96.080859169656577</v>
      </c>
      <c r="AK86" s="706">
        <f t="shared" si="69"/>
        <v>5554.9191408303432</v>
      </c>
      <c r="AL86" s="706">
        <f>IF($C86="other",(1-$C72)*AJ86,(1-(VLOOKUP($C86,'S3 - Screening Tool Metrics'!$C$3:$G$17,5,FALSE)/100))*AJ86)</f>
        <v>15.372937467145055</v>
      </c>
      <c r="AM86" s="706">
        <f>IF($C86="other",$C72*AJ86,(VLOOKUP($C86,'S3 - Screening Tool Metrics'!$C$3:$G$17,5,FALSE)/100)*AJ86)</f>
        <v>80.707921702511527</v>
      </c>
      <c r="AN86" s="709">
        <f t="shared" si="63"/>
        <v>1.4282060113698729</v>
      </c>
    </row>
    <row r="87" spans="2:40" ht="11" customHeight="1" thickBot="1" x14ac:dyDescent="0.2">
      <c r="B87" s="700" t="s">
        <v>13</v>
      </c>
      <c r="C87" s="1083" t="str">
        <f>$C74</f>
        <v>MMS (CA-125 + TVU)</v>
      </c>
      <c r="D87" s="552" t="s">
        <v>205</v>
      </c>
      <c r="E87" s="710">
        <f>VLOOKUP($B87&amp;"_"&amp;$D87,'App5 - CRUK Inci Rates'!C:H,6,FALSE)</f>
        <v>0</v>
      </c>
      <c r="F87" s="711">
        <f>VLOOKUP($B87&amp;"_"&amp;$D87,'App5 - CRUK Inci Rates'!C:H,3,FALSE)</f>
        <v>22.8</v>
      </c>
      <c r="G87" s="712">
        <f>VLOOKUP($B87&amp;"_"&amp;$D87,'App5 - CRUK Inci Rates'!C:J,8,FALSE)</f>
        <v>33458051.999999996</v>
      </c>
      <c r="H87" s="713">
        <f>VLOOKUP($B87&amp;"_"&amp;$D87,'App5 - CRUK Inci Rates'!C:J,7,FALSE)</f>
        <v>0</v>
      </c>
      <c r="I87" s="713">
        <f>VLOOKUP($B87&amp;"_"&amp;$D87,'App5 - CRUK Inci Rates'!C:J,4,FALSE)</f>
        <v>33458051.999999996</v>
      </c>
      <c r="J87" s="709">
        <f>VLOOKUP($B87&amp;"_"&amp;$D87,'App5 - CRUK Inci Rates'!C:K,9,FALSE)</f>
        <v>7495</v>
      </c>
      <c r="K87" s="714"/>
      <c r="L87" s="714"/>
      <c r="M87" s="714"/>
      <c r="N87" s="714"/>
      <c r="O87" s="714"/>
      <c r="P87" s="714"/>
      <c r="Q87" s="715"/>
      <c r="R87" s="716"/>
      <c r="S87" s="716"/>
      <c r="T87" s="716"/>
      <c r="U87" s="716"/>
      <c r="V87" s="717"/>
      <c r="W87" s="715"/>
      <c r="X87" s="716"/>
      <c r="Y87" s="716"/>
      <c r="Z87" s="716"/>
      <c r="AA87" s="716"/>
      <c r="AB87" s="717"/>
      <c r="AC87" s="716"/>
      <c r="AD87" s="716"/>
      <c r="AE87" s="716"/>
      <c r="AF87" s="716"/>
      <c r="AG87" s="716"/>
      <c r="AH87" s="717"/>
      <c r="AI87" s="715"/>
      <c r="AJ87" s="716"/>
      <c r="AK87" s="716"/>
      <c r="AL87" s="716"/>
      <c r="AM87" s="716"/>
      <c r="AN87" s="718"/>
    </row>
    <row r="88" spans="2:40" ht="11" customHeight="1" thickBot="1" x14ac:dyDescent="0.2">
      <c r="B88" s="686" t="s">
        <v>14</v>
      </c>
      <c r="C88" s="687"/>
      <c r="D88" s="688"/>
      <c r="E88" s="689"/>
      <c r="F88" s="690"/>
      <c r="G88" s="691"/>
      <c r="H88" s="692"/>
      <c r="I88" s="692"/>
      <c r="J88" s="693"/>
      <c r="K88" s="694"/>
      <c r="L88" s="694"/>
      <c r="M88" s="694"/>
      <c r="N88" s="694"/>
      <c r="O88" s="694"/>
      <c r="P88" s="694"/>
      <c r="Q88" s="695"/>
      <c r="R88" s="696"/>
      <c r="S88" s="696"/>
      <c r="T88" s="696"/>
      <c r="U88" s="696"/>
      <c r="V88" s="697"/>
      <c r="W88" s="695"/>
      <c r="X88" s="696"/>
      <c r="Y88" s="696"/>
      <c r="Z88" s="696"/>
      <c r="AA88" s="696"/>
      <c r="AB88" s="697"/>
      <c r="AC88" s="695"/>
      <c r="AD88" s="696"/>
      <c r="AE88" s="696"/>
      <c r="AF88" s="696"/>
      <c r="AG88" s="696"/>
      <c r="AH88" s="697"/>
      <c r="AI88" s="695"/>
      <c r="AJ88" s="696"/>
      <c r="AK88" s="696"/>
      <c r="AL88" s="696"/>
      <c r="AM88" s="696"/>
      <c r="AN88" s="699"/>
    </row>
    <row r="89" spans="2:40" ht="11" customHeight="1" x14ac:dyDescent="0.15">
      <c r="B89" s="700" t="s">
        <v>14</v>
      </c>
      <c r="C89" s="1081" t="s">
        <v>166</v>
      </c>
      <c r="D89" s="593" t="s">
        <v>192</v>
      </c>
      <c r="E89" s="701">
        <f>VLOOKUP($B89&amp;"_"&amp;$D89,'App5 - CRUK Inci Rates'!C:H,6,FALSE)</f>
        <v>10.1</v>
      </c>
      <c r="F89" s="702">
        <f>VLOOKUP($B89&amp;"_"&amp;$D89,'App5 - CRUK Inci Rates'!C:H,3,FALSE)</f>
        <v>5</v>
      </c>
      <c r="G89" s="703">
        <f>VLOOKUP($B89&amp;"_"&amp;$D89,'App5 - CRUK Inci Rates'!C:J,8,FALSE)</f>
        <v>4075608</v>
      </c>
      <c r="H89" s="704">
        <f>VLOOKUP($B89&amp;"_"&amp;$D89,'App5 - CRUK Inci Rates'!C:J,7,FALSE)</f>
        <v>2021384.6666666667</v>
      </c>
      <c r="I89" s="704">
        <f>VLOOKUP($B89&amp;"_"&amp;$D89,'App5 - CRUK Inci Rates'!C:J,4,FALSE)</f>
        <v>2054223.3333333333</v>
      </c>
      <c r="J89" s="705">
        <f>VLOOKUP($B89&amp;"_"&amp;$D89,'App5 - CRUK Inci Rates'!C:K,9,FALSE)</f>
        <v>307</v>
      </c>
      <c r="K89" s="706">
        <f t="shared" si="64"/>
        <v>2037804</v>
      </c>
      <c r="L89" s="706">
        <f>VLOOKUP("*"&amp;$B89&amp;"*",'S4 - Summ PRS Characteristics'!$C$5:$Q$12,11,FALSE)*$J89</f>
        <v>160.87854665904328</v>
      </c>
      <c r="M89" s="706">
        <f t="shared" si="65"/>
        <v>146.12145334095672</v>
      </c>
      <c r="N89" s="706">
        <f>IF($C89="other",(1-$C$7)*L89,(1-(VLOOKUP($C89,'S3 - Screening Tool Metrics'!$C$3:$G$17,5,FALSE)/100))*L89)</f>
        <v>43.598086144600714</v>
      </c>
      <c r="O89" s="706">
        <f>IF($C89="other",$C$7*L89,(VLOOKUP($C89,'S3 - Screening Tool Metrics'!$C$3:$G$17,5,FALSE)/100)*L89)</f>
        <v>117.28046051444257</v>
      </c>
      <c r="P89" s="706">
        <f t="shared" si="66"/>
        <v>38.202104402098556</v>
      </c>
      <c r="Q89" s="707">
        <f t="shared" ref="Q89:Q102" si="71">$G89*Q$3</f>
        <v>815121.60000000009</v>
      </c>
      <c r="R89" s="706">
        <f>VLOOKUP("*"&amp;$B89&amp;"*",'S4 - Summ PRS Characteristics'!$C$5:$Q$12,12,FALSE)*$J89</f>
        <v>66.711531774587286</v>
      </c>
      <c r="S89" s="706">
        <f>$J89-R89</f>
        <v>240.28846822541271</v>
      </c>
      <c r="T89" s="706">
        <f>IF($C89="other",(1-$C88)*R89,(1-(VLOOKUP($C89,'S3 - Screening Tool Metrics'!$C$3:$G$17,5,FALSE)/100))*R89)</f>
        <v>18.078825110913147</v>
      </c>
      <c r="U89" s="706">
        <f>IF($C89="other",$C88*R89,(VLOOKUP($C89,'S3 - Screening Tool Metrics'!$C$3:$G$17,5,FALSE)/100)*R89)</f>
        <v>48.632706663674135</v>
      </c>
      <c r="V89" s="708">
        <f t="shared" ref="V89:V102" si="72">$U89/$J89*100</f>
        <v>15.841272528884085</v>
      </c>
      <c r="W89" s="707">
        <f t="shared" ref="W89:W102" si="73">$G89*W$3</f>
        <v>407560.80000000005</v>
      </c>
      <c r="X89" s="706">
        <f>VLOOKUP("*"&amp;$B89&amp;"*",'S4 - Summ PRS Characteristics'!$C$5:$Q$12,13,FALSE)*$J89</f>
        <v>34.074521244191061</v>
      </c>
      <c r="Y89" s="706">
        <f>$J89-X89</f>
        <v>272.92547875580897</v>
      </c>
      <c r="Z89" s="706">
        <f>IF($C89="other",(1-$C88)*X89,(1-(VLOOKUP($C89,'S3 - Screening Tool Metrics'!$C$3:$G$17,5,FALSE)/100))*X89)</f>
        <v>9.2341952571757737</v>
      </c>
      <c r="AA89" s="706">
        <f>IF($C89="other",$C88*X89,(VLOOKUP($C89,'S3 - Screening Tool Metrics'!$C$3:$G$17,5,FALSE)/100)*X89)</f>
        <v>24.840325987015287</v>
      </c>
      <c r="AB89" s="708">
        <f t="shared" ref="AB89:AB102" si="74">$AA89/$J89*100</f>
        <v>8.0913113964219168</v>
      </c>
      <c r="AC89" s="707">
        <f t="shared" ref="AC89:AC102" si="75">$G89*AC$3</f>
        <v>203780.40000000002</v>
      </c>
      <c r="AD89" s="706">
        <f>VLOOKUP("*"&amp;$B89&amp;"*",'S4 - Summ PRS Characteristics'!$C$5:$Q$12,14,FALSE)*$J89</f>
        <v>17.355266143573012</v>
      </c>
      <c r="AE89" s="706">
        <f>$J89-AD89</f>
        <v>289.64473385642697</v>
      </c>
      <c r="AF89" s="706">
        <f>IF($C89="other",(1-$C88)*AD89,(1-(VLOOKUP($C89,'S3 - Screening Tool Metrics'!$C$3:$G$17,5,FALSE)/100))*AD89)</f>
        <v>4.7032771249082845</v>
      </c>
      <c r="AG89" s="706">
        <f>IF($C89="other",$C88*AD89,(VLOOKUP($C89,'S3 - Screening Tool Metrics'!$C$3:$G$17,5,FALSE)/100)*AD89)</f>
        <v>12.651989018664727</v>
      </c>
      <c r="AH89" s="708">
        <f t="shared" ref="AH89:AH102" si="76">$AG89/$J89*100</f>
        <v>4.1211690614543084</v>
      </c>
      <c r="AI89" s="707">
        <f t="shared" ref="AI89:AI102" si="77">$G89*AI$3</f>
        <v>40756.080000000002</v>
      </c>
      <c r="AJ89" s="706">
        <f>VLOOKUP("*"&amp;$B89&amp;"*",'S4 - Summ PRS Characteristics'!$C$5:$Q$12,15,FALSE)*$J89</f>
        <v>3.5991652683235484</v>
      </c>
      <c r="AK89" s="706">
        <f>$J89-AJ89</f>
        <v>303.40083473167647</v>
      </c>
      <c r="AL89" s="706">
        <f>IF($C89="other",(1-$C88)*AJ89,(1-(VLOOKUP($C89,'S3 - Screening Tool Metrics'!$C$3:$G$17,5,FALSE)/100))*AJ89)</f>
        <v>0.97537378771568128</v>
      </c>
      <c r="AM89" s="706">
        <f>IF($C89="other",$C88*AJ89,(VLOOKUP($C89,'S3 - Screening Tool Metrics'!$C$3:$G$17,5,FALSE)/100)*AJ89)</f>
        <v>2.623791480607867</v>
      </c>
      <c r="AN89" s="709">
        <f t="shared" ref="AN89:AN102" si="78">$AM89/$J89*100</f>
        <v>0.85465520540972861</v>
      </c>
    </row>
    <row r="90" spans="2:40" ht="11" customHeight="1" x14ac:dyDescent="0.15">
      <c r="B90" s="700" t="s">
        <v>14</v>
      </c>
      <c r="C90" s="1082" t="str">
        <f>$C89</f>
        <v>USS</v>
      </c>
      <c r="D90" s="552" t="s">
        <v>193</v>
      </c>
      <c r="E90" s="710">
        <f>VLOOKUP($B90&amp;"_"&amp;$D90,'App5 - CRUK Inci Rates'!C:H,6,FALSE)</f>
        <v>17.7</v>
      </c>
      <c r="F90" s="711">
        <f>VLOOKUP($B90&amp;"_"&amp;$D90,'App5 - CRUK Inci Rates'!C:H,3,FALSE)</f>
        <v>7.8</v>
      </c>
      <c r="G90" s="712">
        <f>VLOOKUP($B90&amp;"_"&amp;$D90,'App5 - CRUK Inci Rates'!C:J,8,FALSE)</f>
        <v>4567159.333333334</v>
      </c>
      <c r="H90" s="713">
        <f>VLOOKUP($B90&amp;"_"&amp;$D90,'App5 - CRUK Inci Rates'!C:J,7,FALSE)</f>
        <v>2251680</v>
      </c>
      <c r="I90" s="713">
        <f>VLOOKUP($B90&amp;"_"&amp;$D90,'App5 - CRUK Inci Rates'!C:J,4,FALSE)</f>
        <v>2315479.3333333335</v>
      </c>
      <c r="J90" s="709">
        <f>VLOOKUP($B90&amp;"_"&amp;$D90,'App5 - CRUK Inci Rates'!C:K,9,FALSE)</f>
        <v>580</v>
      </c>
      <c r="K90" s="706">
        <f t="shared" si="64"/>
        <v>2283579.666666667</v>
      </c>
      <c r="L90" s="706">
        <f>VLOOKUP("*"&amp;$B90&amp;"*",'S4 - Summ PRS Characteristics'!$C$5:$Q$12,11,FALSE)*$J90</f>
        <v>303.93992528418602</v>
      </c>
      <c r="M90" s="706">
        <f t="shared" si="65"/>
        <v>276.06007471581398</v>
      </c>
      <c r="N90" s="706">
        <f>IF($C90="other",(1-$C$7)*L90,(1-(VLOOKUP($C90,'S3 - Screening Tool Metrics'!$C$3:$G$17,5,FALSE)/100))*L90)</f>
        <v>82.367719752014381</v>
      </c>
      <c r="O90" s="706">
        <f>IF($C90="other",$C$7*L90,(VLOOKUP($C90,'S3 - Screening Tool Metrics'!$C$3:$G$17,5,FALSE)/100)*L90)</f>
        <v>221.57220553217164</v>
      </c>
      <c r="P90" s="706">
        <f t="shared" si="66"/>
        <v>38.202104402098556</v>
      </c>
      <c r="Q90" s="707">
        <f t="shared" si="71"/>
        <v>913431.86666666681</v>
      </c>
      <c r="R90" s="706">
        <f>VLOOKUP("*"&amp;$B90&amp;"*",'S4 - Summ PRS Characteristics'!$C$5:$Q$12,12,FALSE)*$J90</f>
        <v>126.03481573049065</v>
      </c>
      <c r="S90" s="706">
        <f t="shared" ref="S90:S102" si="79">$J90-R90</f>
        <v>453.96518426950934</v>
      </c>
      <c r="T90" s="706">
        <f>IF($C90="other",(1-$C88)*R90,(1-(VLOOKUP($C90,'S3 - Screening Tool Metrics'!$C$3:$G$17,5,FALSE)/100))*R90)</f>
        <v>34.155435062962951</v>
      </c>
      <c r="U90" s="706">
        <f>IF($C90="other",$C88*R90,(VLOOKUP($C90,'S3 - Screening Tool Metrics'!$C$3:$G$17,5,FALSE)/100)*R90)</f>
        <v>91.879380667527698</v>
      </c>
      <c r="V90" s="708">
        <f t="shared" si="72"/>
        <v>15.841272528884087</v>
      </c>
      <c r="W90" s="707">
        <f t="shared" si="73"/>
        <v>456715.93333333341</v>
      </c>
      <c r="X90" s="706">
        <f>VLOOKUP("*"&amp;$B90&amp;"*",'S4 - Summ PRS Characteristics'!$C$5:$Q$12,13,FALSE)*$J90</f>
        <v>64.375317008569425</v>
      </c>
      <c r="Y90" s="706">
        <f t="shared" ref="Y90:Y102" si="80">$J90-X90</f>
        <v>515.62468299143052</v>
      </c>
      <c r="Z90" s="706">
        <f>IF($C90="other",(1-$C88)*X90,(1-(VLOOKUP($C90,'S3 - Screening Tool Metrics'!$C$3:$G$17,5,FALSE)/100))*X90)</f>
        <v>17.445710909322308</v>
      </c>
      <c r="AA90" s="706">
        <f>IF($C90="other",$C88*X90,(VLOOKUP($C90,'S3 - Screening Tool Metrics'!$C$3:$G$17,5,FALSE)/100)*X90)</f>
        <v>46.929606099247117</v>
      </c>
      <c r="AB90" s="708">
        <f t="shared" si="74"/>
        <v>8.0913113964219168</v>
      </c>
      <c r="AC90" s="707">
        <f t="shared" si="75"/>
        <v>228357.9666666667</v>
      </c>
      <c r="AD90" s="706">
        <f>VLOOKUP("*"&amp;$B90&amp;"*",'S4 - Summ PRS Characteristics'!$C$5:$Q$12,14,FALSE)*$J90</f>
        <v>32.788450694698199</v>
      </c>
      <c r="AE90" s="706">
        <f>$J90-AD90</f>
        <v>547.21154930530179</v>
      </c>
      <c r="AF90" s="706">
        <f>IF($C90="other",(1-$C88)*AD90,(1-(VLOOKUP($C90,'S3 - Screening Tool Metrics'!$C$3:$G$17,5,FALSE)/100))*AD90)</f>
        <v>8.8856701382632082</v>
      </c>
      <c r="AG90" s="706">
        <f>IF($C90="other",$C88*AD90,(VLOOKUP($C90,'S3 - Screening Tool Metrics'!$C$3:$G$17,5,FALSE)/100)*AD90)</f>
        <v>23.90278055643499</v>
      </c>
      <c r="AH90" s="708">
        <f t="shared" si="76"/>
        <v>4.1211690614543084</v>
      </c>
      <c r="AI90" s="707">
        <f t="shared" si="77"/>
        <v>45671.593333333338</v>
      </c>
      <c r="AJ90" s="706">
        <f>VLOOKUP("*"&amp;$B90&amp;"*",'S4 - Summ PRS Characteristics'!$C$5:$Q$12,15,FALSE)*$J90</f>
        <v>6.7997259140966069</v>
      </c>
      <c r="AK90" s="706">
        <f t="shared" ref="AK90:AK102" si="81">$J90-AJ90</f>
        <v>573.2002740859034</v>
      </c>
      <c r="AL90" s="706">
        <f>IF($C90="other",(1-$C88)*AJ90,(1-(VLOOKUP($C90,'S3 - Screening Tool Metrics'!$C$3:$G$17,5,FALSE)/100))*AJ90)</f>
        <v>1.8427257227201799</v>
      </c>
      <c r="AM90" s="706">
        <f>IF($C90="other",$C88*AJ90,(VLOOKUP($C90,'S3 - Screening Tool Metrics'!$C$3:$G$17,5,FALSE)/100)*AJ90)</f>
        <v>4.9570001913764274</v>
      </c>
      <c r="AN90" s="709">
        <f t="shared" si="78"/>
        <v>0.85465520540972884</v>
      </c>
    </row>
    <row r="91" spans="2:40" ht="11" customHeight="1" x14ac:dyDescent="0.15">
      <c r="B91" s="700" t="s">
        <v>14</v>
      </c>
      <c r="C91" s="1082" t="str">
        <f>$C89</f>
        <v>USS</v>
      </c>
      <c r="D91" s="552" t="s">
        <v>194</v>
      </c>
      <c r="E91" s="710">
        <f>VLOOKUP($B91&amp;"_"&amp;$D91,'App5 - CRUK Inci Rates'!C:H,6,FALSE)</f>
        <v>26.8</v>
      </c>
      <c r="F91" s="711">
        <f>VLOOKUP($B91&amp;"_"&amp;$D91,'App5 - CRUK Inci Rates'!C:H,3,FALSE)</f>
        <v>12.7</v>
      </c>
      <c r="G91" s="712">
        <f>VLOOKUP($B91&amp;"_"&amp;$D91,'App5 - CRUK Inci Rates'!C:J,8,FALSE)</f>
        <v>4658110.666666666</v>
      </c>
      <c r="H91" s="713">
        <f>VLOOKUP($B91&amp;"_"&amp;$D91,'App5 - CRUK Inci Rates'!C:J,7,FALSE)</f>
        <v>2293472.6666666665</v>
      </c>
      <c r="I91" s="713">
        <f>VLOOKUP($B91&amp;"_"&amp;$D91,'App5 - CRUK Inci Rates'!C:J,4,FALSE)</f>
        <v>2364638</v>
      </c>
      <c r="J91" s="709">
        <f>VLOOKUP($B91&amp;"_"&amp;$D91,'App5 - CRUK Inci Rates'!C:K,9,FALSE)</f>
        <v>915</v>
      </c>
      <c r="K91" s="706">
        <f t="shared" si="64"/>
        <v>2329055.333333333</v>
      </c>
      <c r="L91" s="706">
        <f>VLOOKUP("*"&amp;$B91&amp;"*",'S4 - Summ PRS Characteristics'!$C$5:$Q$12,11,FALSE)*$J91</f>
        <v>479.49143385350033</v>
      </c>
      <c r="M91" s="706">
        <f t="shared" si="65"/>
        <v>435.50856614649967</v>
      </c>
      <c r="N91" s="706">
        <f>IF($C91="other",(1-$C$7)*L91,(1-(VLOOKUP($C91,'S3 - Screening Tool Metrics'!$C$3:$G$17,5,FALSE)/100))*L91)</f>
        <v>129.94217857429854</v>
      </c>
      <c r="O91" s="706">
        <f>IF($C91="other",$C$7*L91,(VLOOKUP($C91,'S3 - Screening Tool Metrics'!$C$3:$G$17,5,FALSE)/100)*L91)</f>
        <v>349.54925527920176</v>
      </c>
      <c r="P91" s="706">
        <f t="shared" si="66"/>
        <v>38.202104402098556</v>
      </c>
      <c r="Q91" s="707">
        <f t="shared" si="71"/>
        <v>931622.1333333333</v>
      </c>
      <c r="R91" s="706">
        <f>VLOOKUP("*"&amp;$B91&amp;"*",'S4 - Summ PRS Characteristics'!$C$5:$Q$12,12,FALSE)*$J91</f>
        <v>198.8307868851706</v>
      </c>
      <c r="S91" s="706">
        <f t="shared" si="79"/>
        <v>716.1692131148294</v>
      </c>
      <c r="T91" s="706">
        <f>IF($C91="other",(1-$C88)*R91,(1-(VLOOKUP($C91,'S3 - Screening Tool Metrics'!$C$3:$G$17,5,FALSE)/100))*R91)</f>
        <v>53.883143245881215</v>
      </c>
      <c r="U91" s="706">
        <f>IF($C91="other",$C88*R91,(VLOOKUP($C91,'S3 - Screening Tool Metrics'!$C$3:$G$17,5,FALSE)/100)*R91)</f>
        <v>144.9476436392894</v>
      </c>
      <c r="V91" s="708">
        <f t="shared" si="72"/>
        <v>15.841272528884087</v>
      </c>
      <c r="W91" s="707">
        <f t="shared" si="73"/>
        <v>465811.06666666665</v>
      </c>
      <c r="X91" s="706">
        <f>VLOOKUP("*"&amp;$B91&amp;"*",'S4 - Summ PRS Characteristics'!$C$5:$Q$12,13,FALSE)*$J91</f>
        <v>101.55761217731211</v>
      </c>
      <c r="Y91" s="706">
        <f t="shared" si="80"/>
        <v>813.44238782268792</v>
      </c>
      <c r="Z91" s="706">
        <f>IF($C91="other",(1-$C88)*X91,(1-(VLOOKUP($C91,'S3 - Screening Tool Metrics'!$C$3:$G$17,5,FALSE)/100))*X91)</f>
        <v>27.522112900051571</v>
      </c>
      <c r="AA91" s="706">
        <f>IF($C91="other",$C88*X91,(VLOOKUP($C91,'S3 - Screening Tool Metrics'!$C$3:$G$17,5,FALSE)/100)*X91)</f>
        <v>74.035499277260541</v>
      </c>
      <c r="AB91" s="708">
        <f t="shared" si="74"/>
        <v>8.0913113964219168</v>
      </c>
      <c r="AC91" s="707">
        <f t="shared" si="75"/>
        <v>232905.53333333333</v>
      </c>
      <c r="AD91" s="706">
        <f>VLOOKUP("*"&amp;$B91&amp;"*",'S4 - Summ PRS Characteristics'!$C$5:$Q$12,14,FALSE)*$J91</f>
        <v>51.726607561463531</v>
      </c>
      <c r="AE91" s="706">
        <f t="shared" ref="AE91:AE102" si="82">$J91-AD91</f>
        <v>863.27339243853646</v>
      </c>
      <c r="AF91" s="706">
        <f>IF($C91="other",(1-$C88)*AD91,(1-(VLOOKUP($C91,'S3 - Screening Tool Metrics'!$C$3:$G$17,5,FALSE)/100))*AD91)</f>
        <v>14.017910649156612</v>
      </c>
      <c r="AG91" s="706">
        <f>IF($C91="other",$C88*AD91,(VLOOKUP($C91,'S3 - Screening Tool Metrics'!$C$3:$G$17,5,FALSE)/100)*AD91)</f>
        <v>37.70869691230692</v>
      </c>
      <c r="AH91" s="708">
        <f t="shared" si="76"/>
        <v>4.1211690614543075</v>
      </c>
      <c r="AI91" s="707">
        <f t="shared" si="77"/>
        <v>46581.106666666659</v>
      </c>
      <c r="AJ91" s="706">
        <f>VLOOKUP("*"&amp;$B91&amp;"*",'S4 - Summ PRS Characteristics'!$C$5:$Q$12,15,FALSE)*$J91</f>
        <v>10.727153812755853</v>
      </c>
      <c r="AK91" s="706">
        <f t="shared" si="81"/>
        <v>904.27284618724411</v>
      </c>
      <c r="AL91" s="706">
        <f>IF($C91="other",(1-$C88)*AJ91,(1-(VLOOKUP($C91,'S3 - Screening Tool Metrics'!$C$3:$G$17,5,FALSE)/100))*AJ91)</f>
        <v>2.9070586832568353</v>
      </c>
      <c r="AM91" s="706">
        <f>IF($C91="other",$C88*AJ91,(VLOOKUP($C91,'S3 - Screening Tool Metrics'!$C$3:$G$17,5,FALSE)/100)*AJ91)</f>
        <v>7.820095129499018</v>
      </c>
      <c r="AN91" s="709">
        <f t="shared" si="78"/>
        <v>0.85465520540972884</v>
      </c>
    </row>
    <row r="92" spans="2:40" ht="11" customHeight="1" x14ac:dyDescent="0.15">
      <c r="B92" s="700" t="s">
        <v>14</v>
      </c>
      <c r="C92" s="1082" t="str">
        <f>$C89</f>
        <v>USS</v>
      </c>
      <c r="D92" s="552" t="s">
        <v>195</v>
      </c>
      <c r="E92" s="710">
        <f>VLOOKUP($B92&amp;"_"&amp;$D92,'App5 - CRUK Inci Rates'!C:H,6,FALSE)</f>
        <v>37.1</v>
      </c>
      <c r="F92" s="711">
        <f>VLOOKUP($B92&amp;"_"&amp;$D92,'App5 - CRUK Inci Rates'!C:H,3,FALSE)</f>
        <v>18.600000000000001</v>
      </c>
      <c r="G92" s="712">
        <f>VLOOKUP($B92&amp;"_"&amp;$D92,'App5 - CRUK Inci Rates'!C:J,8,FALSE)</f>
        <v>4181606</v>
      </c>
      <c r="H92" s="713">
        <f>VLOOKUP($B92&amp;"_"&amp;$D92,'App5 - CRUK Inci Rates'!C:J,7,FALSE)</f>
        <v>2061918.6666666667</v>
      </c>
      <c r="I92" s="713">
        <f>VLOOKUP($B92&amp;"_"&amp;$D92,'App5 - CRUK Inci Rates'!C:J,4,FALSE)</f>
        <v>2119687.3333333335</v>
      </c>
      <c r="J92" s="709">
        <f>VLOOKUP($B92&amp;"_"&amp;$D92,'App5 - CRUK Inci Rates'!C:K,9,FALSE)</f>
        <v>1160</v>
      </c>
      <c r="K92" s="706">
        <f t="shared" si="64"/>
        <v>2090803</v>
      </c>
      <c r="L92" s="706">
        <f>VLOOKUP("*"&amp;$B92&amp;"*",'S4 - Summ PRS Characteristics'!$C$5:$Q$12,11,FALSE)*$J92</f>
        <v>607.87985056837204</v>
      </c>
      <c r="M92" s="706">
        <f t="shared" si="65"/>
        <v>552.12014943162796</v>
      </c>
      <c r="N92" s="706">
        <f>IF($C92="other",(1-$C$7)*L92,(1-(VLOOKUP($C92,'S3 - Screening Tool Metrics'!$C$3:$G$17,5,FALSE)/100))*L92)</f>
        <v>164.73543950402876</v>
      </c>
      <c r="O92" s="706">
        <f>IF($C92="other",$C$7*L92,(VLOOKUP($C92,'S3 - Screening Tool Metrics'!$C$3:$G$17,5,FALSE)/100)*L92)</f>
        <v>443.14441106434327</v>
      </c>
      <c r="P92" s="706">
        <f t="shared" si="66"/>
        <v>38.202104402098556</v>
      </c>
      <c r="Q92" s="707">
        <f t="shared" si="71"/>
        <v>836321.20000000007</v>
      </c>
      <c r="R92" s="706">
        <f>VLOOKUP("*"&amp;$B92&amp;"*",'S4 - Summ PRS Characteristics'!$C$5:$Q$12,12,FALSE)*$J92</f>
        <v>252.0696314609813</v>
      </c>
      <c r="S92" s="706">
        <f t="shared" si="79"/>
        <v>907.93036853901867</v>
      </c>
      <c r="T92" s="706">
        <f>IF($C92="other",(1-$C88)*R92,(1-(VLOOKUP($C92,'S3 - Screening Tool Metrics'!$C$3:$G$17,5,FALSE)/100))*R92)</f>
        <v>68.310870125925902</v>
      </c>
      <c r="U92" s="706">
        <f>IF($C92="other",$C88*R92,(VLOOKUP($C92,'S3 - Screening Tool Metrics'!$C$3:$G$17,5,FALSE)/100)*R92)</f>
        <v>183.7587613350554</v>
      </c>
      <c r="V92" s="708">
        <f t="shared" si="72"/>
        <v>15.841272528884087</v>
      </c>
      <c r="W92" s="707">
        <f t="shared" si="73"/>
        <v>418160.60000000003</v>
      </c>
      <c r="X92" s="706">
        <f>VLOOKUP("*"&amp;$B92&amp;"*",'S4 - Summ PRS Characteristics'!$C$5:$Q$12,13,FALSE)*$J92</f>
        <v>128.75063401713885</v>
      </c>
      <c r="Y92" s="706">
        <f t="shared" si="80"/>
        <v>1031.249365982861</v>
      </c>
      <c r="Z92" s="706">
        <f>IF($C92="other",(1-$C88)*X92,(1-(VLOOKUP($C92,'S3 - Screening Tool Metrics'!$C$3:$G$17,5,FALSE)/100))*X92)</f>
        <v>34.891421818644616</v>
      </c>
      <c r="AA92" s="706">
        <f>IF($C92="other",$C88*X92,(VLOOKUP($C92,'S3 - Screening Tool Metrics'!$C$3:$G$17,5,FALSE)/100)*X92)</f>
        <v>93.859212198494234</v>
      </c>
      <c r="AB92" s="708">
        <f t="shared" si="74"/>
        <v>8.0913113964219168</v>
      </c>
      <c r="AC92" s="707">
        <f t="shared" si="75"/>
        <v>209080.30000000002</v>
      </c>
      <c r="AD92" s="706">
        <f>VLOOKUP("*"&amp;$B92&amp;"*",'S4 - Summ PRS Characteristics'!$C$5:$Q$12,14,FALSE)*$J92</f>
        <v>65.576901389396397</v>
      </c>
      <c r="AE92" s="706">
        <f t="shared" si="82"/>
        <v>1094.4230986106036</v>
      </c>
      <c r="AF92" s="706">
        <f>IF($C92="other",(1-$C88)*AD92,(1-(VLOOKUP($C92,'S3 - Screening Tool Metrics'!$C$3:$G$17,5,FALSE)/100))*AD92)</f>
        <v>17.771340276526416</v>
      </c>
      <c r="AG92" s="706">
        <f>IF($C92="other",$C88*AD92,(VLOOKUP($C92,'S3 - Screening Tool Metrics'!$C$3:$G$17,5,FALSE)/100)*AD92)</f>
        <v>47.805561112869981</v>
      </c>
      <c r="AH92" s="708">
        <f t="shared" si="76"/>
        <v>4.1211690614543084</v>
      </c>
      <c r="AI92" s="707">
        <f t="shared" si="77"/>
        <v>41816.06</v>
      </c>
      <c r="AJ92" s="706">
        <f>VLOOKUP("*"&amp;$B92&amp;"*",'S4 - Summ PRS Characteristics'!$C$5:$Q$12,15,FALSE)*$J92</f>
        <v>13.599451828193214</v>
      </c>
      <c r="AK92" s="706">
        <f t="shared" si="81"/>
        <v>1146.4005481718068</v>
      </c>
      <c r="AL92" s="706">
        <f>IF($C92="other",(1-$C88)*AJ92,(1-(VLOOKUP($C92,'S3 - Screening Tool Metrics'!$C$3:$G$17,5,FALSE)/100))*AJ92)</f>
        <v>3.6854514454403597</v>
      </c>
      <c r="AM92" s="706">
        <f>IF($C92="other",$C88*AJ92,(VLOOKUP($C92,'S3 - Screening Tool Metrics'!$C$3:$G$17,5,FALSE)/100)*AJ92)</f>
        <v>9.9140003827528549</v>
      </c>
      <c r="AN92" s="709">
        <f t="shared" si="78"/>
        <v>0.85465520540972884</v>
      </c>
    </row>
    <row r="93" spans="2:40" ht="11" customHeight="1" x14ac:dyDescent="0.15">
      <c r="B93" s="700" t="s">
        <v>14</v>
      </c>
      <c r="C93" s="1082" t="str">
        <f>$C89</f>
        <v>USS</v>
      </c>
      <c r="D93" s="552" t="s">
        <v>196</v>
      </c>
      <c r="E93" s="710">
        <f>VLOOKUP($B93&amp;"_"&amp;$D93,'App5 - CRUK Inci Rates'!C:H,6,FALSE)</f>
        <v>53.7</v>
      </c>
      <c r="F93" s="711">
        <f>VLOOKUP($B93&amp;"_"&amp;$D93,'App5 - CRUK Inci Rates'!C:H,3,FALSE)</f>
        <v>26.2</v>
      </c>
      <c r="G93" s="712">
        <f>VLOOKUP($B93&amp;"_"&amp;$D93,'App5 - CRUK Inci Rates'!C:J,8,FALSE)</f>
        <v>3602002</v>
      </c>
      <c r="H93" s="713">
        <f>VLOOKUP($B93&amp;"_"&amp;$D93,'App5 - CRUK Inci Rates'!C:J,7,FALSE)</f>
        <v>1764828</v>
      </c>
      <c r="I93" s="713">
        <f>VLOOKUP($B93&amp;"_"&amp;$D93,'App5 - CRUK Inci Rates'!C:J,4,FALSE)</f>
        <v>1837174</v>
      </c>
      <c r="J93" s="709">
        <f>VLOOKUP($B93&amp;"_"&amp;$D93,'App5 - CRUK Inci Rates'!C:K,9,FALSE)</f>
        <v>1429</v>
      </c>
      <c r="K93" s="706">
        <f t="shared" si="64"/>
        <v>1801001</v>
      </c>
      <c r="L93" s="706">
        <f>VLOOKUP("*"&amp;$B93&amp;"*",'S4 - Summ PRS Characteristics'!$C$5:$Q$12,11,FALSE)*$J93</f>
        <v>748.8450917777617</v>
      </c>
      <c r="M93" s="706">
        <f t="shared" si="65"/>
        <v>680.1549082222383</v>
      </c>
      <c r="N93" s="706">
        <f>IF($C93="other",(1-$C$7)*L93,(1-(VLOOKUP($C93,'S3 - Screening Tool Metrics'!$C$3:$G$17,5,FALSE)/100))*L93)</f>
        <v>202.93701987177334</v>
      </c>
      <c r="O93" s="706">
        <f>IF($C93="other",$C$7*L93,(VLOOKUP($C93,'S3 - Screening Tool Metrics'!$C$3:$G$17,5,FALSE)/100)*L93)</f>
        <v>545.90807190598832</v>
      </c>
      <c r="P93" s="706">
        <f t="shared" si="66"/>
        <v>38.202104402098556</v>
      </c>
      <c r="Q93" s="707">
        <f t="shared" si="71"/>
        <v>720400.4</v>
      </c>
      <c r="R93" s="706">
        <f>VLOOKUP("*"&amp;$B93&amp;"*",'S4 - Summ PRS Characteristics'!$C$5:$Q$12,12,FALSE)*$J93</f>
        <v>310.5237097911571</v>
      </c>
      <c r="S93" s="706">
        <f t="shared" si="79"/>
        <v>1118.4762902088428</v>
      </c>
      <c r="T93" s="706">
        <f>IF($C93="other",(1-$C88)*R93,(1-(VLOOKUP($C93,'S3 - Screening Tool Metrics'!$C$3:$G$17,5,FALSE)/100))*R93)</f>
        <v>84.151925353403541</v>
      </c>
      <c r="U93" s="706">
        <f>IF($C93="other",$C88*R93,(VLOOKUP($C93,'S3 - Screening Tool Metrics'!$C$3:$G$17,5,FALSE)/100)*R93)</f>
        <v>226.37178443775355</v>
      </c>
      <c r="V93" s="708">
        <f t="shared" si="72"/>
        <v>15.841272528884085</v>
      </c>
      <c r="W93" s="707">
        <f t="shared" si="73"/>
        <v>360200.2</v>
      </c>
      <c r="X93" s="706">
        <f>VLOOKUP("*"&amp;$B93&amp;"*",'S4 - Summ PRS Characteristics'!$C$5:$Q$12,13,FALSE)*$J93</f>
        <v>158.60746207800986</v>
      </c>
      <c r="Y93" s="706">
        <f t="shared" si="80"/>
        <v>1270.3925379219902</v>
      </c>
      <c r="Z93" s="706">
        <f>IF($C93="other",(1-$C88)*X93,(1-(VLOOKUP($C93,'S3 - Screening Tool Metrics'!$C$3:$G$17,5,FALSE)/100))*X93)</f>
        <v>42.982622223140659</v>
      </c>
      <c r="AA93" s="706">
        <f>IF($C93="other",$C88*X93,(VLOOKUP($C93,'S3 - Screening Tool Metrics'!$C$3:$G$17,5,FALSE)/100)*X93)</f>
        <v>115.62483985486921</v>
      </c>
      <c r="AB93" s="708">
        <f t="shared" si="74"/>
        <v>8.0913113964219185</v>
      </c>
      <c r="AC93" s="707">
        <f t="shared" si="75"/>
        <v>180100.1</v>
      </c>
      <c r="AD93" s="706">
        <f>VLOOKUP("*"&amp;$B93&amp;"*",'S4 - Summ PRS Characteristics'!$C$5:$Q$12,14,FALSE)*$J93</f>
        <v>80.783958694351242</v>
      </c>
      <c r="AE93" s="706">
        <f t="shared" si="82"/>
        <v>1348.2160413056488</v>
      </c>
      <c r="AF93" s="706">
        <f>IF($C93="other",(1-$C88)*AD93,(1-(VLOOKUP($C93,'S3 - Screening Tool Metrics'!$C$3:$G$17,5,FALSE)/100))*AD93)</f>
        <v>21.892452806169178</v>
      </c>
      <c r="AG93" s="706">
        <f>IF($C93="other",$C88*AD93,(VLOOKUP($C93,'S3 - Screening Tool Metrics'!$C$3:$G$17,5,FALSE)/100)*AD93)</f>
        <v>58.89150588818206</v>
      </c>
      <c r="AH93" s="708">
        <f t="shared" si="76"/>
        <v>4.1211690614543075</v>
      </c>
      <c r="AI93" s="707">
        <f t="shared" si="77"/>
        <v>36020.020000000004</v>
      </c>
      <c r="AJ93" s="706">
        <f>VLOOKUP("*"&amp;$B93&amp;"*",'S4 - Summ PRS Characteristics'!$C$5:$Q$12,15,FALSE)*$J93</f>
        <v>16.753117812489744</v>
      </c>
      <c r="AK93" s="706">
        <f t="shared" si="81"/>
        <v>1412.2468821875102</v>
      </c>
      <c r="AL93" s="706">
        <f>IF($C93="other",(1-$C88)*AJ93,(1-(VLOOKUP($C93,'S3 - Screening Tool Metrics'!$C$3:$G$17,5,FALSE)/100))*AJ93)</f>
        <v>4.5400949271847191</v>
      </c>
      <c r="AM93" s="706">
        <f>IF($C93="other",$C88*AJ93,(VLOOKUP($C93,'S3 - Screening Tool Metrics'!$C$3:$G$17,5,FALSE)/100)*AJ93)</f>
        <v>12.213022885305024</v>
      </c>
      <c r="AN93" s="709">
        <f t="shared" si="78"/>
        <v>0.85465520540972884</v>
      </c>
    </row>
    <row r="94" spans="2:40" ht="11" customHeight="1" x14ac:dyDescent="0.15">
      <c r="B94" s="700" t="s">
        <v>14</v>
      </c>
      <c r="C94" s="1082" t="str">
        <f>$C89</f>
        <v>USS</v>
      </c>
      <c r="D94" s="552" t="s">
        <v>197</v>
      </c>
      <c r="E94" s="710">
        <f>VLOOKUP($B94&amp;"_"&amp;$D94,'App5 - CRUK Inci Rates'!C:H,6,FALSE)</f>
        <v>73.900000000000006</v>
      </c>
      <c r="F94" s="711">
        <f>VLOOKUP($B94&amp;"_"&amp;$D94,'App5 - CRUK Inci Rates'!C:H,3,FALSE)</f>
        <v>36.4</v>
      </c>
      <c r="G94" s="712">
        <f>VLOOKUP($B94&amp;"_"&amp;$D94,'App5 - CRUK Inci Rates'!C:J,8,FALSE)</f>
        <v>3502183.333333333</v>
      </c>
      <c r="H94" s="713">
        <f>VLOOKUP($B94&amp;"_"&amp;$D94,'App5 - CRUK Inci Rates'!C:J,7,FALSE)</f>
        <v>1696993.3333333333</v>
      </c>
      <c r="I94" s="713">
        <f>VLOOKUP($B94&amp;"_"&amp;$D94,'App5 - CRUK Inci Rates'!C:J,4,FALSE)</f>
        <v>1805190</v>
      </c>
      <c r="J94" s="709">
        <f>VLOOKUP($B94&amp;"_"&amp;$D94,'App5 - CRUK Inci Rates'!C:K,9,FALSE)</f>
        <v>1911</v>
      </c>
      <c r="K94" s="706">
        <f t="shared" si="64"/>
        <v>1751091.6666666665</v>
      </c>
      <c r="L94" s="706">
        <f>VLOOKUP("*"&amp;$B94&amp;"*",'S4 - Summ PRS Characteristics'!$C$5:$Q$12,11,FALSE)*$J94</f>
        <v>1001.429650375999</v>
      </c>
      <c r="M94" s="706">
        <f t="shared" si="65"/>
        <v>909.57034962400098</v>
      </c>
      <c r="N94" s="706">
        <f>IF($C94="other",(1-$C$7)*L94,(1-(VLOOKUP($C94,'S3 - Screening Tool Metrics'!$C$3:$G$17,5,FALSE)/100))*L94)</f>
        <v>271.38743525189562</v>
      </c>
      <c r="O94" s="706">
        <f>IF($C94="other",$C$7*L94,(VLOOKUP($C94,'S3 - Screening Tool Metrics'!$C$3:$G$17,5,FALSE)/100)*L94)</f>
        <v>730.04221512410334</v>
      </c>
      <c r="P94" s="706">
        <f t="shared" si="66"/>
        <v>38.202104402098556</v>
      </c>
      <c r="Q94" s="707">
        <f t="shared" si="71"/>
        <v>700436.66666666663</v>
      </c>
      <c r="R94" s="706">
        <f>VLOOKUP("*"&amp;$B94&amp;"*",'S4 - Summ PRS Characteristics'!$C$5:$Q$12,12,FALSE)*$J94</f>
        <v>415.26298769132347</v>
      </c>
      <c r="S94" s="706">
        <f t="shared" si="79"/>
        <v>1495.7370123086766</v>
      </c>
      <c r="T94" s="706">
        <f>IF($C94="other",(1-$C88)*R94,(1-(VLOOKUP($C94,'S3 - Screening Tool Metrics'!$C$3:$G$17,5,FALSE)/100))*R94)</f>
        <v>112.53626966434862</v>
      </c>
      <c r="U94" s="706">
        <f>IF($C94="other",$C88*R94,(VLOOKUP($C94,'S3 - Screening Tool Metrics'!$C$3:$G$17,5,FALSE)/100)*R94)</f>
        <v>302.72671802697488</v>
      </c>
      <c r="V94" s="708">
        <f t="shared" si="72"/>
        <v>15.841272528884085</v>
      </c>
      <c r="W94" s="707">
        <f t="shared" si="73"/>
        <v>350218.33333333331</v>
      </c>
      <c r="X94" s="706">
        <f>VLOOKUP("*"&amp;$B94&amp;"*",'S4 - Summ PRS Characteristics'!$C$5:$Q$12,13,FALSE)*$J94</f>
        <v>212.10557035064858</v>
      </c>
      <c r="Y94" s="706">
        <f t="shared" si="80"/>
        <v>1698.8944296493514</v>
      </c>
      <c r="Z94" s="706">
        <f>IF($C94="other",(1-$C88)*X94,(1-(VLOOKUP($C94,'S3 - Screening Tool Metrics'!$C$3:$G$17,5,FALSE)/100))*X94)</f>
        <v>57.480609565025745</v>
      </c>
      <c r="AA94" s="706">
        <f>IF($C94="other",$C88*X94,(VLOOKUP($C94,'S3 - Screening Tool Metrics'!$C$3:$G$17,5,FALSE)/100)*X94)</f>
        <v>154.62496078562282</v>
      </c>
      <c r="AB94" s="708">
        <f t="shared" si="74"/>
        <v>8.091311396421915</v>
      </c>
      <c r="AC94" s="707">
        <f t="shared" si="75"/>
        <v>175109.16666666666</v>
      </c>
      <c r="AD94" s="706">
        <f>VLOOKUP("*"&amp;$B94&amp;"*",'S4 - Summ PRS Characteristics'!$C$5:$Q$12,14,FALSE)*$J94</f>
        <v>108.0322918578763</v>
      </c>
      <c r="AE94" s="706">
        <f t="shared" si="82"/>
        <v>1802.9677081421237</v>
      </c>
      <c r="AF94" s="706">
        <f>IF($C94="other",(1-$C88)*AD94,(1-(VLOOKUP($C94,'S3 - Screening Tool Metrics'!$C$3:$G$17,5,FALSE)/100))*AD94)</f>
        <v>29.276751093484467</v>
      </c>
      <c r="AG94" s="706">
        <f>IF($C94="other",$C88*AD94,(VLOOKUP($C94,'S3 - Screening Tool Metrics'!$C$3:$G$17,5,FALSE)/100)*AD94)</f>
        <v>78.755540764391839</v>
      </c>
      <c r="AH94" s="708">
        <f t="shared" si="76"/>
        <v>4.1211690614543084</v>
      </c>
      <c r="AI94" s="707">
        <f t="shared" si="77"/>
        <v>35021.833333333328</v>
      </c>
      <c r="AJ94" s="706">
        <f>VLOOKUP("*"&amp;$B94&amp;"*",'S4 - Summ PRS Characteristics'!$C$5:$Q$12,15,FALSE)*$J94</f>
        <v>22.403924520411405</v>
      </c>
      <c r="AK94" s="706">
        <f t="shared" si="81"/>
        <v>1888.5960754795885</v>
      </c>
      <c r="AL94" s="706">
        <f>IF($C94="other",(1-$C88)*AJ94,(1-(VLOOKUP($C94,'S3 - Screening Tool Metrics'!$C$3:$G$17,5,FALSE)/100))*AJ94)</f>
        <v>6.0714635450314889</v>
      </c>
      <c r="AM94" s="706">
        <f>IF($C94="other",$C88*AJ94,(VLOOKUP($C94,'S3 - Screening Tool Metrics'!$C$3:$G$17,5,FALSE)/100)*AJ94)</f>
        <v>16.332460975379917</v>
      </c>
      <c r="AN94" s="709">
        <f t="shared" si="78"/>
        <v>0.85465520540972884</v>
      </c>
    </row>
    <row r="95" spans="2:40" ht="11" customHeight="1" x14ac:dyDescent="0.15">
      <c r="B95" s="700" t="s">
        <v>14</v>
      </c>
      <c r="C95" s="1082" t="str">
        <f>$C89</f>
        <v>USS</v>
      </c>
      <c r="D95" s="552" t="s">
        <v>198</v>
      </c>
      <c r="E95" s="710">
        <f>VLOOKUP($B95&amp;"_"&amp;$D95,'App5 - CRUK Inci Rates'!C:H,6,FALSE)</f>
        <v>91.2</v>
      </c>
      <c r="F95" s="711">
        <f>VLOOKUP($B95&amp;"_"&amp;$D95,'App5 - CRUK Inci Rates'!C:H,3,FALSE)</f>
        <v>45.1</v>
      </c>
      <c r="G95" s="712">
        <f>VLOOKUP($B95&amp;"_"&amp;$D95,'App5 - CRUK Inci Rates'!C:J,8,FALSE)</f>
        <v>3071574.666666667</v>
      </c>
      <c r="H95" s="713">
        <f>VLOOKUP($B95&amp;"_"&amp;$D95,'App5 - CRUK Inci Rates'!C:J,7,FALSE)</f>
        <v>1467965</v>
      </c>
      <c r="I95" s="713">
        <f>VLOOKUP($B95&amp;"_"&amp;$D95,'App5 - CRUK Inci Rates'!C:J,4,FALSE)</f>
        <v>1603609.6666666667</v>
      </c>
      <c r="J95" s="709">
        <f>VLOOKUP($B95&amp;"_"&amp;$D95,'App5 - CRUK Inci Rates'!C:K,9,FALSE)</f>
        <v>2063</v>
      </c>
      <c r="K95" s="706">
        <f t="shared" si="64"/>
        <v>1535787.3333333335</v>
      </c>
      <c r="L95" s="706">
        <f>VLOOKUP("*"&amp;$B95&amp;"*",'S4 - Summ PRS Characteristics'!$C$5:$Q$12,11,FALSE)*$J95</f>
        <v>1081.0828721746132</v>
      </c>
      <c r="M95" s="706">
        <f t="shared" si="65"/>
        <v>981.91712782538684</v>
      </c>
      <c r="N95" s="706">
        <f>IF($C95="other",(1-$C$7)*L95,(1-(VLOOKUP($C95,'S3 - Screening Tool Metrics'!$C$3:$G$17,5,FALSE)/100))*L95)</f>
        <v>292.97345835932009</v>
      </c>
      <c r="O95" s="706">
        <f>IF($C95="other",$C$7*L95,(VLOOKUP($C95,'S3 - Screening Tool Metrics'!$C$3:$G$17,5,FALSE)/100)*L95)</f>
        <v>788.10941381529312</v>
      </c>
      <c r="P95" s="706">
        <f t="shared" si="66"/>
        <v>38.202104402098556</v>
      </c>
      <c r="Q95" s="707">
        <f t="shared" si="71"/>
        <v>614314.93333333347</v>
      </c>
      <c r="R95" s="706">
        <f>VLOOKUP("*"&amp;$B95&amp;"*",'S4 - Summ PRS Characteristics'!$C$5:$Q$12,12,FALSE)*$J95</f>
        <v>448.29280146896929</v>
      </c>
      <c r="S95" s="706">
        <f t="shared" si="79"/>
        <v>1614.7071985310308</v>
      </c>
      <c r="T95" s="706">
        <f>IF($C95="other",(1-$C88)*R95,(1-(VLOOKUP($C95,'S3 - Screening Tool Metrics'!$C$3:$G$17,5,FALSE)/100))*R95)</f>
        <v>121.48734919809064</v>
      </c>
      <c r="U95" s="706">
        <f>IF($C95="other",$C88*R95,(VLOOKUP($C95,'S3 - Screening Tool Metrics'!$C$3:$G$17,5,FALSE)/100)*R95)</f>
        <v>326.80545227087867</v>
      </c>
      <c r="V95" s="708">
        <f t="shared" si="72"/>
        <v>15.841272528884085</v>
      </c>
      <c r="W95" s="707">
        <f t="shared" si="73"/>
        <v>307157.46666666673</v>
      </c>
      <c r="X95" s="706">
        <f>VLOOKUP("*"&amp;$B95&amp;"*",'S4 - Summ PRS Characteristics'!$C$5:$Q$12,13,FALSE)*$J95</f>
        <v>228.97634308392884</v>
      </c>
      <c r="Y95" s="706">
        <f t="shared" si="80"/>
        <v>1834.0236569160711</v>
      </c>
      <c r="Z95" s="706">
        <f>IF($C95="other",(1-$C88)*X95,(1-(VLOOKUP($C95,'S3 - Screening Tool Metrics'!$C$3:$G$17,5,FALSE)/100))*X95)</f>
        <v>62.052588975744698</v>
      </c>
      <c r="AA95" s="706">
        <f>IF($C95="other",$C88*X95,(VLOOKUP($C95,'S3 - Screening Tool Metrics'!$C$3:$G$17,5,FALSE)/100)*X95)</f>
        <v>166.92375410818414</v>
      </c>
      <c r="AB95" s="708">
        <f t="shared" si="74"/>
        <v>8.0913113964219168</v>
      </c>
      <c r="AC95" s="707">
        <f t="shared" si="75"/>
        <v>153578.73333333337</v>
      </c>
      <c r="AD95" s="706">
        <f>VLOOKUP("*"&amp;$B95&amp;"*",'S4 - Summ PRS Characteristics'!$C$5:$Q$12,14,FALSE)*$J95</f>
        <v>116.62512721234893</v>
      </c>
      <c r="AE95" s="706">
        <f t="shared" si="82"/>
        <v>1946.3748727876512</v>
      </c>
      <c r="AF95" s="706">
        <f>IF($C95="other",(1-$C88)*AD95,(1-(VLOOKUP($C95,'S3 - Screening Tool Metrics'!$C$3:$G$17,5,FALSE)/100))*AD95)</f>
        <v>31.605409474546548</v>
      </c>
      <c r="AG95" s="706">
        <f>IF($C95="other",$C88*AD95,(VLOOKUP($C95,'S3 - Screening Tool Metrics'!$C$3:$G$17,5,FALSE)/100)*AD95)</f>
        <v>85.019717737802381</v>
      </c>
      <c r="AH95" s="708">
        <f t="shared" si="76"/>
        <v>4.1211690614543084</v>
      </c>
      <c r="AI95" s="707">
        <f t="shared" si="77"/>
        <v>30715.74666666667</v>
      </c>
      <c r="AJ95" s="706">
        <f>VLOOKUP("*"&amp;$B95&amp;"*",'S4 - Summ PRS Characteristics'!$C$5:$Q$12,15,FALSE)*$J95</f>
        <v>24.185921656519483</v>
      </c>
      <c r="AK95" s="706">
        <f t="shared" si="81"/>
        <v>2038.8140783434806</v>
      </c>
      <c r="AL95" s="706">
        <f>IF($C95="other",(1-$C88)*AJ95,(1-(VLOOKUP($C95,'S3 - Screening Tool Metrics'!$C$3:$G$17,5,FALSE)/100))*AJ95)</f>
        <v>6.554384768916778</v>
      </c>
      <c r="AM95" s="706">
        <f>IF($C95="other",$C88*AJ95,(VLOOKUP($C95,'S3 - Screening Tool Metrics'!$C$3:$G$17,5,FALSE)/100)*AJ95)</f>
        <v>17.631536887602707</v>
      </c>
      <c r="AN95" s="709">
        <f t="shared" si="78"/>
        <v>0.85465520540972884</v>
      </c>
    </row>
    <row r="96" spans="2:40" ht="11" customHeight="1" x14ac:dyDescent="0.15">
      <c r="B96" s="700" t="s">
        <v>14</v>
      </c>
      <c r="C96" s="1082" t="str">
        <f>$C89</f>
        <v>USS</v>
      </c>
      <c r="D96" s="552" t="s">
        <v>199</v>
      </c>
      <c r="E96" s="710">
        <f>VLOOKUP($B96&amp;"_"&amp;$D96,'App5 - CRUK Inci Rates'!C:H,6,FALSE)</f>
        <v>110.1</v>
      </c>
      <c r="F96" s="711">
        <f>VLOOKUP($B96&amp;"_"&amp;$D96,'App5 - CRUK Inci Rates'!C:H,3,FALSE)</f>
        <v>57.2</v>
      </c>
      <c r="G96" s="712">
        <f>VLOOKUP($B96&amp;"_"&amp;$D96,'App5 - CRUK Inci Rates'!C:J,8,FALSE)</f>
        <v>2189010.6666666665</v>
      </c>
      <c r="H96" s="713">
        <f>VLOOKUP($B96&amp;"_"&amp;$D96,'App5 - CRUK Inci Rates'!C:J,7,FALSE)</f>
        <v>1007365.3333333334</v>
      </c>
      <c r="I96" s="713">
        <f>VLOOKUP($B96&amp;"_"&amp;$D96,'App5 - CRUK Inci Rates'!C:J,4,FALSE)</f>
        <v>1181645.3333333333</v>
      </c>
      <c r="J96" s="709">
        <f>VLOOKUP($B96&amp;"_"&amp;$D96,'App5 - CRUK Inci Rates'!C:K,9,FALSE)</f>
        <v>1785</v>
      </c>
      <c r="K96" s="706">
        <f t="shared" si="64"/>
        <v>1094505.3333333333</v>
      </c>
      <c r="L96" s="706">
        <f>VLOOKUP("*"&amp;$B96&amp;"*",'S4 - Summ PRS Characteristics'!$C$5:$Q$12,11,FALSE)*$J96</f>
        <v>935.40132177977932</v>
      </c>
      <c r="M96" s="706">
        <f t="shared" si="65"/>
        <v>849.59867822022068</v>
      </c>
      <c r="N96" s="706">
        <f>IF($C96="other",(1-$C$7)*L96,(1-(VLOOKUP($C96,'S3 - Screening Tool Metrics'!$C$3:$G$17,5,FALSE)/100))*L96)</f>
        <v>253.49375820232012</v>
      </c>
      <c r="O96" s="706">
        <f>IF($C96="other",$C$7*L96,(VLOOKUP($C96,'S3 - Screening Tool Metrics'!$C$3:$G$17,5,FALSE)/100)*L96)</f>
        <v>681.9075635774592</v>
      </c>
      <c r="P96" s="706">
        <f t="shared" si="66"/>
        <v>38.202104402098556</v>
      </c>
      <c r="Q96" s="707">
        <f t="shared" si="71"/>
        <v>437802.1333333333</v>
      </c>
      <c r="R96" s="706">
        <f>VLOOKUP("*"&amp;$B96&amp;"*",'S4 - Summ PRS Characteristics'!$C$5:$Q$12,12,FALSE)*$J96</f>
        <v>387.88301048090653</v>
      </c>
      <c r="S96" s="706">
        <f t="shared" si="79"/>
        <v>1397.1169895190935</v>
      </c>
      <c r="T96" s="706">
        <f>IF($C96="other",(1-$C88)*R96,(1-(VLOOKUP($C96,'S3 - Screening Tool Metrics'!$C$3:$G$17,5,FALSE)/100))*R96)</f>
        <v>105.11629584032563</v>
      </c>
      <c r="U96" s="706">
        <f>IF($C96="other",$C88*R96,(VLOOKUP($C96,'S3 - Screening Tool Metrics'!$C$3:$G$17,5,FALSE)/100)*R96)</f>
        <v>282.76671464058091</v>
      </c>
      <c r="V96" s="708">
        <f t="shared" si="72"/>
        <v>15.841272528884085</v>
      </c>
      <c r="W96" s="707">
        <f t="shared" si="73"/>
        <v>218901.06666666665</v>
      </c>
      <c r="X96" s="706">
        <f>VLOOKUP("*"&amp;$B96&amp;"*",'S4 - Summ PRS Characteristics'!$C$5:$Q$12,13,FALSE)*$J96</f>
        <v>198.12058769016625</v>
      </c>
      <c r="Y96" s="706">
        <f t="shared" si="80"/>
        <v>1586.8794123098337</v>
      </c>
      <c r="Z96" s="706">
        <f>IF($C96="other",(1-$C88)*X96,(1-(VLOOKUP($C96,'S3 - Screening Tool Metrics'!$C$3:$G$17,5,FALSE)/100))*X96)</f>
        <v>53.690679264035033</v>
      </c>
      <c r="AA96" s="706">
        <f>IF($C96="other",$C88*X96,(VLOOKUP($C96,'S3 - Screening Tool Metrics'!$C$3:$G$17,5,FALSE)/100)*X96)</f>
        <v>144.42990842613122</v>
      </c>
      <c r="AB96" s="708">
        <f t="shared" si="74"/>
        <v>8.0913113964219168</v>
      </c>
      <c r="AC96" s="707">
        <f t="shared" si="75"/>
        <v>109450.53333333333</v>
      </c>
      <c r="AD96" s="706">
        <f>VLOOKUP("*"&amp;$B96&amp;"*",'S4 - Summ PRS Characteristics'!$C$5:$Q$12,14,FALSE)*$J96</f>
        <v>100.90928360351083</v>
      </c>
      <c r="AE96" s="706">
        <f t="shared" si="82"/>
        <v>1684.0907163964891</v>
      </c>
      <c r="AF96" s="706">
        <f>IF($C96="other",(1-$C88)*AD96,(1-(VLOOKUP($C96,'S3 - Screening Tool Metrics'!$C$3:$G$17,5,FALSE)/100))*AD96)</f>
        <v>27.346415856551424</v>
      </c>
      <c r="AG96" s="706">
        <f>IF($C96="other",$C88*AD96,(VLOOKUP($C96,'S3 - Screening Tool Metrics'!$C$3:$G$17,5,FALSE)/100)*AD96)</f>
        <v>73.562867746959398</v>
      </c>
      <c r="AH96" s="708">
        <f t="shared" si="76"/>
        <v>4.1211690614543075</v>
      </c>
      <c r="AI96" s="707">
        <f t="shared" si="77"/>
        <v>21890.106666666667</v>
      </c>
      <c r="AJ96" s="706">
        <f>VLOOKUP("*"&amp;$B96&amp;"*",'S4 - Summ PRS Characteristics'!$C$5:$Q$12,15,FALSE)*$J96</f>
        <v>20.926742683900763</v>
      </c>
      <c r="AK96" s="706">
        <f t="shared" si="81"/>
        <v>1764.0732573160992</v>
      </c>
      <c r="AL96" s="706">
        <f>IF($C96="other",(1-$C88)*AJ96,(1-(VLOOKUP($C96,'S3 - Screening Tool Metrics'!$C$3:$G$17,5,FALSE)/100))*AJ96)</f>
        <v>5.6711472673371048</v>
      </c>
      <c r="AM96" s="706">
        <f>IF($C96="other",$C88*AJ96,(VLOOKUP($C96,'S3 - Screening Tool Metrics'!$C$3:$G$17,5,FALSE)/100)*AJ96)</f>
        <v>15.255595416563658</v>
      </c>
      <c r="AN96" s="709">
        <f t="shared" si="78"/>
        <v>0.85465520540972884</v>
      </c>
    </row>
    <row r="97" spans="2:40" ht="11" customHeight="1" x14ac:dyDescent="0.15">
      <c r="B97" s="700" t="s">
        <v>14</v>
      </c>
      <c r="C97" s="1082" t="str">
        <f>$C89</f>
        <v>USS</v>
      </c>
      <c r="D97" s="552" t="s">
        <v>200</v>
      </c>
      <c r="E97" s="710">
        <f>VLOOKUP($B97&amp;"_"&amp;$D97,'App5 - CRUK Inci Rates'!C:H,6,FALSE)</f>
        <v>34.622861697796182</v>
      </c>
      <c r="F97" s="711">
        <f>VLOOKUP($B97&amp;"_"&amp;$D97,'App5 - CRUK Inci Rates'!C:H,3,FALSE)</f>
        <v>16.932887508650499</v>
      </c>
      <c r="G97" s="712">
        <f>VLOOKUP($B97&amp;"_"&amp;$D97,'App5 - CRUK Inci Rates'!C:J,8,FALSE)</f>
        <v>24586669.333333336</v>
      </c>
      <c r="H97" s="713">
        <f>VLOOKUP($B97&amp;"_"&amp;$D97,'App5 - CRUK Inci Rates'!C:J,7,FALSE)</f>
        <v>12090277.333333334</v>
      </c>
      <c r="I97" s="713">
        <f>VLOOKUP($B97&amp;"_"&amp;$D97,'App5 - CRUK Inci Rates'!C:J,4,FALSE)</f>
        <v>12496392</v>
      </c>
      <c r="J97" s="709">
        <f>VLOOKUP($B97&amp;"_"&amp;$D97,'App5 - CRUK Inci Rates'!C:K,9,FALSE)</f>
        <v>6302</v>
      </c>
      <c r="K97" s="706">
        <f t="shared" si="64"/>
        <v>12293334.666666668</v>
      </c>
      <c r="L97" s="706">
        <f>VLOOKUP("*"&amp;$B97&amp;"*",'S4 - Summ PRS Characteristics'!$C$5:$Q$12,11,FALSE)*$J97</f>
        <v>3302.4644985188625</v>
      </c>
      <c r="M97" s="706">
        <f t="shared" si="65"/>
        <v>2999.5355014811375</v>
      </c>
      <c r="N97" s="706">
        <f>IF($C97="other",(1-$C$7)*L97,(1-(VLOOKUP($C97,'S3 - Screening Tool Metrics'!$C$3:$G$17,5,FALSE)/100))*L97)</f>
        <v>894.96787909861143</v>
      </c>
      <c r="O97" s="706">
        <f>IF($C97="other",$C$7*L97,(VLOOKUP($C97,'S3 - Screening Tool Metrics'!$C$3:$G$17,5,FALSE)/100)*L97)</f>
        <v>2407.4966194202511</v>
      </c>
      <c r="P97" s="706">
        <f t="shared" si="66"/>
        <v>38.202104402098556</v>
      </c>
      <c r="Q97" s="707">
        <f t="shared" si="71"/>
        <v>4917333.8666666672</v>
      </c>
      <c r="R97" s="706">
        <f>VLOOKUP("*"&amp;$B97&amp;"*",'S4 - Summ PRS Characteristics'!$C$5:$Q$12,12,FALSE)*$J97</f>
        <v>1369.4334633337105</v>
      </c>
      <c r="S97" s="706">
        <f t="shared" si="79"/>
        <v>4932.5665366662897</v>
      </c>
      <c r="T97" s="706">
        <f>IF($C97="other",(1-$C88)*R97,(1-(VLOOKUP($C97,'S3 - Screening Tool Metrics'!$C$3:$G$17,5,FALSE)/100))*R97)</f>
        <v>371.11646856343543</v>
      </c>
      <c r="U97" s="706">
        <f>IF($C97="other",$C88*R97,(VLOOKUP($C97,'S3 - Screening Tool Metrics'!$C$3:$G$17,5,FALSE)/100)*R97)</f>
        <v>998.31699477027507</v>
      </c>
      <c r="V97" s="708">
        <f t="shared" si="72"/>
        <v>15.841272528884085</v>
      </c>
      <c r="W97" s="707">
        <f t="shared" si="73"/>
        <v>2458666.9333333336</v>
      </c>
      <c r="X97" s="706">
        <f>VLOOKUP("*"&amp;$B97&amp;"*",'S4 - Summ PRS Characteristics'!$C$5:$Q$12,13,FALSE)*$J97</f>
        <v>699.47111687586982</v>
      </c>
      <c r="Y97" s="706">
        <f t="shared" si="80"/>
        <v>5602.5288831241305</v>
      </c>
      <c r="Z97" s="706">
        <f>IF($C97="other",(1-$C88)*X97,(1-(VLOOKUP($C97,'S3 - Screening Tool Metrics'!$C$3:$G$17,5,FALSE)/100))*X97)</f>
        <v>189.55667267336065</v>
      </c>
      <c r="AA97" s="706">
        <f>IF($C97="other",$C88*X97,(VLOOKUP($C97,'S3 - Screening Tool Metrics'!$C$3:$G$17,5,FALSE)/100)*X97)</f>
        <v>509.91444420250917</v>
      </c>
      <c r="AB97" s="708">
        <f t="shared" si="74"/>
        <v>8.091311396421915</v>
      </c>
      <c r="AC97" s="707">
        <f t="shared" si="75"/>
        <v>1229333.4666666668</v>
      </c>
      <c r="AD97" s="706">
        <f>VLOOKUP("*"&amp;$B97&amp;"*",'S4 - Summ PRS Characteristics'!$C$5:$Q$12,14,FALSE)*$J97</f>
        <v>356.26347634135868</v>
      </c>
      <c r="AE97" s="706">
        <f t="shared" si="82"/>
        <v>5945.7365236586411</v>
      </c>
      <c r="AF97" s="706">
        <f>IF($C97="other",(1-$C88)*AD97,(1-(VLOOKUP($C97,'S3 - Screening Tool Metrics'!$C$3:$G$17,5,FALSE)/100))*AD97)</f>
        <v>96.547402088508164</v>
      </c>
      <c r="AG97" s="706">
        <f>IF($C97="other",$C88*AD97,(VLOOKUP($C97,'S3 - Screening Tool Metrics'!$C$3:$G$17,5,FALSE)/100)*AD97)</f>
        <v>259.71607425285049</v>
      </c>
      <c r="AH97" s="708">
        <f t="shared" si="76"/>
        <v>4.1211690614543075</v>
      </c>
      <c r="AI97" s="707">
        <f t="shared" si="77"/>
        <v>245866.69333333336</v>
      </c>
      <c r="AJ97" s="706">
        <f>VLOOKUP("*"&amp;$B97&amp;"*",'S4 - Summ PRS Characteristics'!$C$5:$Q$12,15,FALSE)*$J97</f>
        <v>73.882539156270369</v>
      </c>
      <c r="AK97" s="706">
        <f t="shared" si="81"/>
        <v>6228.1174608437295</v>
      </c>
      <c r="AL97" s="706">
        <f>IF($C97="other",(1-$C88)*AJ97,(1-(VLOOKUP($C97,'S3 - Screening Tool Metrics'!$C$3:$G$17,5,FALSE)/100))*AJ97)</f>
        <v>20.022168111349263</v>
      </c>
      <c r="AM97" s="706">
        <f>IF($C97="other",$C88*AJ97,(VLOOKUP($C97,'S3 - Screening Tool Metrics'!$C$3:$G$17,5,FALSE)/100)*AJ97)</f>
        <v>53.860371044921102</v>
      </c>
      <c r="AN97" s="709">
        <f t="shared" si="78"/>
        <v>0.85465520540972861</v>
      </c>
    </row>
    <row r="98" spans="2:40" ht="11" customHeight="1" x14ac:dyDescent="0.15">
      <c r="B98" s="700" t="s">
        <v>14</v>
      </c>
      <c r="C98" s="1082" t="str">
        <f>$C89</f>
        <v>USS</v>
      </c>
      <c r="D98" s="552" t="s">
        <v>201</v>
      </c>
      <c r="E98" s="710">
        <f>VLOOKUP($B98&amp;"_"&amp;$D98,'App5 - CRUK Inci Rates'!C:H,6,FALSE)</f>
        <v>14.135054044739473</v>
      </c>
      <c r="F98" s="711">
        <f>VLOOKUP($B98&amp;"_"&amp;$D98,'App5 - CRUK Inci Rates'!C:H,3,FALSE)</f>
        <v>6.4764131930257953</v>
      </c>
      <c r="G98" s="712">
        <f>VLOOKUP($B98&amp;"_"&amp;$D98,'App5 - CRUK Inci Rates'!C:J,8,FALSE)</f>
        <v>8642767.333333334</v>
      </c>
      <c r="H98" s="713">
        <f>VLOOKUP($B98&amp;"_"&amp;$D98,'App5 - CRUK Inci Rates'!C:J,7,FALSE)</f>
        <v>4273064.666666667</v>
      </c>
      <c r="I98" s="713">
        <f>VLOOKUP($B98&amp;"_"&amp;$D98,'App5 - CRUK Inci Rates'!C:J,4,FALSE)</f>
        <v>4369702.666666667</v>
      </c>
      <c r="J98" s="709">
        <f>VLOOKUP($B98&amp;"_"&amp;$D98,'App5 - CRUK Inci Rates'!C:K,9,FALSE)</f>
        <v>887</v>
      </c>
      <c r="K98" s="706">
        <f t="shared" si="64"/>
        <v>4321383.666666667</v>
      </c>
      <c r="L98" s="706">
        <f>VLOOKUP("*"&amp;$B98&amp;"*",'S4 - Summ PRS Characteristics'!$C$5:$Q$12,11,FALSE)*$J98</f>
        <v>464.81847194322927</v>
      </c>
      <c r="M98" s="706">
        <f t="shared" si="65"/>
        <v>422.18152805677073</v>
      </c>
      <c r="N98" s="706">
        <f>IF($C98="other",(1-$C$7)*L98,(1-(VLOOKUP($C98,'S3 - Screening Tool Metrics'!$C$3:$G$17,5,FALSE)/100))*L98)</f>
        <v>125.96580589661509</v>
      </c>
      <c r="O98" s="706">
        <f>IF($C98="other",$C$7*L98,(VLOOKUP($C98,'S3 - Screening Tool Metrics'!$C$3:$G$17,5,FALSE)/100)*L98)</f>
        <v>338.85266604661416</v>
      </c>
      <c r="P98" s="706">
        <f t="shared" si="66"/>
        <v>38.202104402098556</v>
      </c>
      <c r="Q98" s="707">
        <f t="shared" si="71"/>
        <v>1728553.4666666668</v>
      </c>
      <c r="R98" s="706">
        <f>VLOOKUP("*"&amp;$B98&amp;"*",'S4 - Summ PRS Characteristics'!$C$5:$Q$12,12,FALSE)*$J98</f>
        <v>192.74634750507792</v>
      </c>
      <c r="S98" s="706">
        <f t="shared" si="79"/>
        <v>694.25365249492211</v>
      </c>
      <c r="T98" s="706">
        <f>IF($C98="other",(1-$C88)*R98,(1-(VLOOKUP($C98,'S3 - Screening Tool Metrics'!$C$3:$G$17,5,FALSE)/100))*R98)</f>
        <v>52.234260173876102</v>
      </c>
      <c r="U98" s="706">
        <f>IF($C98="other",$C88*R98,(VLOOKUP($C98,'S3 - Screening Tool Metrics'!$C$3:$G$17,5,FALSE)/100)*R98)</f>
        <v>140.51208733120183</v>
      </c>
      <c r="V98" s="708">
        <f t="shared" si="72"/>
        <v>15.841272528884085</v>
      </c>
      <c r="W98" s="707">
        <f t="shared" si="73"/>
        <v>864276.7333333334</v>
      </c>
      <c r="X98" s="706">
        <f>VLOOKUP("*"&amp;$B98&amp;"*",'S4 - Summ PRS Characteristics'!$C$5:$Q$12,13,FALSE)*$J98</f>
        <v>98.449838252760486</v>
      </c>
      <c r="Y98" s="706">
        <f t="shared" si="80"/>
        <v>788.55016174723949</v>
      </c>
      <c r="Z98" s="706">
        <f>IF($C98="other",(1-$C88)*X98,(1-(VLOOKUP($C98,'S3 - Screening Tool Metrics'!$C$3:$G$17,5,FALSE)/100))*X98)</f>
        <v>26.679906166498082</v>
      </c>
      <c r="AA98" s="706">
        <f>IF($C98="other",$C88*X98,(VLOOKUP($C98,'S3 - Screening Tool Metrics'!$C$3:$G$17,5,FALSE)/100)*X98)</f>
        <v>71.769932086262401</v>
      </c>
      <c r="AB98" s="708">
        <f t="shared" si="74"/>
        <v>8.0913113964219168</v>
      </c>
      <c r="AC98" s="707">
        <f t="shared" si="75"/>
        <v>432138.3666666667</v>
      </c>
      <c r="AD98" s="706">
        <f>VLOOKUP("*"&amp;$B98&amp;"*",'S4 - Summ PRS Characteristics'!$C$5:$Q$12,14,FALSE)*$J98</f>
        <v>50.14371683827121</v>
      </c>
      <c r="AE98" s="706">
        <f t="shared" si="82"/>
        <v>836.85628316172881</v>
      </c>
      <c r="AF98" s="706">
        <f>IF($C98="other",(1-$C88)*AD98,(1-(VLOOKUP($C98,'S3 - Screening Tool Metrics'!$C$3:$G$17,5,FALSE)/100))*AD98)</f>
        <v>13.588947263171493</v>
      </c>
      <c r="AG98" s="706">
        <f>IF($C98="other",$C88*AD98,(VLOOKUP($C98,'S3 - Screening Tool Metrics'!$C$3:$G$17,5,FALSE)/100)*AD98)</f>
        <v>36.554769575099719</v>
      </c>
      <c r="AH98" s="708">
        <f t="shared" si="76"/>
        <v>4.1211690614543084</v>
      </c>
      <c r="AI98" s="707">
        <f t="shared" si="77"/>
        <v>86427.67333333334</v>
      </c>
      <c r="AJ98" s="706">
        <f>VLOOKUP("*"&amp;$B98&amp;"*",'S4 - Summ PRS Characteristics'!$C$5:$Q$12,15,FALSE)*$J98</f>
        <v>10.398891182420154</v>
      </c>
      <c r="AK98" s="706">
        <f t="shared" si="81"/>
        <v>876.60110881757987</v>
      </c>
      <c r="AL98" s="706">
        <f>IF($C98="other",(1-$C88)*AJ98,(1-(VLOOKUP($C98,'S3 - Screening Tool Metrics'!$C$3:$G$17,5,FALSE)/100))*AJ98)</f>
        <v>2.8180995104358608</v>
      </c>
      <c r="AM98" s="706">
        <f>IF($C98="other",$C88*AJ98,(VLOOKUP($C98,'S3 - Screening Tool Metrics'!$C$3:$G$17,5,FALSE)/100)*AJ98)</f>
        <v>7.5807916719842936</v>
      </c>
      <c r="AN98" s="709">
        <f t="shared" si="78"/>
        <v>0.85465520540972861</v>
      </c>
    </row>
    <row r="99" spans="2:40" ht="11" customHeight="1" x14ac:dyDescent="0.15">
      <c r="B99" s="700" t="s">
        <v>14</v>
      </c>
      <c r="C99" s="1082" t="str">
        <f>$C89</f>
        <v>USS</v>
      </c>
      <c r="D99" s="552" t="s">
        <v>202</v>
      </c>
      <c r="E99" s="710">
        <f>VLOOKUP($B99&amp;"_"&amp;$D99,'App5 - CRUK Inci Rates'!C:H,6,FALSE)</f>
        <v>31.661908068880759</v>
      </c>
      <c r="F99" s="711">
        <f>VLOOKUP($B99&amp;"_"&amp;$D99,'App5 - CRUK Inci Rates'!C:H,3,FALSE)</f>
        <v>15.520729391028421</v>
      </c>
      <c r="G99" s="712">
        <f>VLOOKUP($B99&amp;"_"&amp;$D99,'App5 - CRUK Inci Rates'!C:J,8,FALSE)</f>
        <v>8839716.6666666679</v>
      </c>
      <c r="H99" s="713">
        <f>VLOOKUP($B99&amp;"_"&amp;$D99,'App5 - CRUK Inci Rates'!C:J,7,FALSE)</f>
        <v>4355391.333333333</v>
      </c>
      <c r="I99" s="713">
        <f>VLOOKUP($B99&amp;"_"&amp;$D99,'App5 - CRUK Inci Rates'!C:J,4,FALSE)</f>
        <v>4484325.333333334</v>
      </c>
      <c r="J99" s="709">
        <f>VLOOKUP($B99&amp;"_"&amp;$D99,'App5 - CRUK Inci Rates'!C:K,9,FALSE)</f>
        <v>2075</v>
      </c>
      <c r="K99" s="706">
        <f t="shared" si="64"/>
        <v>4419858.333333334</v>
      </c>
      <c r="L99" s="706">
        <f>VLOOKUP("*"&amp;$B99&amp;"*",'S4 - Summ PRS Characteristics'!$C$5:$Q$12,11,FALSE)*$J99</f>
        <v>1087.3712844218724</v>
      </c>
      <c r="M99" s="706">
        <f t="shared" si="65"/>
        <v>987.62871557812764</v>
      </c>
      <c r="N99" s="706">
        <f>IF($C99="other",(1-$C$7)*L99,(1-(VLOOKUP($C99,'S3 - Screening Tool Metrics'!$C$3:$G$17,5,FALSE)/100))*L99)</f>
        <v>294.67761807832733</v>
      </c>
      <c r="O99" s="706">
        <f>IF($C99="other",$C$7*L99,(VLOOKUP($C99,'S3 - Screening Tool Metrics'!$C$3:$G$17,5,FALSE)/100)*L99)</f>
        <v>792.69366634354503</v>
      </c>
      <c r="P99" s="706">
        <f t="shared" si="66"/>
        <v>38.202104402098556</v>
      </c>
      <c r="Q99" s="707">
        <f t="shared" si="71"/>
        <v>1767943.3333333337</v>
      </c>
      <c r="R99" s="706">
        <f>VLOOKUP("*"&amp;$B99&amp;"*",'S4 - Summ PRS Characteristics'!$C$5:$Q$12,12,FALSE)*$J99</f>
        <v>450.90041834615187</v>
      </c>
      <c r="S99" s="706">
        <f t="shared" si="79"/>
        <v>1624.0995816538482</v>
      </c>
      <c r="T99" s="706">
        <f>IF($C99="other",(1-$C88)*R99,(1-(VLOOKUP($C99,'S3 - Screening Tool Metrics'!$C$3:$G$17,5,FALSE)/100))*R99)</f>
        <v>122.19401337180712</v>
      </c>
      <c r="U99" s="706">
        <f>IF($C99="other",$C88*R99,(VLOOKUP($C99,'S3 - Screening Tool Metrics'!$C$3:$G$17,5,FALSE)/100)*R99)</f>
        <v>328.70640497434476</v>
      </c>
      <c r="V99" s="708">
        <f t="shared" si="72"/>
        <v>15.841272528884085</v>
      </c>
      <c r="W99" s="707">
        <f t="shared" si="73"/>
        <v>883971.66666666686</v>
      </c>
      <c r="X99" s="706">
        <f>VLOOKUP("*"&amp;$B99&amp;"*",'S4 - Summ PRS Characteristics'!$C$5:$Q$12,13,FALSE)*$J99</f>
        <v>230.30824619445096</v>
      </c>
      <c r="Y99" s="706">
        <f t="shared" si="80"/>
        <v>1844.6917538055491</v>
      </c>
      <c r="Z99" s="706">
        <f>IF($C99="other",(1-$C88)*X99,(1-(VLOOKUP($C99,'S3 - Screening Tool Metrics'!$C$3:$G$17,5,FALSE)/100))*X99)</f>
        <v>62.413534718696191</v>
      </c>
      <c r="AA99" s="706">
        <f>IF($C99="other",$C88*X99,(VLOOKUP($C99,'S3 - Screening Tool Metrics'!$C$3:$G$17,5,FALSE)/100)*X99)</f>
        <v>167.89471147575478</v>
      </c>
      <c r="AB99" s="708">
        <f t="shared" si="74"/>
        <v>8.0913113964219168</v>
      </c>
      <c r="AC99" s="707">
        <f t="shared" si="75"/>
        <v>441985.83333333343</v>
      </c>
      <c r="AD99" s="706">
        <f>VLOOKUP("*"&amp;$B99&amp;"*",'S4 - Summ PRS Characteristics'!$C$5:$Q$12,14,FALSE)*$J99</f>
        <v>117.30350895085992</v>
      </c>
      <c r="AE99" s="706">
        <f t="shared" si="82"/>
        <v>1957.6964910491401</v>
      </c>
      <c r="AF99" s="706">
        <f>IF($C99="other",(1-$C88)*AD99,(1-(VLOOKUP($C99,'S3 - Screening Tool Metrics'!$C$3:$G$17,5,FALSE)/100))*AD99)</f>
        <v>31.789250925683028</v>
      </c>
      <c r="AG99" s="706">
        <f>IF($C99="other",$C88*AD99,(VLOOKUP($C99,'S3 - Screening Tool Metrics'!$C$3:$G$17,5,FALSE)/100)*AD99)</f>
        <v>85.5142580251769</v>
      </c>
      <c r="AH99" s="708">
        <f t="shared" si="76"/>
        <v>4.1211690614543084</v>
      </c>
      <c r="AI99" s="707">
        <f t="shared" si="77"/>
        <v>88397.166666666686</v>
      </c>
      <c r="AJ99" s="706">
        <f>VLOOKUP("*"&amp;$B99&amp;"*",'S4 - Summ PRS Characteristics'!$C$5:$Q$12,15,FALSE)*$J99</f>
        <v>24.326605640949065</v>
      </c>
      <c r="AK99" s="706">
        <f t="shared" si="81"/>
        <v>2050.6733943590511</v>
      </c>
      <c r="AL99" s="706">
        <f>IF($C99="other",(1-$C88)*AJ99,(1-(VLOOKUP($C99,'S3 - Screening Tool Metrics'!$C$3:$G$17,5,FALSE)/100))*AJ99)</f>
        <v>6.5925101286971941</v>
      </c>
      <c r="AM99" s="706">
        <f>IF($C99="other",$C88*AJ99,(VLOOKUP($C99,'S3 - Screening Tool Metrics'!$C$3:$G$17,5,FALSE)/100)*AJ99)</f>
        <v>17.734095512251869</v>
      </c>
      <c r="AN99" s="709">
        <f t="shared" si="78"/>
        <v>0.85465520540972861</v>
      </c>
    </row>
    <row r="100" spans="2:40" ht="11" customHeight="1" x14ac:dyDescent="0.15">
      <c r="B100" s="700" t="s">
        <v>14</v>
      </c>
      <c r="C100" s="1082" t="str">
        <f>$C89</f>
        <v>USS</v>
      </c>
      <c r="D100" s="552" t="s">
        <v>203</v>
      </c>
      <c r="E100" s="710">
        <f>VLOOKUP($B100&amp;"_"&amp;$D100,'App5 - CRUK Inci Rates'!C:H,6,FALSE)</f>
        <v>45.821959216665384</v>
      </c>
      <c r="F100" s="711">
        <f>VLOOKUP($B100&amp;"_"&amp;$D100,'App5 - CRUK Inci Rates'!C:H,3,FALSE)</f>
        <v>22.555310346140132</v>
      </c>
      <c r="G100" s="712">
        <f>VLOOKUP($B100&amp;"_"&amp;$D100,'App5 - CRUK Inci Rates'!C:J,8,FALSE)</f>
        <v>15943902</v>
      </c>
      <c r="H100" s="713">
        <f>VLOOKUP($B100&amp;"_"&amp;$D100,'App5 - CRUK Inci Rates'!C:J,7,FALSE)</f>
        <v>7817212.666666666</v>
      </c>
      <c r="I100" s="713">
        <f>VLOOKUP($B100&amp;"_"&amp;$D100,'App5 - CRUK Inci Rates'!C:J,4,FALSE)</f>
        <v>8126689.333333334</v>
      </c>
      <c r="J100" s="709">
        <f>VLOOKUP($B100&amp;"_"&amp;$D100,'App5 - CRUK Inci Rates'!C:K,9,FALSE)</f>
        <v>5415</v>
      </c>
      <c r="K100" s="706">
        <f t="shared" si="64"/>
        <v>7971951</v>
      </c>
      <c r="L100" s="706">
        <f>VLOOKUP("*"&amp;$B100&amp;"*",'S4 - Summ PRS Characteristics'!$C$5:$Q$12,11,FALSE)*$J100</f>
        <v>2837.6460265756332</v>
      </c>
      <c r="M100" s="706">
        <f t="shared" si="65"/>
        <v>2577.3539734243668</v>
      </c>
      <c r="N100" s="706">
        <f>IF($C100="other",(1-$C$7)*L100,(1-(VLOOKUP($C100,'S3 - Screening Tool Metrics'!$C$3:$G$17,5,FALSE)/100))*L100)</f>
        <v>769.00207320199638</v>
      </c>
      <c r="O100" s="706">
        <f>IF($C100="other",$C$7*L100,(VLOOKUP($C100,'S3 - Screening Tool Metrics'!$C$3:$G$17,5,FALSE)/100)*L100)</f>
        <v>2068.643953373637</v>
      </c>
      <c r="P100" s="706">
        <f t="shared" si="66"/>
        <v>38.202104402098556</v>
      </c>
      <c r="Q100" s="707">
        <f t="shared" si="71"/>
        <v>3188780.4000000004</v>
      </c>
      <c r="R100" s="706">
        <f>VLOOKUP("*"&amp;$B100&amp;"*",'S4 - Summ PRS Characteristics'!$C$5:$Q$12,12,FALSE)*$J100</f>
        <v>1176.6871158286324</v>
      </c>
      <c r="S100" s="706">
        <f t="shared" si="79"/>
        <v>4238.3128841713678</v>
      </c>
      <c r="T100" s="706">
        <f>IF($C100="other",(1-$C88)*R100,(1-(VLOOKUP($C100,'S3 - Screening Tool Metrics'!$C$3:$G$17,5,FALSE)/100))*R100)</f>
        <v>318.88220838955925</v>
      </c>
      <c r="U100" s="706">
        <f>IF($C100="other",$C88*R100,(VLOOKUP($C100,'S3 - Screening Tool Metrics'!$C$3:$G$17,5,FALSE)/100)*R100)</f>
        <v>857.80490743907308</v>
      </c>
      <c r="V100" s="708">
        <f t="shared" si="72"/>
        <v>15.841272528884081</v>
      </c>
      <c r="W100" s="707">
        <f t="shared" si="73"/>
        <v>1594390.2000000002</v>
      </c>
      <c r="X100" s="706">
        <f>VLOOKUP("*"&amp;$B100&amp;"*",'S4 - Summ PRS Characteristics'!$C$5:$Q$12,13,FALSE)*$J100</f>
        <v>601.02127862310942</v>
      </c>
      <c r="Y100" s="706">
        <f t="shared" si="80"/>
        <v>4813.9787213768905</v>
      </c>
      <c r="Z100" s="706">
        <f>IF($C100="other",(1-$C88)*X100,(1-(VLOOKUP($C100,'S3 - Screening Tool Metrics'!$C$3:$G$17,5,FALSE)/100))*X100)</f>
        <v>162.87676650686259</v>
      </c>
      <c r="AA100" s="706">
        <f>IF($C100="other",$C88*X100,(VLOOKUP($C100,'S3 - Screening Tool Metrics'!$C$3:$G$17,5,FALSE)/100)*X100)</f>
        <v>438.1445121162468</v>
      </c>
      <c r="AB100" s="708">
        <f t="shared" si="74"/>
        <v>8.0913113964219168</v>
      </c>
      <c r="AC100" s="707">
        <f t="shared" si="75"/>
        <v>797195.10000000009</v>
      </c>
      <c r="AD100" s="706">
        <f>VLOOKUP("*"&amp;$B100&amp;"*",'S4 - Summ PRS Characteristics'!$C$5:$Q$12,14,FALSE)*$J100</f>
        <v>306.11975950308749</v>
      </c>
      <c r="AE100" s="706">
        <f t="shared" si="82"/>
        <v>5108.8802404969128</v>
      </c>
      <c r="AF100" s="706">
        <f>IF($C100="other",(1-$C88)*AD100,(1-(VLOOKUP($C100,'S3 - Screening Tool Metrics'!$C$3:$G$17,5,FALSE)/100))*AD100)</f>
        <v>82.958454825336688</v>
      </c>
      <c r="AG100" s="706">
        <f>IF($C100="other",$C88*AD100,(VLOOKUP($C100,'S3 - Screening Tool Metrics'!$C$3:$G$17,5,FALSE)/100)*AD100)</f>
        <v>223.16130467775082</v>
      </c>
      <c r="AH100" s="708">
        <f t="shared" si="76"/>
        <v>4.1211690614543084</v>
      </c>
      <c r="AI100" s="707">
        <f t="shared" si="77"/>
        <v>159439.01999999999</v>
      </c>
      <c r="AJ100" s="706">
        <f>VLOOKUP("*"&amp;$B100&amp;"*",'S4 - Summ PRS Characteristics'!$C$5:$Q$12,15,FALSE)*$J100</f>
        <v>63.483647973850218</v>
      </c>
      <c r="AK100" s="706">
        <f t="shared" si="81"/>
        <v>5351.5163520261494</v>
      </c>
      <c r="AL100" s="706">
        <f>IF($C100="other",(1-$C88)*AJ100,(1-(VLOOKUP($C100,'S3 - Screening Tool Metrics'!$C$3:$G$17,5,FALSE)/100))*AJ100)</f>
        <v>17.204068600913402</v>
      </c>
      <c r="AM100" s="706">
        <f>IF($C100="other",$C88*AJ100,(VLOOKUP($C100,'S3 - Screening Tool Metrics'!$C$3:$G$17,5,FALSE)/100)*AJ100)</f>
        <v>46.279579372936816</v>
      </c>
      <c r="AN100" s="709">
        <f t="shared" si="78"/>
        <v>0.85465520540972884</v>
      </c>
    </row>
    <row r="101" spans="2:40" ht="11" customHeight="1" x14ac:dyDescent="0.15">
      <c r="B101" s="700" t="s">
        <v>14</v>
      </c>
      <c r="C101" s="1082" t="str">
        <f>$C90</f>
        <v>USS</v>
      </c>
      <c r="D101" s="552" t="s">
        <v>292</v>
      </c>
      <c r="E101" s="710">
        <f>VLOOKUP($B101&amp;"_"&amp;$D101,'App5 - CRUK Inci Rates'!C:H,6,FALSE)</f>
        <v>71.848955725532122</v>
      </c>
      <c r="F101" s="711">
        <f>VLOOKUP($B101&amp;"_"&amp;$D101,'App5 - CRUK Inci Rates'!C:H,3,FALSE)</f>
        <v>35.474825423256348</v>
      </c>
      <c r="G101" s="712">
        <f>VLOOKUP($B101&amp;"_"&amp;$D101,'App5 - CRUK Inci Rates'!C:J,8,FALSE)</f>
        <v>8881256.9603638444</v>
      </c>
      <c r="H101" s="713">
        <f>VLOOKUP($B101&amp;"_"&amp;$D101,'App5 - CRUK Inci Rates'!C:J,7,FALSE)</f>
        <v>4929786.333333333</v>
      </c>
      <c r="I101" s="713">
        <f>VLOOKUP($B101&amp;"_"&amp;$D101,'App5 - CRUK Inci Rates'!C:J,4,FALSE)</f>
        <v>5245973.666666667</v>
      </c>
      <c r="J101" s="709">
        <f>VLOOKUP($B101&amp;"_"&amp;$D101,'App5 - CRUK Inci Rates'!C:K,9,FALSE)</f>
        <v>5403</v>
      </c>
      <c r="K101" s="706">
        <f t="shared" si="64"/>
        <v>4440628.4801819222</v>
      </c>
      <c r="L101" s="706">
        <f>VLOOKUP("*"&amp;$B101&amp;"*",'S4 - Summ PRS Characteristics'!$C$5:$Q$12,11,FALSE)*$J101</f>
        <v>2831.357614328374</v>
      </c>
      <c r="M101" s="706">
        <f t="shared" si="65"/>
        <v>2571.642385671626</v>
      </c>
      <c r="N101" s="706">
        <f>IF($C101="other",(1-$C$7)*L101,(1-(VLOOKUP($C101,'S3 - Screening Tool Metrics'!$C$3:$G$17,5,FALSE)/100))*L101)</f>
        <v>767.29791348298909</v>
      </c>
      <c r="O101" s="706">
        <f>IF($C101="other",$C$7*L101,(VLOOKUP($C101,'S3 - Screening Tool Metrics'!$C$3:$G$17,5,FALSE)/100)*L101)</f>
        <v>2064.0597008453851</v>
      </c>
      <c r="P101" s="706">
        <f t="shared" si="66"/>
        <v>38.202104402098556</v>
      </c>
      <c r="Q101" s="707">
        <f>$G101*Q$3</f>
        <v>1776251.3920727689</v>
      </c>
      <c r="R101" s="706">
        <f>VLOOKUP("*"&amp;$B101&amp;"*",'S4 - Summ PRS Characteristics'!$C$5:$Q$12,12,FALSE)*$J101</f>
        <v>1174.07949895145</v>
      </c>
      <c r="S101" s="706">
        <f>$J101-R101</f>
        <v>4228.9205010485502</v>
      </c>
      <c r="T101" s="706">
        <f>IF($C101="other",(1-$C89)*R101,(1-(VLOOKUP($C101,'S3 - Screening Tool Metrics'!$C$3:$G$17,5,FALSE)/100))*R101)</f>
        <v>318.17554421584282</v>
      </c>
      <c r="U101" s="706">
        <f>IF($C101="other",$C89*R101,(VLOOKUP($C101,'S3 - Screening Tool Metrics'!$C$3:$G$17,5,FALSE)/100)*R101)</f>
        <v>855.90395473560716</v>
      </c>
      <c r="V101" s="708">
        <f t="shared" si="72"/>
        <v>15.841272528884087</v>
      </c>
      <c r="W101" s="707">
        <f>$G101*W$3</f>
        <v>888125.69603638444</v>
      </c>
      <c r="X101" s="706">
        <f>VLOOKUP("*"&amp;$B101&amp;"*",'S4 - Summ PRS Characteristics'!$C$5:$Q$12,13,FALSE)*$J101</f>
        <v>599.68937551258728</v>
      </c>
      <c r="Y101" s="706">
        <f t="shared" si="80"/>
        <v>4803.3106244874125</v>
      </c>
      <c r="Z101" s="706">
        <f>IF($C101="other",(1-$C89)*X101,(1-(VLOOKUP($C101,'S3 - Screening Tool Metrics'!$C$3:$G$17,5,FALSE)/100))*X101)</f>
        <v>162.51582076391111</v>
      </c>
      <c r="AA101" s="706">
        <f>IF($C101="other",$C89*X101,(VLOOKUP($C101,'S3 - Screening Tool Metrics'!$C$3:$G$17,5,FALSE)/100)*X101)</f>
        <v>437.17355474867617</v>
      </c>
      <c r="AB101" s="708">
        <f t="shared" si="74"/>
        <v>8.0913113964219168</v>
      </c>
      <c r="AC101" s="707">
        <f t="shared" si="75"/>
        <v>444062.84801819222</v>
      </c>
      <c r="AD101" s="706">
        <f>VLOOKUP("*"&amp;$B101&amp;"*",'S4 - Summ PRS Characteristics'!$C$5:$Q$12,14,FALSE)*$J101</f>
        <v>305.44137776457649</v>
      </c>
      <c r="AE101" s="706">
        <f t="shared" si="82"/>
        <v>5097.5586222354232</v>
      </c>
      <c r="AF101" s="706">
        <f>IF($C101="other",(1-$C89)*AD101,(1-(VLOOKUP($C101,'S3 - Screening Tool Metrics'!$C$3:$G$17,5,FALSE)/100))*AD101)</f>
        <v>82.7746133742002</v>
      </c>
      <c r="AG101" s="706">
        <f>IF($C101="other",$C89*AD101,(VLOOKUP($C101,'S3 - Screening Tool Metrics'!$C$3:$G$17,5,FALSE)/100)*AD101)</f>
        <v>222.6667643903763</v>
      </c>
      <c r="AH101" s="708">
        <f t="shared" si="76"/>
        <v>4.1211690614543084</v>
      </c>
      <c r="AI101" s="707">
        <f t="shared" si="77"/>
        <v>88812.569603638447</v>
      </c>
      <c r="AJ101" s="706">
        <f>VLOOKUP("*"&amp;$B101&amp;"*",'S4 - Summ PRS Characteristics'!$C$5:$Q$12,15,FALSE)*$J101</f>
        <v>63.342963989420632</v>
      </c>
      <c r="AK101" s="706">
        <f t="shared" si="81"/>
        <v>5339.6570360105798</v>
      </c>
      <c r="AL101" s="706">
        <f>IF($C101="other",(1-$C89)*AJ101,(1-(VLOOKUP($C101,'S3 - Screening Tool Metrics'!$C$3:$G$17,5,FALSE)/100))*AJ101)</f>
        <v>17.165943241132986</v>
      </c>
      <c r="AM101" s="706">
        <f>IF($C101="other",$C89*AJ101,(VLOOKUP($C101,'S3 - Screening Tool Metrics'!$C$3:$G$17,5,FALSE)/100)*AJ101)</f>
        <v>46.177020748287646</v>
      </c>
      <c r="AN101" s="709">
        <f t="shared" si="78"/>
        <v>0.85465520540972884</v>
      </c>
    </row>
    <row r="102" spans="2:40" ht="11" customHeight="1" x14ac:dyDescent="0.15">
      <c r="B102" s="700" t="s">
        <v>14</v>
      </c>
      <c r="C102" s="1082" t="str">
        <f>$C89</f>
        <v>USS</v>
      </c>
      <c r="D102" s="552" t="s">
        <v>204</v>
      </c>
      <c r="E102" s="710">
        <f>VLOOKUP($B102&amp;"_"&amp;$D102,'App5 - CRUK Inci Rates'!C:H,6,FALSE)</f>
        <v>45.545645274943674</v>
      </c>
      <c r="F102" s="711">
        <f>VLOOKUP($B102&amp;"_"&amp;$D102,'App5 - CRUK Inci Rates'!C:H,3,FALSE)</f>
        <v>23.007991219794569</v>
      </c>
      <c r="G102" s="712">
        <f>VLOOKUP($B102&amp;"_"&amp;$D102,'App5 - CRUK Inci Rates'!C:J,8,FALSE)</f>
        <v>29847254.666666668</v>
      </c>
      <c r="H102" s="713">
        <f>VLOOKUP($B102&amp;"_"&amp;$D102,'App5 - CRUK Inci Rates'!C:J,7,FALSE)</f>
        <v>14565607.666666668</v>
      </c>
      <c r="I102" s="713">
        <f>VLOOKUP($B102&amp;"_"&amp;$D102,'App5 - CRUK Inci Rates'!C:J,4,FALSE)</f>
        <v>15281647</v>
      </c>
      <c r="J102" s="709">
        <f>VLOOKUP($B102&amp;"_"&amp;$D102,'App5 - CRUK Inci Rates'!C:K,9,FALSE)</f>
        <v>10150</v>
      </c>
      <c r="K102" s="706">
        <f t="shared" si="64"/>
        <v>14923627.333333334</v>
      </c>
      <c r="L102" s="706">
        <f>VLOOKUP("*"&amp;$B102&amp;"*",'S4 - Summ PRS Characteristics'!$C$5:$Q$12,11,FALSE)*$J102</f>
        <v>5318.9486924732546</v>
      </c>
      <c r="M102" s="706">
        <f t="shared" si="65"/>
        <v>4831.0513075267454</v>
      </c>
      <c r="N102" s="706">
        <f>IF($C102="other",(1-$C$7)*L102,(1-(VLOOKUP($C102,'S3 - Screening Tool Metrics'!$C$3:$G$17,5,FALSE)/100))*L102)</f>
        <v>1441.4350956602516</v>
      </c>
      <c r="O102" s="706">
        <f>IF($C102="other",$C$7*L102,(VLOOKUP($C102,'S3 - Screening Tool Metrics'!$C$3:$G$17,5,FALSE)/100)*L102)</f>
        <v>3877.513596813003</v>
      </c>
      <c r="P102" s="706">
        <f t="shared" si="66"/>
        <v>38.202104402098556</v>
      </c>
      <c r="Q102" s="707">
        <f t="shared" si="71"/>
        <v>5969450.9333333336</v>
      </c>
      <c r="R102" s="706">
        <f>VLOOKUP("*"&amp;$B102&amp;"*",'S4 - Summ PRS Characteristics'!$C$5:$Q$12,12,FALSE)*$J102</f>
        <v>2205.6092752835862</v>
      </c>
      <c r="S102" s="706">
        <f t="shared" si="79"/>
        <v>7944.3907247164134</v>
      </c>
      <c r="T102" s="706">
        <f>IF($C102="other",(1-$C88)*R102,(1-(VLOOKUP($C102,'S3 - Screening Tool Metrics'!$C$3:$G$17,5,FALSE)/100))*R102)</f>
        <v>597.72011360185161</v>
      </c>
      <c r="U102" s="706">
        <f>IF($C102="other",$C88*R102,(VLOOKUP($C102,'S3 - Screening Tool Metrics'!$C$3:$G$17,5,FALSE)/100)*R102)</f>
        <v>1607.8891616817345</v>
      </c>
      <c r="V102" s="708">
        <f t="shared" si="72"/>
        <v>15.841272528884085</v>
      </c>
      <c r="W102" s="707">
        <f t="shared" si="73"/>
        <v>2984725.4666666668</v>
      </c>
      <c r="X102" s="706">
        <f>VLOOKUP("*"&amp;$B102&amp;"*",'S4 - Summ PRS Characteristics'!$C$5:$Q$12,13,FALSE)*$J102</f>
        <v>1126.5680476499649</v>
      </c>
      <c r="Y102" s="706">
        <f t="shared" si="80"/>
        <v>9023.4319523500344</v>
      </c>
      <c r="Z102" s="706">
        <f>IF($C102="other",(1-$C88)*X102,(1-(VLOOKUP($C102,'S3 - Screening Tool Metrics'!$C$3:$G$17,5,FALSE)/100))*X102)</f>
        <v>305.2999409131404</v>
      </c>
      <c r="AA102" s="706">
        <f>IF($C102="other",$C88*X102,(VLOOKUP($C102,'S3 - Screening Tool Metrics'!$C$3:$G$17,5,FALSE)/100)*X102)</f>
        <v>821.26810673682451</v>
      </c>
      <c r="AB102" s="708">
        <f t="shared" si="74"/>
        <v>8.091311396421915</v>
      </c>
      <c r="AC102" s="707">
        <f t="shared" si="75"/>
        <v>1492362.7333333334</v>
      </c>
      <c r="AD102" s="706">
        <f>VLOOKUP("*"&amp;$B102&amp;"*",'S4 - Summ PRS Characteristics'!$C$5:$Q$12,14,FALSE)*$J102</f>
        <v>573.7978871572185</v>
      </c>
      <c r="AE102" s="706">
        <f t="shared" si="82"/>
        <v>9576.2021128427823</v>
      </c>
      <c r="AF102" s="706">
        <f>IF($C102="other",(1-$C88)*AD102,(1-(VLOOKUP($C102,'S3 - Screening Tool Metrics'!$C$3:$G$17,5,FALSE)/100))*AD102)</f>
        <v>155.49922741960617</v>
      </c>
      <c r="AG102" s="706">
        <f>IF($C102="other",$C88*AD102,(VLOOKUP($C102,'S3 - Screening Tool Metrics'!$C$3:$G$17,5,FALSE)/100)*AD102)</f>
        <v>418.29865973761235</v>
      </c>
      <c r="AH102" s="708">
        <f t="shared" si="76"/>
        <v>4.1211690614543093</v>
      </c>
      <c r="AI102" s="707">
        <f t="shared" si="77"/>
        <v>298472.54666666669</v>
      </c>
      <c r="AJ102" s="706">
        <f>VLOOKUP("*"&amp;$B102&amp;"*",'S4 - Summ PRS Characteristics'!$C$5:$Q$12,15,FALSE)*$J102</f>
        <v>118.99520349669062</v>
      </c>
      <c r="AK102" s="706">
        <f t="shared" si="81"/>
        <v>10031.00479650331</v>
      </c>
      <c r="AL102" s="706">
        <f>IF($C102="other",(1-$C88)*AJ102,(1-(VLOOKUP($C102,'S3 - Screening Tool Metrics'!$C$3:$G$17,5,FALSE)/100))*AJ102)</f>
        <v>32.247700147603148</v>
      </c>
      <c r="AM102" s="706">
        <f>IF($C102="other",$C88*AJ102,(VLOOKUP($C102,'S3 - Screening Tool Metrics'!$C$3:$G$17,5,FALSE)/100)*AJ102)</f>
        <v>86.747503349087481</v>
      </c>
      <c r="AN102" s="709">
        <f t="shared" si="78"/>
        <v>0.85465520540972884</v>
      </c>
    </row>
    <row r="103" spans="2:40" ht="11" customHeight="1" thickBot="1" x14ac:dyDescent="0.2">
      <c r="B103" s="700" t="s">
        <v>14</v>
      </c>
      <c r="C103" s="1083" t="str">
        <f>$C90</f>
        <v>USS</v>
      </c>
      <c r="D103" s="552" t="s">
        <v>205</v>
      </c>
      <c r="E103" s="710">
        <f>VLOOKUP($B103&amp;"_"&amp;$D103,'App5 - CRUK Inci Rates'!C:H,6,FALSE)</f>
        <v>29.2</v>
      </c>
      <c r="F103" s="711">
        <f>VLOOKUP($B103&amp;"_"&amp;$D103,'App5 - CRUK Inci Rates'!C:H,3,FALSE)</f>
        <v>14.8</v>
      </c>
      <c r="G103" s="712">
        <f>VLOOKUP($B103&amp;"_"&amp;$D103,'App5 - CRUK Inci Rates'!C:J,8,FALSE)</f>
        <v>66041277.666666664</v>
      </c>
      <c r="H103" s="713">
        <f>VLOOKUP($B103&amp;"_"&amp;$D103,'App5 - CRUK Inci Rates'!C:J,7,FALSE)</f>
        <v>32583225.666666668</v>
      </c>
      <c r="I103" s="713">
        <f>VLOOKUP($B103&amp;"_"&amp;$D103,'App5 - CRUK Inci Rates'!C:J,4,FALSE)</f>
        <v>33458051.999999996</v>
      </c>
      <c r="J103" s="709">
        <f>VLOOKUP($B103&amp;"_"&amp;$D103,'App5 - CRUK Inci Rates'!C:K,9,FALSE)</f>
        <v>13323</v>
      </c>
      <c r="K103" s="714"/>
      <c r="L103" s="714"/>
      <c r="M103" s="714"/>
      <c r="N103" s="714"/>
      <c r="O103" s="714"/>
      <c r="P103" s="714"/>
      <c r="Q103" s="715"/>
      <c r="R103" s="716"/>
      <c r="S103" s="716"/>
      <c r="T103" s="716"/>
      <c r="U103" s="716"/>
      <c r="V103" s="717"/>
      <c r="W103" s="715"/>
      <c r="X103" s="716"/>
      <c r="Y103" s="716"/>
      <c r="Z103" s="716"/>
      <c r="AA103" s="716"/>
      <c r="AB103" s="717"/>
      <c r="AC103" s="716"/>
      <c r="AD103" s="716"/>
      <c r="AE103" s="716"/>
      <c r="AF103" s="716"/>
      <c r="AG103" s="716"/>
      <c r="AH103" s="717"/>
      <c r="AI103" s="715"/>
      <c r="AJ103" s="716"/>
      <c r="AK103" s="716"/>
      <c r="AL103" s="716"/>
      <c r="AM103" s="716"/>
      <c r="AN103" s="718"/>
    </row>
    <row r="104" spans="2:40" ht="11" hidden="1" customHeight="1" thickBot="1" x14ac:dyDescent="0.2">
      <c r="B104" s="686" t="s">
        <v>15</v>
      </c>
      <c r="C104" s="687">
        <v>0.7</v>
      </c>
      <c r="D104" s="688"/>
      <c r="E104" s="689"/>
      <c r="F104" s="690"/>
      <c r="G104" s="691"/>
      <c r="H104" s="692"/>
      <c r="I104" s="692"/>
      <c r="J104" s="709" t="e">
        <f>VLOOKUP($B104&amp;"_"&amp;$D104,'App5 - CRUK Inci Rates'!C:K,9,FALSE)</f>
        <v>#N/A</v>
      </c>
      <c r="K104" s="706">
        <f t="shared" si="64"/>
        <v>0</v>
      </c>
      <c r="L104" s="706" t="e">
        <f>VLOOKUP("*"&amp;$B104&amp;"*",'S4 - Summ PRS Characteristics'!$C$5:$Q$12,11,FALSE)*$J104</f>
        <v>#N/A</v>
      </c>
      <c r="M104" s="706" t="e">
        <f t="shared" si="65"/>
        <v>#N/A</v>
      </c>
      <c r="N104" s="706" t="e">
        <f>IF($C104="other",(1-$C$7)*L104,(1-(VLOOKUP($C104,'S3 - Screening Tool Metrics'!$C$3:$G$17,5,FALSE)/100))*L104)</f>
        <v>#N/A</v>
      </c>
      <c r="O104" s="706" t="e">
        <f>IF($C104="other",$C$7*L104,(VLOOKUP($C104,'S3 - Screening Tool Metrics'!$C$3:$G$17,5,FALSE)/100)*L104)</f>
        <v>#N/A</v>
      </c>
      <c r="P104" s="706" t="e">
        <f t="shared" si="66"/>
        <v>#N/A</v>
      </c>
      <c r="Q104" s="695"/>
      <c r="R104" s="696" t="e">
        <f>VLOOKUP("*"&amp;$B104&amp;"*",'S4 - Summ PRS Characteristics'!$C$5:$Q$12,12,FALSE)*$J104</f>
        <v>#N/A</v>
      </c>
      <c r="S104" s="696"/>
      <c r="T104" s="696"/>
      <c r="U104" s="696"/>
      <c r="V104" s="697"/>
      <c r="W104" s="695"/>
      <c r="X104" s="696" t="e">
        <f>VLOOKUP("*"&amp;$B104&amp;"*",'S4 - Summ PRS Characteristics'!$C$5:$Q$12,13,FALSE)*$J104</f>
        <v>#N/A</v>
      </c>
      <c r="Y104" s="696"/>
      <c r="Z104" s="696"/>
      <c r="AA104" s="696"/>
      <c r="AB104" s="697"/>
      <c r="AC104" s="695"/>
      <c r="AD104" s="696" t="e">
        <f>VLOOKUP("*"&amp;$B104&amp;"*",'S4 - Summ PRS Characteristics'!$C$5:$Q$12,14,FALSE)*$J104</f>
        <v>#N/A</v>
      </c>
      <c r="AE104" s="696"/>
      <c r="AF104" s="696"/>
      <c r="AG104" s="696"/>
      <c r="AH104" s="697"/>
      <c r="AI104" s="695"/>
      <c r="AJ104" s="696" t="e">
        <f>VLOOKUP("*"&amp;$B104&amp;"*",'S4 - Summ PRS Characteristics'!$C$5:$Q$12,15,FALSE)*$J104</f>
        <v>#N/A</v>
      </c>
      <c r="AK104" s="696"/>
      <c r="AL104" s="696"/>
      <c r="AM104" s="696"/>
      <c r="AN104" s="699"/>
    </row>
    <row r="105" spans="2:40" ht="11" hidden="1" customHeight="1" thickBot="1" x14ac:dyDescent="0.2">
      <c r="B105" s="700" t="s">
        <v>15</v>
      </c>
      <c r="C105" s="720" t="s">
        <v>180</v>
      </c>
      <c r="D105" s="593" t="s">
        <v>192</v>
      </c>
      <c r="E105" s="701">
        <f>VLOOKUP($B105&amp;"_"&amp;$D105,'App5 - CRUK Inci Rates'!C:H,6,FALSE)</f>
        <v>1.3</v>
      </c>
      <c r="F105" s="702">
        <f>VLOOKUP($B105&amp;"_"&amp;$D105,'App5 - CRUK Inci Rates'!C:H,3,FALSE)</f>
        <v>0.6</v>
      </c>
      <c r="G105" s="703">
        <f>VLOOKUP($B105&amp;"_"&amp;$D105,'App5 - CRUK Inci Rates'!C:J,8,FALSE)</f>
        <v>4075608</v>
      </c>
      <c r="H105" s="704">
        <f>VLOOKUP($B105&amp;"_"&amp;$D105,'App5 - CRUK Inci Rates'!C:J,7,FALSE)</f>
        <v>2021384.6666666667</v>
      </c>
      <c r="I105" s="704">
        <f>VLOOKUP($B105&amp;"_"&amp;$D105,'App5 - CRUK Inci Rates'!C:J,4,FALSE)</f>
        <v>2054223.3333333333</v>
      </c>
      <c r="J105" s="709">
        <f>VLOOKUP($B105&amp;"_"&amp;$D105,'App5 - CRUK Inci Rates'!C:K,9,FALSE)</f>
        <v>39</v>
      </c>
      <c r="K105" s="706">
        <f t="shared" si="64"/>
        <v>2037804</v>
      </c>
      <c r="L105" s="706" t="e">
        <f>VLOOKUP("*"&amp;$B105&amp;"*",'S4 - Summ PRS Characteristics'!$C$5:$Q$12,11,FALSE)*$J105</f>
        <v>#N/A</v>
      </c>
      <c r="M105" s="706" t="e">
        <f t="shared" si="65"/>
        <v>#N/A</v>
      </c>
      <c r="N105" s="706" t="e">
        <f>IF($C105="other",(1-$C$7)*L105,(1-(VLOOKUP($C105,'S3 - Screening Tool Metrics'!$C$3:$G$17,5,FALSE)/100))*L105)</f>
        <v>#N/A</v>
      </c>
      <c r="O105" s="706" t="e">
        <f>IF($C105="other",$C$7*L105,(VLOOKUP($C105,'S3 - Screening Tool Metrics'!$C$3:$G$17,5,FALSE)/100)*L105)</f>
        <v>#N/A</v>
      </c>
      <c r="P105" s="706" t="e">
        <f t="shared" si="66"/>
        <v>#N/A</v>
      </c>
      <c r="Q105" s="707">
        <f t="shared" ref="Q105:Q117" si="83">$G105*Q$3</f>
        <v>815121.60000000009</v>
      </c>
      <c r="R105" s="706" t="e">
        <f>VLOOKUP("*"&amp;$B105&amp;"*",'S4 - Summ PRS Characteristics'!$C$5:$Q$12,12,FALSE)*$J105</f>
        <v>#N/A</v>
      </c>
      <c r="S105" s="706" t="e">
        <f>$J105-R105</f>
        <v>#N/A</v>
      </c>
      <c r="T105" s="706" t="e">
        <f>IF($C105="other",(1-$C104)*R105,(1-(VLOOKUP($C105,'S3 - Screening Tool Metrics'!$C$3:$G$17,5,FALSE)/100))*R105)</f>
        <v>#N/A</v>
      </c>
      <c r="U105" s="706" t="e">
        <f>IF($C105="other",$C104*R105,(VLOOKUP($C105,'S3 - Screening Tool Metrics'!$C$3:$G$17,5,FALSE)/100)*R105)</f>
        <v>#N/A</v>
      </c>
      <c r="V105" s="708" t="e">
        <f t="shared" ref="V105:V117" si="84">$U105/$J105*100</f>
        <v>#N/A</v>
      </c>
      <c r="W105" s="707">
        <f t="shared" ref="W105:W117" si="85">$G105*W$3</f>
        <v>407560.80000000005</v>
      </c>
      <c r="X105" s="706" t="e">
        <f>VLOOKUP("*"&amp;$B105&amp;"*",'S4 - Summ PRS Characteristics'!$C$5:$Q$12,13,FALSE)*$J105</f>
        <v>#N/A</v>
      </c>
      <c r="Y105" s="706" t="e">
        <f>$J105-X105</f>
        <v>#N/A</v>
      </c>
      <c r="Z105" s="706" t="e">
        <f>IF($C105="other",(1-$C104)*X105,(1-(VLOOKUP($C105,'S3 - Screening Tool Metrics'!$C$3:$G$17,5,FALSE)/100))*X105)</f>
        <v>#N/A</v>
      </c>
      <c r="AA105" s="706" t="e">
        <f>IF($C105="other",$C104*X105,(VLOOKUP($C105,'S3 - Screening Tool Metrics'!$C$3:$G$17,5,FALSE)/100)*X105)</f>
        <v>#N/A</v>
      </c>
      <c r="AB105" s="708" t="e">
        <f t="shared" ref="AB105:AB117" si="86">$AA105/$J105*100</f>
        <v>#N/A</v>
      </c>
      <c r="AC105" s="707">
        <f t="shared" ref="AC105:AC117" si="87">$G105*AC$3</f>
        <v>203780.40000000002</v>
      </c>
      <c r="AD105" s="706" t="e">
        <f>VLOOKUP("*"&amp;$B105&amp;"*",'S4 - Summ PRS Characteristics'!$C$5:$Q$12,14,FALSE)*$J105</f>
        <v>#N/A</v>
      </c>
      <c r="AE105" s="706" t="e">
        <f>$J105-AD105</f>
        <v>#N/A</v>
      </c>
      <c r="AF105" s="706" t="e">
        <f>IF($C105="other",(1-$C104)*AD105,(1-(VLOOKUP($C105,'S3 - Screening Tool Metrics'!$C$3:$G$17,5,FALSE)/100))*AD105)</f>
        <v>#N/A</v>
      </c>
      <c r="AG105" s="706" t="e">
        <f>IF($C105="other",$C104*AD105,(VLOOKUP($C105,'S3 - Screening Tool Metrics'!$C$3:$G$17,5,FALSE)/100)*AD105)</f>
        <v>#N/A</v>
      </c>
      <c r="AH105" s="708" t="e">
        <f t="shared" ref="AH105:AH117" si="88">$AG105/$J105*100</f>
        <v>#N/A</v>
      </c>
      <c r="AI105" s="707">
        <f t="shared" ref="AI105:AI117" si="89">$G105*AI$3</f>
        <v>40756.080000000002</v>
      </c>
      <c r="AJ105" s="706" t="e">
        <f>VLOOKUP("*"&amp;$B105&amp;"*",'S4 - Summ PRS Characteristics'!$C$5:$Q$12,15,FALSE)*$J105</f>
        <v>#N/A</v>
      </c>
      <c r="AK105" s="706" t="e">
        <f>$J105-AJ105</f>
        <v>#N/A</v>
      </c>
      <c r="AL105" s="706" t="e">
        <f>IF($C105="other",(1-$C104)*AJ105,(1-(VLOOKUP($C105,'S3 - Screening Tool Metrics'!$C$3:$G$17,5,FALSE)/100))*AJ105)</f>
        <v>#N/A</v>
      </c>
      <c r="AM105" s="706" t="e">
        <f>IF($C105="other",$C104*AJ105,(VLOOKUP($C105,'S3 - Screening Tool Metrics'!$C$3:$G$17,5,FALSE)/100)*AJ105)</f>
        <v>#N/A</v>
      </c>
      <c r="AN105" s="709" t="e">
        <f t="shared" ref="AN105:AN117" si="90">$AM105/$J105*100</f>
        <v>#N/A</v>
      </c>
    </row>
    <row r="106" spans="2:40" ht="11" hidden="1" customHeight="1" thickBot="1" x14ac:dyDescent="0.2">
      <c r="B106" s="700" t="s">
        <v>15</v>
      </c>
      <c r="C106" s="721" t="str">
        <f>$C105</f>
        <v>Other</v>
      </c>
      <c r="D106" s="552" t="s">
        <v>193</v>
      </c>
      <c r="E106" s="710">
        <f>VLOOKUP($B106&amp;"_"&amp;$D106,'App5 - CRUK Inci Rates'!C:H,6,FALSE)</f>
        <v>2.6</v>
      </c>
      <c r="F106" s="711">
        <f>VLOOKUP($B106&amp;"_"&amp;$D106,'App5 - CRUK Inci Rates'!C:H,3,FALSE)</f>
        <v>1.2</v>
      </c>
      <c r="G106" s="712">
        <f>VLOOKUP($B106&amp;"_"&amp;$D106,'App5 - CRUK Inci Rates'!C:J,8,FALSE)</f>
        <v>4567159.333333334</v>
      </c>
      <c r="H106" s="713">
        <f>VLOOKUP($B106&amp;"_"&amp;$D106,'App5 - CRUK Inci Rates'!C:J,7,FALSE)</f>
        <v>2251680</v>
      </c>
      <c r="I106" s="713">
        <f>VLOOKUP($B106&amp;"_"&amp;$D106,'App5 - CRUK Inci Rates'!C:J,4,FALSE)</f>
        <v>2315479.3333333335</v>
      </c>
      <c r="J106" s="709">
        <f>VLOOKUP($B106&amp;"_"&amp;$D106,'App5 - CRUK Inci Rates'!C:K,9,FALSE)</f>
        <v>88</v>
      </c>
      <c r="K106" s="706">
        <f t="shared" si="64"/>
        <v>2283579.666666667</v>
      </c>
      <c r="L106" s="706" t="e">
        <f>VLOOKUP("*"&amp;$B106&amp;"*",'S4 - Summ PRS Characteristics'!$C$5:$Q$12,11,FALSE)*$J106</f>
        <v>#N/A</v>
      </c>
      <c r="M106" s="706" t="e">
        <f t="shared" si="65"/>
        <v>#N/A</v>
      </c>
      <c r="N106" s="706" t="e">
        <f>IF($C106="other",(1-$C$7)*L106,(1-(VLOOKUP($C106,'S3 - Screening Tool Metrics'!$C$3:$G$17,5,FALSE)/100))*L106)</f>
        <v>#N/A</v>
      </c>
      <c r="O106" s="706" t="e">
        <f>IF($C106="other",$C$7*L106,(VLOOKUP($C106,'S3 - Screening Tool Metrics'!$C$3:$G$17,5,FALSE)/100)*L106)</f>
        <v>#N/A</v>
      </c>
      <c r="P106" s="706" t="e">
        <f t="shared" si="66"/>
        <v>#N/A</v>
      </c>
      <c r="Q106" s="707">
        <f t="shared" si="83"/>
        <v>913431.86666666681</v>
      </c>
      <c r="R106" s="706" t="e">
        <f>VLOOKUP("*"&amp;$B106&amp;"*",'S4 - Summ PRS Characteristics'!$C$5:$Q$12,12,FALSE)*$J106</f>
        <v>#N/A</v>
      </c>
      <c r="S106" s="706" t="e">
        <f t="shared" ref="S106:S117" si="91">$J106-R106</f>
        <v>#N/A</v>
      </c>
      <c r="T106" s="706" t="e">
        <f>IF($C106="other",(1-$C104)*R106,(1-(VLOOKUP($C106,'S3 - Screening Tool Metrics'!$C$3:$G$17,5,FALSE)/100))*R106)</f>
        <v>#N/A</v>
      </c>
      <c r="U106" s="706" t="e">
        <f>IF($C106="other",$C104*R106,(VLOOKUP($C106,'S3 - Screening Tool Metrics'!$C$3:$G$17,5,FALSE)/100)*R106)</f>
        <v>#N/A</v>
      </c>
      <c r="V106" s="708" t="e">
        <f t="shared" si="84"/>
        <v>#N/A</v>
      </c>
      <c r="W106" s="707">
        <f t="shared" si="85"/>
        <v>456715.93333333341</v>
      </c>
      <c r="X106" s="706" t="e">
        <f>VLOOKUP("*"&amp;$B106&amp;"*",'S4 - Summ PRS Characteristics'!$C$5:$Q$12,13,FALSE)*$J106</f>
        <v>#N/A</v>
      </c>
      <c r="Y106" s="706" t="e">
        <f t="shared" ref="Y106:Y117" si="92">$J106-X106</f>
        <v>#N/A</v>
      </c>
      <c r="Z106" s="706" t="e">
        <f>IF($C106="other",(1-$C104)*X106,(1-(VLOOKUP($C106,'S3 - Screening Tool Metrics'!$C$3:$G$17,5,FALSE)/100))*X106)</f>
        <v>#N/A</v>
      </c>
      <c r="AA106" s="706" t="e">
        <f>IF($C106="other",$C104*X106,(VLOOKUP($C106,'S3 - Screening Tool Metrics'!$C$3:$G$17,5,FALSE)/100)*X106)</f>
        <v>#N/A</v>
      </c>
      <c r="AB106" s="708" t="e">
        <f t="shared" si="86"/>
        <v>#N/A</v>
      </c>
      <c r="AC106" s="707">
        <f t="shared" si="87"/>
        <v>228357.9666666667</v>
      </c>
      <c r="AD106" s="706" t="e">
        <f>VLOOKUP("*"&amp;$B106&amp;"*",'S4 - Summ PRS Characteristics'!$C$5:$Q$12,14,FALSE)*$J106</f>
        <v>#N/A</v>
      </c>
      <c r="AE106" s="706" t="e">
        <f>$J106-AD106</f>
        <v>#N/A</v>
      </c>
      <c r="AF106" s="706" t="e">
        <f>IF($C106="other",(1-$C104)*AD106,(1-(VLOOKUP($C106,'S3 - Screening Tool Metrics'!$C$3:$G$17,5,FALSE)/100))*AD106)</f>
        <v>#N/A</v>
      </c>
      <c r="AG106" s="706" t="e">
        <f>IF($C106="other",$C104*AD106,(VLOOKUP($C106,'S3 - Screening Tool Metrics'!$C$3:$G$17,5,FALSE)/100)*AD106)</f>
        <v>#N/A</v>
      </c>
      <c r="AH106" s="708" t="e">
        <f t="shared" si="88"/>
        <v>#N/A</v>
      </c>
      <c r="AI106" s="707">
        <f t="shared" si="89"/>
        <v>45671.593333333338</v>
      </c>
      <c r="AJ106" s="706" t="e">
        <f>VLOOKUP("*"&amp;$B106&amp;"*",'S4 - Summ PRS Characteristics'!$C$5:$Q$12,15,FALSE)*$J106</f>
        <v>#N/A</v>
      </c>
      <c r="AK106" s="706" t="e">
        <f t="shared" ref="AK106:AK117" si="93">$J106-AJ106</f>
        <v>#N/A</v>
      </c>
      <c r="AL106" s="706" t="e">
        <f>IF($C106="other",(1-$C104)*AJ106,(1-(VLOOKUP($C106,'S3 - Screening Tool Metrics'!$C$3:$G$17,5,FALSE)/100))*AJ106)</f>
        <v>#N/A</v>
      </c>
      <c r="AM106" s="706" t="e">
        <f>IF($C106="other",$C104*AJ106,(VLOOKUP($C106,'S3 - Screening Tool Metrics'!$C$3:$G$17,5,FALSE)/100)*AJ106)</f>
        <v>#N/A</v>
      </c>
      <c r="AN106" s="709" t="e">
        <f t="shared" si="90"/>
        <v>#N/A</v>
      </c>
    </row>
    <row r="107" spans="2:40" ht="11" hidden="1" customHeight="1" thickBot="1" x14ac:dyDescent="0.2">
      <c r="B107" s="700" t="s">
        <v>15</v>
      </c>
      <c r="C107" s="721" t="str">
        <f>$C105</f>
        <v>Other</v>
      </c>
      <c r="D107" s="552" t="s">
        <v>194</v>
      </c>
      <c r="E107" s="710">
        <f>VLOOKUP($B107&amp;"_"&amp;$D107,'App5 - CRUK Inci Rates'!C:H,6,FALSE)</f>
        <v>5.5</v>
      </c>
      <c r="F107" s="711">
        <f>VLOOKUP($B107&amp;"_"&amp;$D107,'App5 - CRUK Inci Rates'!C:H,3,FALSE)</f>
        <v>2</v>
      </c>
      <c r="G107" s="712">
        <f>VLOOKUP($B107&amp;"_"&amp;$D107,'App5 - CRUK Inci Rates'!C:J,8,FALSE)</f>
        <v>4658110.666666666</v>
      </c>
      <c r="H107" s="713">
        <f>VLOOKUP($B107&amp;"_"&amp;$D107,'App5 - CRUK Inci Rates'!C:J,7,FALSE)</f>
        <v>2293472.6666666665</v>
      </c>
      <c r="I107" s="713">
        <f>VLOOKUP($B107&amp;"_"&amp;$D107,'App5 - CRUK Inci Rates'!C:J,4,FALSE)</f>
        <v>2364638</v>
      </c>
      <c r="J107" s="709">
        <f>VLOOKUP($B107&amp;"_"&amp;$D107,'App5 - CRUK Inci Rates'!C:K,9,FALSE)</f>
        <v>173</v>
      </c>
      <c r="K107" s="706">
        <f t="shared" si="64"/>
        <v>2329055.333333333</v>
      </c>
      <c r="L107" s="706" t="e">
        <f>VLOOKUP("*"&amp;$B107&amp;"*",'S4 - Summ PRS Characteristics'!$C$5:$Q$12,11,FALSE)*$J107</f>
        <v>#N/A</v>
      </c>
      <c r="M107" s="706" t="e">
        <f t="shared" si="65"/>
        <v>#N/A</v>
      </c>
      <c r="N107" s="706" t="e">
        <f>IF($C107="other",(1-$C$7)*L107,(1-(VLOOKUP($C107,'S3 - Screening Tool Metrics'!$C$3:$G$17,5,FALSE)/100))*L107)</f>
        <v>#N/A</v>
      </c>
      <c r="O107" s="706" t="e">
        <f>IF($C107="other",$C$7*L107,(VLOOKUP($C107,'S3 - Screening Tool Metrics'!$C$3:$G$17,5,FALSE)/100)*L107)</f>
        <v>#N/A</v>
      </c>
      <c r="P107" s="706" t="e">
        <f t="shared" si="66"/>
        <v>#N/A</v>
      </c>
      <c r="Q107" s="707">
        <f t="shared" si="83"/>
        <v>931622.1333333333</v>
      </c>
      <c r="R107" s="706" t="e">
        <f>VLOOKUP("*"&amp;$B107&amp;"*",'S4 - Summ PRS Characteristics'!$C$5:$Q$12,12,FALSE)*$J107</f>
        <v>#N/A</v>
      </c>
      <c r="S107" s="706" t="e">
        <f t="shared" si="91"/>
        <v>#N/A</v>
      </c>
      <c r="T107" s="706" t="e">
        <f>IF($C107="other",(1-$C104)*R107,(1-(VLOOKUP($C107,'S3 - Screening Tool Metrics'!$C$3:$G$17,5,FALSE)/100))*R107)</f>
        <v>#N/A</v>
      </c>
      <c r="U107" s="706" t="e">
        <f>IF($C107="other",$C104*R107,(VLOOKUP($C107,'S3 - Screening Tool Metrics'!$C$3:$G$17,5,FALSE)/100)*R107)</f>
        <v>#N/A</v>
      </c>
      <c r="V107" s="708" t="e">
        <f t="shared" si="84"/>
        <v>#N/A</v>
      </c>
      <c r="W107" s="707">
        <f t="shared" si="85"/>
        <v>465811.06666666665</v>
      </c>
      <c r="X107" s="706" t="e">
        <f>VLOOKUP("*"&amp;$B107&amp;"*",'S4 - Summ PRS Characteristics'!$C$5:$Q$12,13,FALSE)*$J107</f>
        <v>#N/A</v>
      </c>
      <c r="Y107" s="706" t="e">
        <f t="shared" si="92"/>
        <v>#N/A</v>
      </c>
      <c r="Z107" s="706" t="e">
        <f>IF($C107="other",(1-$C104)*X107,(1-(VLOOKUP($C107,'S3 - Screening Tool Metrics'!$C$3:$G$17,5,FALSE)/100))*X107)</f>
        <v>#N/A</v>
      </c>
      <c r="AA107" s="706" t="e">
        <f>IF($C107="other",$C104*X107,(VLOOKUP($C107,'S3 - Screening Tool Metrics'!$C$3:$G$17,5,FALSE)/100)*X107)</f>
        <v>#N/A</v>
      </c>
      <c r="AB107" s="708" t="e">
        <f t="shared" si="86"/>
        <v>#N/A</v>
      </c>
      <c r="AC107" s="707">
        <f t="shared" si="87"/>
        <v>232905.53333333333</v>
      </c>
      <c r="AD107" s="706" t="e">
        <f>VLOOKUP("*"&amp;$B107&amp;"*",'S4 - Summ PRS Characteristics'!$C$5:$Q$12,14,FALSE)*$J107</f>
        <v>#N/A</v>
      </c>
      <c r="AE107" s="706" t="e">
        <f t="shared" ref="AE107:AE117" si="94">$J107-AD107</f>
        <v>#N/A</v>
      </c>
      <c r="AF107" s="706" t="e">
        <f>IF($C107="other",(1-$C104)*AD107,(1-(VLOOKUP($C107,'S3 - Screening Tool Metrics'!$C$3:$G$17,5,FALSE)/100))*AD107)</f>
        <v>#N/A</v>
      </c>
      <c r="AG107" s="706" t="e">
        <f>IF($C107="other",$C104*AD107,(VLOOKUP($C107,'S3 - Screening Tool Metrics'!$C$3:$G$17,5,FALSE)/100)*AD107)</f>
        <v>#N/A</v>
      </c>
      <c r="AH107" s="708" t="e">
        <f t="shared" si="88"/>
        <v>#N/A</v>
      </c>
      <c r="AI107" s="707">
        <f t="shared" si="89"/>
        <v>46581.106666666659</v>
      </c>
      <c r="AJ107" s="706" t="e">
        <f>VLOOKUP("*"&amp;$B107&amp;"*",'S4 - Summ PRS Characteristics'!$C$5:$Q$12,15,FALSE)*$J107</f>
        <v>#N/A</v>
      </c>
      <c r="AK107" s="706" t="e">
        <f t="shared" si="93"/>
        <v>#N/A</v>
      </c>
      <c r="AL107" s="706" t="e">
        <f>IF($C107="other",(1-$C104)*AJ107,(1-(VLOOKUP($C107,'S3 - Screening Tool Metrics'!$C$3:$G$17,5,FALSE)/100))*AJ107)</f>
        <v>#N/A</v>
      </c>
      <c r="AM107" s="706" t="e">
        <f>IF($C107="other",$C104*AJ107,(VLOOKUP($C107,'S3 - Screening Tool Metrics'!$C$3:$G$17,5,FALSE)/100)*AJ107)</f>
        <v>#N/A</v>
      </c>
      <c r="AN107" s="709" t="e">
        <f t="shared" si="90"/>
        <v>#N/A</v>
      </c>
    </row>
    <row r="108" spans="2:40" ht="11" hidden="1" customHeight="1" thickBot="1" x14ac:dyDescent="0.2">
      <c r="B108" s="700" t="s">
        <v>15</v>
      </c>
      <c r="C108" s="721" t="str">
        <f>$C105</f>
        <v>Other</v>
      </c>
      <c r="D108" s="552" t="s">
        <v>195</v>
      </c>
      <c r="E108" s="710">
        <f>VLOOKUP($B108&amp;"_"&amp;$D108,'App5 - CRUK Inci Rates'!C:H,6,FALSE)</f>
        <v>9.1999999999999993</v>
      </c>
      <c r="F108" s="711">
        <f>VLOOKUP($B108&amp;"_"&amp;$D108,'App5 - CRUK Inci Rates'!C:H,3,FALSE)</f>
        <v>4.0999999999999996</v>
      </c>
      <c r="G108" s="712">
        <f>VLOOKUP($B108&amp;"_"&amp;$D108,'App5 - CRUK Inci Rates'!C:J,8,FALSE)</f>
        <v>4181606</v>
      </c>
      <c r="H108" s="713">
        <f>VLOOKUP($B108&amp;"_"&amp;$D108,'App5 - CRUK Inci Rates'!C:J,7,FALSE)</f>
        <v>2061918.6666666667</v>
      </c>
      <c r="I108" s="713">
        <f>VLOOKUP($B108&amp;"_"&amp;$D108,'App5 - CRUK Inci Rates'!C:J,4,FALSE)</f>
        <v>2119687.3333333335</v>
      </c>
      <c r="J108" s="709">
        <f>VLOOKUP($B108&amp;"_"&amp;$D108,'App5 - CRUK Inci Rates'!C:K,9,FALSE)</f>
        <v>276</v>
      </c>
      <c r="K108" s="706">
        <f t="shared" si="64"/>
        <v>2090803</v>
      </c>
      <c r="L108" s="706" t="e">
        <f>VLOOKUP("*"&amp;$B108&amp;"*",'S4 - Summ PRS Characteristics'!$C$5:$Q$12,11,FALSE)*$J108</f>
        <v>#N/A</v>
      </c>
      <c r="M108" s="706" t="e">
        <f t="shared" si="65"/>
        <v>#N/A</v>
      </c>
      <c r="N108" s="706" t="e">
        <f>IF($C108="other",(1-$C$7)*L108,(1-(VLOOKUP($C108,'S3 - Screening Tool Metrics'!$C$3:$G$17,5,FALSE)/100))*L108)</f>
        <v>#N/A</v>
      </c>
      <c r="O108" s="706" t="e">
        <f>IF($C108="other",$C$7*L108,(VLOOKUP($C108,'S3 - Screening Tool Metrics'!$C$3:$G$17,5,FALSE)/100)*L108)</f>
        <v>#N/A</v>
      </c>
      <c r="P108" s="706" t="e">
        <f t="shared" si="66"/>
        <v>#N/A</v>
      </c>
      <c r="Q108" s="707">
        <f t="shared" si="83"/>
        <v>836321.20000000007</v>
      </c>
      <c r="R108" s="706" t="e">
        <f>VLOOKUP("*"&amp;$B108&amp;"*",'S4 - Summ PRS Characteristics'!$C$5:$Q$12,12,FALSE)*$J108</f>
        <v>#N/A</v>
      </c>
      <c r="S108" s="706" t="e">
        <f t="shared" si="91"/>
        <v>#N/A</v>
      </c>
      <c r="T108" s="706" t="e">
        <f>IF($C108="other",(1-$C104)*R108,(1-(VLOOKUP($C108,'S3 - Screening Tool Metrics'!$C$3:$G$17,5,FALSE)/100))*R108)</f>
        <v>#N/A</v>
      </c>
      <c r="U108" s="706" t="e">
        <f>IF($C108="other",$C104*R108,(VLOOKUP($C108,'S3 - Screening Tool Metrics'!$C$3:$G$17,5,FALSE)/100)*R108)</f>
        <v>#N/A</v>
      </c>
      <c r="V108" s="708" t="e">
        <f t="shared" si="84"/>
        <v>#N/A</v>
      </c>
      <c r="W108" s="707">
        <f t="shared" si="85"/>
        <v>418160.60000000003</v>
      </c>
      <c r="X108" s="706" t="e">
        <f>VLOOKUP("*"&amp;$B108&amp;"*",'S4 - Summ PRS Characteristics'!$C$5:$Q$12,13,FALSE)*$J108</f>
        <v>#N/A</v>
      </c>
      <c r="Y108" s="706" t="e">
        <f t="shared" si="92"/>
        <v>#N/A</v>
      </c>
      <c r="Z108" s="706" t="e">
        <f>IF($C108="other",(1-$C104)*X108,(1-(VLOOKUP($C108,'S3 - Screening Tool Metrics'!$C$3:$G$17,5,FALSE)/100))*X108)</f>
        <v>#N/A</v>
      </c>
      <c r="AA108" s="706" t="e">
        <f>IF($C108="other",$C104*X108,(VLOOKUP($C108,'S3 - Screening Tool Metrics'!$C$3:$G$17,5,FALSE)/100)*X108)</f>
        <v>#N/A</v>
      </c>
      <c r="AB108" s="708" t="e">
        <f t="shared" si="86"/>
        <v>#N/A</v>
      </c>
      <c r="AC108" s="707">
        <f t="shared" si="87"/>
        <v>209080.30000000002</v>
      </c>
      <c r="AD108" s="706" t="e">
        <f>VLOOKUP("*"&amp;$B108&amp;"*",'S4 - Summ PRS Characteristics'!$C$5:$Q$12,14,FALSE)*$J108</f>
        <v>#N/A</v>
      </c>
      <c r="AE108" s="706" t="e">
        <f t="shared" si="94"/>
        <v>#N/A</v>
      </c>
      <c r="AF108" s="706" t="e">
        <f>IF($C108="other",(1-$C104)*AD108,(1-(VLOOKUP($C108,'S3 - Screening Tool Metrics'!$C$3:$G$17,5,FALSE)/100))*AD108)</f>
        <v>#N/A</v>
      </c>
      <c r="AG108" s="706" t="e">
        <f>IF($C108="other",$C104*AD108,(VLOOKUP($C108,'S3 - Screening Tool Metrics'!$C$3:$G$17,5,FALSE)/100)*AD108)</f>
        <v>#N/A</v>
      </c>
      <c r="AH108" s="708" t="e">
        <f t="shared" si="88"/>
        <v>#N/A</v>
      </c>
      <c r="AI108" s="707">
        <f t="shared" si="89"/>
        <v>41816.06</v>
      </c>
      <c r="AJ108" s="706" t="e">
        <f>VLOOKUP("*"&amp;$B108&amp;"*",'S4 - Summ PRS Characteristics'!$C$5:$Q$12,15,FALSE)*$J108</f>
        <v>#N/A</v>
      </c>
      <c r="AK108" s="706" t="e">
        <f t="shared" si="93"/>
        <v>#N/A</v>
      </c>
      <c r="AL108" s="706" t="e">
        <f>IF($C108="other",(1-$C104)*AJ108,(1-(VLOOKUP($C108,'S3 - Screening Tool Metrics'!$C$3:$G$17,5,FALSE)/100))*AJ108)</f>
        <v>#N/A</v>
      </c>
      <c r="AM108" s="706" t="e">
        <f>IF($C108="other",$C104*AJ108,(VLOOKUP($C108,'S3 - Screening Tool Metrics'!$C$3:$G$17,5,FALSE)/100)*AJ108)</f>
        <v>#N/A</v>
      </c>
      <c r="AN108" s="709" t="e">
        <f t="shared" si="90"/>
        <v>#N/A</v>
      </c>
    </row>
    <row r="109" spans="2:40" ht="11" hidden="1" customHeight="1" thickBot="1" x14ac:dyDescent="0.2">
      <c r="B109" s="700" t="s">
        <v>15</v>
      </c>
      <c r="C109" s="721" t="str">
        <f>$C105</f>
        <v>Other</v>
      </c>
      <c r="D109" s="552" t="s">
        <v>196</v>
      </c>
      <c r="E109" s="710">
        <f>VLOOKUP($B109&amp;"_"&amp;$D109,'App5 - CRUK Inci Rates'!C:H,6,FALSE)</f>
        <v>15</v>
      </c>
      <c r="F109" s="711">
        <f>VLOOKUP($B109&amp;"_"&amp;$D109,'App5 - CRUK Inci Rates'!C:H,3,FALSE)</f>
        <v>7.6</v>
      </c>
      <c r="G109" s="712">
        <f>VLOOKUP($B109&amp;"_"&amp;$D109,'App5 - CRUK Inci Rates'!C:J,8,FALSE)</f>
        <v>3602002</v>
      </c>
      <c r="H109" s="713">
        <f>VLOOKUP($B109&amp;"_"&amp;$D109,'App5 - CRUK Inci Rates'!C:J,7,FALSE)</f>
        <v>1764828</v>
      </c>
      <c r="I109" s="713">
        <f>VLOOKUP($B109&amp;"_"&amp;$D109,'App5 - CRUK Inci Rates'!C:J,4,FALSE)</f>
        <v>1837174</v>
      </c>
      <c r="J109" s="709">
        <f>VLOOKUP($B109&amp;"_"&amp;$D109,'App5 - CRUK Inci Rates'!C:K,9,FALSE)</f>
        <v>404</v>
      </c>
      <c r="K109" s="706">
        <f t="shared" si="64"/>
        <v>1801001</v>
      </c>
      <c r="L109" s="706" t="e">
        <f>VLOOKUP("*"&amp;$B109&amp;"*",'S4 - Summ PRS Characteristics'!$C$5:$Q$12,11,FALSE)*$J109</f>
        <v>#N/A</v>
      </c>
      <c r="M109" s="706" t="e">
        <f t="shared" si="65"/>
        <v>#N/A</v>
      </c>
      <c r="N109" s="706" t="e">
        <f>IF($C109="other",(1-$C$7)*L109,(1-(VLOOKUP($C109,'S3 - Screening Tool Metrics'!$C$3:$G$17,5,FALSE)/100))*L109)</f>
        <v>#N/A</v>
      </c>
      <c r="O109" s="706" t="e">
        <f>IF($C109="other",$C$7*L109,(VLOOKUP($C109,'S3 - Screening Tool Metrics'!$C$3:$G$17,5,FALSE)/100)*L109)</f>
        <v>#N/A</v>
      </c>
      <c r="P109" s="706" t="e">
        <f t="shared" si="66"/>
        <v>#N/A</v>
      </c>
      <c r="Q109" s="707">
        <f t="shared" si="83"/>
        <v>720400.4</v>
      </c>
      <c r="R109" s="706" t="e">
        <f>VLOOKUP("*"&amp;$B109&amp;"*",'S4 - Summ PRS Characteristics'!$C$5:$Q$12,12,FALSE)*$J109</f>
        <v>#N/A</v>
      </c>
      <c r="S109" s="706" t="e">
        <f t="shared" si="91"/>
        <v>#N/A</v>
      </c>
      <c r="T109" s="706" t="e">
        <f>IF($C109="other",(1-$C104)*R109,(1-(VLOOKUP($C109,'S3 - Screening Tool Metrics'!$C$3:$G$17,5,FALSE)/100))*R109)</f>
        <v>#N/A</v>
      </c>
      <c r="U109" s="706" t="e">
        <f>IF($C109="other",$C104*R109,(VLOOKUP($C109,'S3 - Screening Tool Metrics'!$C$3:$G$17,5,FALSE)/100)*R109)</f>
        <v>#N/A</v>
      </c>
      <c r="V109" s="708" t="e">
        <f t="shared" si="84"/>
        <v>#N/A</v>
      </c>
      <c r="W109" s="707">
        <f t="shared" si="85"/>
        <v>360200.2</v>
      </c>
      <c r="X109" s="706" t="e">
        <f>VLOOKUP("*"&amp;$B109&amp;"*",'S4 - Summ PRS Characteristics'!$C$5:$Q$12,13,FALSE)*$J109</f>
        <v>#N/A</v>
      </c>
      <c r="Y109" s="706" t="e">
        <f t="shared" si="92"/>
        <v>#N/A</v>
      </c>
      <c r="Z109" s="706" t="e">
        <f>IF($C109="other",(1-$C104)*X109,(1-(VLOOKUP($C109,'S3 - Screening Tool Metrics'!$C$3:$G$17,5,FALSE)/100))*X109)</f>
        <v>#N/A</v>
      </c>
      <c r="AA109" s="706" t="e">
        <f>IF($C109="other",$C104*X109,(VLOOKUP($C109,'S3 - Screening Tool Metrics'!$C$3:$G$17,5,FALSE)/100)*X109)</f>
        <v>#N/A</v>
      </c>
      <c r="AB109" s="708" t="e">
        <f t="shared" si="86"/>
        <v>#N/A</v>
      </c>
      <c r="AC109" s="707">
        <f t="shared" si="87"/>
        <v>180100.1</v>
      </c>
      <c r="AD109" s="706" t="e">
        <f>VLOOKUP("*"&amp;$B109&amp;"*",'S4 - Summ PRS Characteristics'!$C$5:$Q$12,14,FALSE)*$J109</f>
        <v>#N/A</v>
      </c>
      <c r="AE109" s="706" t="e">
        <f t="shared" si="94"/>
        <v>#N/A</v>
      </c>
      <c r="AF109" s="706" t="e">
        <f>IF($C109="other",(1-$C104)*AD109,(1-(VLOOKUP($C109,'S3 - Screening Tool Metrics'!$C$3:$G$17,5,FALSE)/100))*AD109)</f>
        <v>#N/A</v>
      </c>
      <c r="AG109" s="706" t="e">
        <f>IF($C109="other",$C104*AD109,(VLOOKUP($C109,'S3 - Screening Tool Metrics'!$C$3:$G$17,5,FALSE)/100)*AD109)</f>
        <v>#N/A</v>
      </c>
      <c r="AH109" s="708" t="e">
        <f t="shared" si="88"/>
        <v>#N/A</v>
      </c>
      <c r="AI109" s="707">
        <f t="shared" si="89"/>
        <v>36020.020000000004</v>
      </c>
      <c r="AJ109" s="706" t="e">
        <f>VLOOKUP("*"&amp;$B109&amp;"*",'S4 - Summ PRS Characteristics'!$C$5:$Q$12,15,FALSE)*$J109</f>
        <v>#N/A</v>
      </c>
      <c r="AK109" s="706" t="e">
        <f t="shared" si="93"/>
        <v>#N/A</v>
      </c>
      <c r="AL109" s="706" t="e">
        <f>IF($C109="other",(1-$C104)*AJ109,(1-(VLOOKUP($C109,'S3 - Screening Tool Metrics'!$C$3:$G$17,5,FALSE)/100))*AJ109)</f>
        <v>#N/A</v>
      </c>
      <c r="AM109" s="706" t="e">
        <f>IF($C109="other",$C104*AJ109,(VLOOKUP($C109,'S3 - Screening Tool Metrics'!$C$3:$G$17,5,FALSE)/100)*AJ109)</f>
        <v>#N/A</v>
      </c>
      <c r="AN109" s="709" t="e">
        <f t="shared" si="90"/>
        <v>#N/A</v>
      </c>
    </row>
    <row r="110" spans="2:40" ht="11" hidden="1" customHeight="1" thickBot="1" x14ac:dyDescent="0.2">
      <c r="B110" s="700" t="s">
        <v>15</v>
      </c>
      <c r="C110" s="721" t="str">
        <f>$C105</f>
        <v>Other</v>
      </c>
      <c r="D110" s="552" t="s">
        <v>197</v>
      </c>
      <c r="E110" s="710">
        <f>VLOOKUP($B110&amp;"_"&amp;$D110,'App5 - CRUK Inci Rates'!C:H,6,FALSE)</f>
        <v>22.7</v>
      </c>
      <c r="F110" s="711">
        <f>VLOOKUP($B110&amp;"_"&amp;$D110,'App5 - CRUK Inci Rates'!C:H,3,FALSE)</f>
        <v>11.3</v>
      </c>
      <c r="G110" s="712">
        <f>VLOOKUP($B110&amp;"_"&amp;$D110,'App5 - CRUK Inci Rates'!C:J,8,FALSE)</f>
        <v>3502183.333333333</v>
      </c>
      <c r="H110" s="713">
        <f>VLOOKUP($B110&amp;"_"&amp;$D110,'App5 - CRUK Inci Rates'!C:J,7,FALSE)</f>
        <v>1696993.3333333333</v>
      </c>
      <c r="I110" s="713">
        <f>VLOOKUP($B110&amp;"_"&amp;$D110,'App5 - CRUK Inci Rates'!C:J,4,FALSE)</f>
        <v>1805190</v>
      </c>
      <c r="J110" s="709">
        <f>VLOOKUP($B110&amp;"_"&amp;$D110,'App5 - CRUK Inci Rates'!C:K,9,FALSE)</f>
        <v>589</v>
      </c>
      <c r="K110" s="706">
        <f t="shared" si="64"/>
        <v>1751091.6666666665</v>
      </c>
      <c r="L110" s="706" t="e">
        <f>VLOOKUP("*"&amp;$B110&amp;"*",'S4 - Summ PRS Characteristics'!$C$5:$Q$12,11,FALSE)*$J110</f>
        <v>#N/A</v>
      </c>
      <c r="M110" s="706" t="e">
        <f t="shared" si="65"/>
        <v>#N/A</v>
      </c>
      <c r="N110" s="706" t="e">
        <f>IF($C110="other",(1-$C$7)*L110,(1-(VLOOKUP($C110,'S3 - Screening Tool Metrics'!$C$3:$G$17,5,FALSE)/100))*L110)</f>
        <v>#N/A</v>
      </c>
      <c r="O110" s="706" t="e">
        <f>IF($C110="other",$C$7*L110,(VLOOKUP($C110,'S3 - Screening Tool Metrics'!$C$3:$G$17,5,FALSE)/100)*L110)</f>
        <v>#N/A</v>
      </c>
      <c r="P110" s="706" t="e">
        <f t="shared" si="66"/>
        <v>#N/A</v>
      </c>
      <c r="Q110" s="707">
        <f t="shared" si="83"/>
        <v>700436.66666666663</v>
      </c>
      <c r="R110" s="706" t="e">
        <f>VLOOKUP("*"&amp;$B110&amp;"*",'S4 - Summ PRS Characteristics'!$C$5:$Q$12,12,FALSE)*$J110</f>
        <v>#N/A</v>
      </c>
      <c r="S110" s="706" t="e">
        <f t="shared" si="91"/>
        <v>#N/A</v>
      </c>
      <c r="T110" s="706" t="e">
        <f>IF($C110="other",(1-$C104)*R110,(1-(VLOOKUP($C110,'S3 - Screening Tool Metrics'!$C$3:$G$17,5,FALSE)/100))*R110)</f>
        <v>#N/A</v>
      </c>
      <c r="U110" s="706" t="e">
        <f>IF($C110="other",$C104*R110,(VLOOKUP($C110,'S3 - Screening Tool Metrics'!$C$3:$G$17,5,FALSE)/100)*R110)</f>
        <v>#N/A</v>
      </c>
      <c r="V110" s="708" t="e">
        <f t="shared" si="84"/>
        <v>#N/A</v>
      </c>
      <c r="W110" s="707">
        <f t="shared" si="85"/>
        <v>350218.33333333331</v>
      </c>
      <c r="X110" s="706" t="e">
        <f>VLOOKUP("*"&amp;$B110&amp;"*",'S4 - Summ PRS Characteristics'!$C$5:$Q$12,13,FALSE)*$J110</f>
        <v>#N/A</v>
      </c>
      <c r="Y110" s="706" t="e">
        <f t="shared" si="92"/>
        <v>#N/A</v>
      </c>
      <c r="Z110" s="706" t="e">
        <f>IF($C110="other",(1-$C104)*X110,(1-(VLOOKUP($C110,'S3 - Screening Tool Metrics'!$C$3:$G$17,5,FALSE)/100))*X110)</f>
        <v>#N/A</v>
      </c>
      <c r="AA110" s="706" t="e">
        <f>IF($C110="other",$C104*X110,(VLOOKUP($C110,'S3 - Screening Tool Metrics'!$C$3:$G$17,5,FALSE)/100)*X110)</f>
        <v>#N/A</v>
      </c>
      <c r="AB110" s="708" t="e">
        <f t="shared" si="86"/>
        <v>#N/A</v>
      </c>
      <c r="AC110" s="707">
        <f t="shared" si="87"/>
        <v>175109.16666666666</v>
      </c>
      <c r="AD110" s="706" t="e">
        <f>VLOOKUP("*"&amp;$B110&amp;"*",'S4 - Summ PRS Characteristics'!$C$5:$Q$12,14,FALSE)*$J110</f>
        <v>#N/A</v>
      </c>
      <c r="AE110" s="706" t="e">
        <f t="shared" si="94"/>
        <v>#N/A</v>
      </c>
      <c r="AF110" s="706" t="e">
        <f>IF($C110="other",(1-$C104)*AD110,(1-(VLOOKUP($C110,'S3 - Screening Tool Metrics'!$C$3:$G$17,5,FALSE)/100))*AD110)</f>
        <v>#N/A</v>
      </c>
      <c r="AG110" s="706" t="e">
        <f>IF($C110="other",$C104*AD110,(VLOOKUP($C110,'S3 - Screening Tool Metrics'!$C$3:$G$17,5,FALSE)/100)*AD110)</f>
        <v>#N/A</v>
      </c>
      <c r="AH110" s="708" t="e">
        <f t="shared" si="88"/>
        <v>#N/A</v>
      </c>
      <c r="AI110" s="707">
        <f t="shared" si="89"/>
        <v>35021.833333333328</v>
      </c>
      <c r="AJ110" s="706" t="e">
        <f>VLOOKUP("*"&amp;$B110&amp;"*",'S4 - Summ PRS Characteristics'!$C$5:$Q$12,15,FALSE)*$J110</f>
        <v>#N/A</v>
      </c>
      <c r="AK110" s="706" t="e">
        <f t="shared" si="93"/>
        <v>#N/A</v>
      </c>
      <c r="AL110" s="706" t="e">
        <f>IF($C110="other",(1-$C104)*AJ110,(1-(VLOOKUP($C110,'S3 - Screening Tool Metrics'!$C$3:$G$17,5,FALSE)/100))*AJ110)</f>
        <v>#N/A</v>
      </c>
      <c r="AM110" s="706" t="e">
        <f>IF($C110="other",$C104*AJ110,(VLOOKUP($C110,'S3 - Screening Tool Metrics'!$C$3:$G$17,5,FALSE)/100)*AJ110)</f>
        <v>#N/A</v>
      </c>
      <c r="AN110" s="709" t="e">
        <f t="shared" si="90"/>
        <v>#N/A</v>
      </c>
    </row>
    <row r="111" spans="2:40" ht="11" hidden="1" customHeight="1" thickBot="1" x14ac:dyDescent="0.2">
      <c r="B111" s="700" t="s">
        <v>15</v>
      </c>
      <c r="C111" s="721" t="str">
        <f>$C105</f>
        <v>Other</v>
      </c>
      <c r="D111" s="552" t="s">
        <v>198</v>
      </c>
      <c r="E111" s="710">
        <f>VLOOKUP($B111&amp;"_"&amp;$D111,'App5 - CRUK Inci Rates'!C:H,6,FALSE)</f>
        <v>29.2</v>
      </c>
      <c r="F111" s="711">
        <f>VLOOKUP($B111&amp;"_"&amp;$D111,'App5 - CRUK Inci Rates'!C:H,3,FALSE)</f>
        <v>15.3</v>
      </c>
      <c r="G111" s="712">
        <f>VLOOKUP($B111&amp;"_"&amp;$D111,'App5 - CRUK Inci Rates'!C:J,8,FALSE)</f>
        <v>3071574.666666667</v>
      </c>
      <c r="H111" s="713">
        <f>VLOOKUP($B111&amp;"_"&amp;$D111,'App5 - CRUK Inci Rates'!C:J,7,FALSE)</f>
        <v>1467965</v>
      </c>
      <c r="I111" s="713">
        <f>VLOOKUP($B111&amp;"_"&amp;$D111,'App5 - CRUK Inci Rates'!C:J,4,FALSE)</f>
        <v>1603609.6666666667</v>
      </c>
      <c r="J111" s="709">
        <f>VLOOKUP($B111&amp;"_"&amp;$D111,'App5 - CRUK Inci Rates'!C:K,9,FALSE)</f>
        <v>674</v>
      </c>
      <c r="K111" s="706">
        <f t="shared" si="64"/>
        <v>1535787.3333333335</v>
      </c>
      <c r="L111" s="706" t="e">
        <f>VLOOKUP("*"&amp;$B111&amp;"*",'S4 - Summ PRS Characteristics'!$C$5:$Q$12,11,FALSE)*$J111</f>
        <v>#N/A</v>
      </c>
      <c r="M111" s="706" t="e">
        <f t="shared" si="65"/>
        <v>#N/A</v>
      </c>
      <c r="N111" s="706" t="e">
        <f>IF($C111="other",(1-$C$7)*L111,(1-(VLOOKUP($C111,'S3 - Screening Tool Metrics'!$C$3:$G$17,5,FALSE)/100))*L111)</f>
        <v>#N/A</v>
      </c>
      <c r="O111" s="706" t="e">
        <f>IF($C111="other",$C$7*L111,(VLOOKUP($C111,'S3 - Screening Tool Metrics'!$C$3:$G$17,5,FALSE)/100)*L111)</f>
        <v>#N/A</v>
      </c>
      <c r="P111" s="706" t="e">
        <f t="shared" si="66"/>
        <v>#N/A</v>
      </c>
      <c r="Q111" s="707">
        <f t="shared" si="83"/>
        <v>614314.93333333347</v>
      </c>
      <c r="R111" s="706" t="e">
        <f>VLOOKUP("*"&amp;$B111&amp;"*",'S4 - Summ PRS Characteristics'!$C$5:$Q$12,12,FALSE)*$J111</f>
        <v>#N/A</v>
      </c>
      <c r="S111" s="706" t="e">
        <f t="shared" si="91"/>
        <v>#N/A</v>
      </c>
      <c r="T111" s="706" t="e">
        <f>IF($C111="other",(1-$C104)*R111,(1-(VLOOKUP($C111,'S3 - Screening Tool Metrics'!$C$3:$G$17,5,FALSE)/100))*R111)</f>
        <v>#N/A</v>
      </c>
      <c r="U111" s="706" t="e">
        <f>IF($C111="other",$C104*R111,(VLOOKUP($C111,'S3 - Screening Tool Metrics'!$C$3:$G$17,5,FALSE)/100)*R111)</f>
        <v>#N/A</v>
      </c>
      <c r="V111" s="708" t="e">
        <f t="shared" si="84"/>
        <v>#N/A</v>
      </c>
      <c r="W111" s="707">
        <f t="shared" si="85"/>
        <v>307157.46666666673</v>
      </c>
      <c r="X111" s="706" t="e">
        <f>VLOOKUP("*"&amp;$B111&amp;"*",'S4 - Summ PRS Characteristics'!$C$5:$Q$12,13,FALSE)*$J111</f>
        <v>#N/A</v>
      </c>
      <c r="Y111" s="706" t="e">
        <f t="shared" si="92"/>
        <v>#N/A</v>
      </c>
      <c r="Z111" s="706" t="e">
        <f>IF($C111="other",(1-$C104)*X111,(1-(VLOOKUP($C111,'S3 - Screening Tool Metrics'!$C$3:$G$17,5,FALSE)/100))*X111)</f>
        <v>#N/A</v>
      </c>
      <c r="AA111" s="706" t="e">
        <f>IF($C111="other",$C104*X111,(VLOOKUP($C111,'S3 - Screening Tool Metrics'!$C$3:$G$17,5,FALSE)/100)*X111)</f>
        <v>#N/A</v>
      </c>
      <c r="AB111" s="708" t="e">
        <f t="shared" si="86"/>
        <v>#N/A</v>
      </c>
      <c r="AC111" s="707">
        <f t="shared" si="87"/>
        <v>153578.73333333337</v>
      </c>
      <c r="AD111" s="706" t="e">
        <f>VLOOKUP("*"&amp;$B111&amp;"*",'S4 - Summ PRS Characteristics'!$C$5:$Q$12,14,FALSE)*$J111</f>
        <v>#N/A</v>
      </c>
      <c r="AE111" s="706" t="e">
        <f t="shared" si="94"/>
        <v>#N/A</v>
      </c>
      <c r="AF111" s="706" t="e">
        <f>IF($C111="other",(1-$C104)*AD111,(1-(VLOOKUP($C111,'S3 - Screening Tool Metrics'!$C$3:$G$17,5,FALSE)/100))*AD111)</f>
        <v>#N/A</v>
      </c>
      <c r="AG111" s="706" t="e">
        <f>IF($C111="other",$C104*AD111,(VLOOKUP($C111,'S3 - Screening Tool Metrics'!$C$3:$G$17,5,FALSE)/100)*AD111)</f>
        <v>#N/A</v>
      </c>
      <c r="AH111" s="708" t="e">
        <f t="shared" si="88"/>
        <v>#N/A</v>
      </c>
      <c r="AI111" s="707">
        <f t="shared" si="89"/>
        <v>30715.74666666667</v>
      </c>
      <c r="AJ111" s="706" t="e">
        <f>VLOOKUP("*"&amp;$B111&amp;"*",'S4 - Summ PRS Characteristics'!$C$5:$Q$12,15,FALSE)*$J111</f>
        <v>#N/A</v>
      </c>
      <c r="AK111" s="706" t="e">
        <f t="shared" si="93"/>
        <v>#N/A</v>
      </c>
      <c r="AL111" s="706" t="e">
        <f>IF($C111="other",(1-$C104)*AJ111,(1-(VLOOKUP($C111,'S3 - Screening Tool Metrics'!$C$3:$G$17,5,FALSE)/100))*AJ111)</f>
        <v>#N/A</v>
      </c>
      <c r="AM111" s="706" t="e">
        <f>IF($C111="other",$C104*AJ111,(VLOOKUP($C111,'S3 - Screening Tool Metrics'!$C$3:$G$17,5,FALSE)/100)*AJ111)</f>
        <v>#N/A</v>
      </c>
      <c r="AN111" s="709" t="e">
        <f t="shared" si="90"/>
        <v>#N/A</v>
      </c>
    </row>
    <row r="112" spans="2:40" ht="11" hidden="1" customHeight="1" thickBot="1" x14ac:dyDescent="0.2">
      <c r="B112" s="700" t="s">
        <v>15</v>
      </c>
      <c r="C112" s="721" t="str">
        <f>$C105</f>
        <v>Other</v>
      </c>
      <c r="D112" s="552" t="s">
        <v>199</v>
      </c>
      <c r="E112" s="710">
        <f>VLOOKUP($B112&amp;"_"&amp;$D112,'App5 - CRUK Inci Rates'!C:H,6,FALSE)</f>
        <v>35.799999999999997</v>
      </c>
      <c r="F112" s="711">
        <f>VLOOKUP($B112&amp;"_"&amp;$D112,'App5 - CRUK Inci Rates'!C:H,3,FALSE)</f>
        <v>18.2</v>
      </c>
      <c r="G112" s="712">
        <f>VLOOKUP($B112&amp;"_"&amp;$D112,'App5 - CRUK Inci Rates'!C:J,8,FALSE)</f>
        <v>2189010.6666666665</v>
      </c>
      <c r="H112" s="713">
        <f>VLOOKUP($B112&amp;"_"&amp;$D112,'App5 - CRUK Inci Rates'!C:J,7,FALSE)</f>
        <v>1007365.3333333334</v>
      </c>
      <c r="I112" s="713">
        <f>VLOOKUP($B112&amp;"_"&amp;$D112,'App5 - CRUK Inci Rates'!C:J,4,FALSE)</f>
        <v>1181645.3333333333</v>
      </c>
      <c r="J112" s="709">
        <f>VLOOKUP($B112&amp;"_"&amp;$D112,'App5 - CRUK Inci Rates'!C:K,9,FALSE)</f>
        <v>576</v>
      </c>
      <c r="K112" s="706">
        <f t="shared" si="64"/>
        <v>1094505.3333333333</v>
      </c>
      <c r="L112" s="706" t="e">
        <f>VLOOKUP("*"&amp;$B112&amp;"*",'S4 - Summ PRS Characteristics'!$C$5:$Q$12,11,FALSE)*$J112</f>
        <v>#N/A</v>
      </c>
      <c r="M112" s="706" t="e">
        <f t="shared" si="65"/>
        <v>#N/A</v>
      </c>
      <c r="N112" s="706" t="e">
        <f>IF($C112="other",(1-$C$7)*L112,(1-(VLOOKUP($C112,'S3 - Screening Tool Metrics'!$C$3:$G$17,5,FALSE)/100))*L112)</f>
        <v>#N/A</v>
      </c>
      <c r="O112" s="706" t="e">
        <f>IF($C112="other",$C$7*L112,(VLOOKUP($C112,'S3 - Screening Tool Metrics'!$C$3:$G$17,5,FALSE)/100)*L112)</f>
        <v>#N/A</v>
      </c>
      <c r="P112" s="706" t="e">
        <f t="shared" si="66"/>
        <v>#N/A</v>
      </c>
      <c r="Q112" s="707">
        <f t="shared" si="83"/>
        <v>437802.1333333333</v>
      </c>
      <c r="R112" s="706" t="e">
        <f>VLOOKUP("*"&amp;$B112&amp;"*",'S4 - Summ PRS Characteristics'!$C$5:$Q$12,12,FALSE)*$J112</f>
        <v>#N/A</v>
      </c>
      <c r="S112" s="706" t="e">
        <f t="shared" si="91"/>
        <v>#N/A</v>
      </c>
      <c r="T112" s="706" t="e">
        <f>IF($C112="other",(1-$C104)*R112,(1-(VLOOKUP($C112,'S3 - Screening Tool Metrics'!$C$3:$G$17,5,FALSE)/100))*R112)</f>
        <v>#N/A</v>
      </c>
      <c r="U112" s="706" t="e">
        <f>IF($C112="other",$C104*R112,(VLOOKUP($C112,'S3 - Screening Tool Metrics'!$C$3:$G$17,5,FALSE)/100)*R112)</f>
        <v>#N/A</v>
      </c>
      <c r="V112" s="708" t="e">
        <f t="shared" si="84"/>
        <v>#N/A</v>
      </c>
      <c r="W112" s="707">
        <f t="shared" si="85"/>
        <v>218901.06666666665</v>
      </c>
      <c r="X112" s="706" t="e">
        <f>VLOOKUP("*"&amp;$B112&amp;"*",'S4 - Summ PRS Characteristics'!$C$5:$Q$12,13,FALSE)*$J112</f>
        <v>#N/A</v>
      </c>
      <c r="Y112" s="706" t="e">
        <f t="shared" si="92"/>
        <v>#N/A</v>
      </c>
      <c r="Z112" s="706" t="e">
        <f>IF($C112="other",(1-$C104)*X112,(1-(VLOOKUP($C112,'S3 - Screening Tool Metrics'!$C$3:$G$17,5,FALSE)/100))*X112)</f>
        <v>#N/A</v>
      </c>
      <c r="AA112" s="706" t="e">
        <f>IF($C112="other",$C104*X112,(VLOOKUP($C112,'S3 - Screening Tool Metrics'!$C$3:$G$17,5,FALSE)/100)*X112)</f>
        <v>#N/A</v>
      </c>
      <c r="AB112" s="708" t="e">
        <f t="shared" si="86"/>
        <v>#N/A</v>
      </c>
      <c r="AC112" s="707">
        <f t="shared" si="87"/>
        <v>109450.53333333333</v>
      </c>
      <c r="AD112" s="706" t="e">
        <f>VLOOKUP("*"&amp;$B112&amp;"*",'S4 - Summ PRS Characteristics'!$C$5:$Q$12,14,FALSE)*$J112</f>
        <v>#N/A</v>
      </c>
      <c r="AE112" s="706" t="e">
        <f t="shared" si="94"/>
        <v>#N/A</v>
      </c>
      <c r="AF112" s="706" t="e">
        <f>IF($C112="other",(1-$C104)*AD112,(1-(VLOOKUP($C112,'S3 - Screening Tool Metrics'!$C$3:$G$17,5,FALSE)/100))*AD112)</f>
        <v>#N/A</v>
      </c>
      <c r="AG112" s="706" t="e">
        <f>IF($C112="other",$C104*AD112,(VLOOKUP($C112,'S3 - Screening Tool Metrics'!$C$3:$G$17,5,FALSE)/100)*AD112)</f>
        <v>#N/A</v>
      </c>
      <c r="AH112" s="708" t="e">
        <f t="shared" si="88"/>
        <v>#N/A</v>
      </c>
      <c r="AI112" s="707">
        <f t="shared" si="89"/>
        <v>21890.106666666667</v>
      </c>
      <c r="AJ112" s="706" t="e">
        <f>VLOOKUP("*"&amp;$B112&amp;"*",'S4 - Summ PRS Characteristics'!$C$5:$Q$12,15,FALSE)*$J112</f>
        <v>#N/A</v>
      </c>
      <c r="AK112" s="706" t="e">
        <f t="shared" si="93"/>
        <v>#N/A</v>
      </c>
      <c r="AL112" s="706" t="e">
        <f>IF($C112="other",(1-$C104)*AJ112,(1-(VLOOKUP($C112,'S3 - Screening Tool Metrics'!$C$3:$G$17,5,FALSE)/100))*AJ112)</f>
        <v>#N/A</v>
      </c>
      <c r="AM112" s="706" t="e">
        <f>IF($C112="other",$C104*AJ112,(VLOOKUP($C112,'S3 - Screening Tool Metrics'!$C$3:$G$17,5,FALSE)/100)*AJ112)</f>
        <v>#N/A</v>
      </c>
      <c r="AN112" s="709" t="e">
        <f t="shared" si="90"/>
        <v>#N/A</v>
      </c>
    </row>
    <row r="113" spans="2:40" ht="11" hidden="1" customHeight="1" thickBot="1" x14ac:dyDescent="0.2">
      <c r="B113" s="700" t="s">
        <v>15</v>
      </c>
      <c r="C113" s="721" t="str">
        <f>$C105</f>
        <v>Other</v>
      </c>
      <c r="D113" s="552" t="s">
        <v>200</v>
      </c>
      <c r="E113" s="710">
        <f>VLOOKUP($B113&amp;"_"&amp;$D113,'App5 - CRUK Inci Rates'!C:H,6,FALSE)</f>
        <v>8.7177487409166687</v>
      </c>
      <c r="F113" s="711">
        <f>VLOOKUP($B113&amp;"_"&amp;$D113,'App5 - CRUK Inci Rates'!C:H,3,FALSE)</f>
        <v>4.121189540148869</v>
      </c>
      <c r="G113" s="712">
        <f>VLOOKUP($B113&amp;"_"&amp;$D113,'App5 - CRUK Inci Rates'!C:J,8,FALSE)</f>
        <v>24586669.333333336</v>
      </c>
      <c r="H113" s="713">
        <f>VLOOKUP($B113&amp;"_"&amp;$D113,'App5 - CRUK Inci Rates'!C:J,7,FALSE)</f>
        <v>12090277.333333334</v>
      </c>
      <c r="I113" s="713">
        <f>VLOOKUP($B113&amp;"_"&amp;$D113,'App5 - CRUK Inci Rates'!C:J,4,FALSE)</f>
        <v>12496392</v>
      </c>
      <c r="J113" s="709">
        <f>VLOOKUP($B113&amp;"_"&amp;$D113,'App5 - CRUK Inci Rates'!C:K,9,FALSE)</f>
        <v>1569</v>
      </c>
      <c r="K113" s="706">
        <f t="shared" si="64"/>
        <v>12293334.666666668</v>
      </c>
      <c r="L113" s="706" t="e">
        <f>VLOOKUP("*"&amp;$B113&amp;"*",'S4 - Summ PRS Characteristics'!$C$5:$Q$12,11,FALSE)*$J113</f>
        <v>#N/A</v>
      </c>
      <c r="M113" s="706" t="e">
        <f t="shared" si="65"/>
        <v>#N/A</v>
      </c>
      <c r="N113" s="706" t="e">
        <f>IF($C113="other",(1-$C$7)*L113,(1-(VLOOKUP($C113,'S3 - Screening Tool Metrics'!$C$3:$G$17,5,FALSE)/100))*L113)</f>
        <v>#N/A</v>
      </c>
      <c r="O113" s="706" t="e">
        <f>IF($C113="other",$C$7*L113,(VLOOKUP($C113,'S3 - Screening Tool Metrics'!$C$3:$G$17,5,FALSE)/100)*L113)</f>
        <v>#N/A</v>
      </c>
      <c r="P113" s="706" t="e">
        <f t="shared" si="66"/>
        <v>#N/A</v>
      </c>
      <c r="Q113" s="707">
        <f t="shared" si="83"/>
        <v>4917333.8666666672</v>
      </c>
      <c r="R113" s="706" t="e">
        <f>VLOOKUP("*"&amp;$B113&amp;"*",'S4 - Summ PRS Characteristics'!$C$5:$Q$12,12,FALSE)*$J113</f>
        <v>#N/A</v>
      </c>
      <c r="S113" s="706" t="e">
        <f t="shared" si="91"/>
        <v>#N/A</v>
      </c>
      <c r="T113" s="706" t="e">
        <f>IF($C113="other",(1-$C104)*R113,(1-(VLOOKUP($C113,'S3 - Screening Tool Metrics'!$C$3:$G$17,5,FALSE)/100))*R113)</f>
        <v>#N/A</v>
      </c>
      <c r="U113" s="706" t="e">
        <f>IF($C113="other",$C104*R113,(VLOOKUP($C113,'S3 - Screening Tool Metrics'!$C$3:$G$17,5,FALSE)/100)*R113)</f>
        <v>#N/A</v>
      </c>
      <c r="V113" s="708" t="e">
        <f t="shared" si="84"/>
        <v>#N/A</v>
      </c>
      <c r="W113" s="707">
        <f t="shared" si="85"/>
        <v>2458666.9333333336</v>
      </c>
      <c r="X113" s="706" t="e">
        <f>VLOOKUP("*"&amp;$B113&amp;"*",'S4 - Summ PRS Characteristics'!$C$5:$Q$12,13,FALSE)*$J113</f>
        <v>#N/A</v>
      </c>
      <c r="Y113" s="706" t="e">
        <f t="shared" si="92"/>
        <v>#N/A</v>
      </c>
      <c r="Z113" s="706" t="e">
        <f>IF($C113="other",(1-$C104)*X113,(1-(VLOOKUP($C113,'S3 - Screening Tool Metrics'!$C$3:$G$17,5,FALSE)/100))*X113)</f>
        <v>#N/A</v>
      </c>
      <c r="AA113" s="706" t="e">
        <f>IF($C113="other",$C104*X113,(VLOOKUP($C113,'S3 - Screening Tool Metrics'!$C$3:$G$17,5,FALSE)/100)*X113)</f>
        <v>#N/A</v>
      </c>
      <c r="AB113" s="708" t="e">
        <f t="shared" si="86"/>
        <v>#N/A</v>
      </c>
      <c r="AC113" s="707">
        <f t="shared" si="87"/>
        <v>1229333.4666666668</v>
      </c>
      <c r="AD113" s="706" t="e">
        <f>VLOOKUP("*"&amp;$B113&amp;"*",'S4 - Summ PRS Characteristics'!$C$5:$Q$12,14,FALSE)*$J113</f>
        <v>#N/A</v>
      </c>
      <c r="AE113" s="706" t="e">
        <f t="shared" si="94"/>
        <v>#N/A</v>
      </c>
      <c r="AF113" s="706" t="e">
        <f>IF($C113="other",(1-$C104)*AD113,(1-(VLOOKUP($C113,'S3 - Screening Tool Metrics'!$C$3:$G$17,5,FALSE)/100))*AD113)</f>
        <v>#N/A</v>
      </c>
      <c r="AG113" s="706" t="e">
        <f>IF($C113="other",$C104*AD113,(VLOOKUP($C113,'S3 - Screening Tool Metrics'!$C$3:$G$17,5,FALSE)/100)*AD113)</f>
        <v>#N/A</v>
      </c>
      <c r="AH113" s="708" t="e">
        <f t="shared" si="88"/>
        <v>#N/A</v>
      </c>
      <c r="AI113" s="707">
        <f t="shared" si="89"/>
        <v>245866.69333333336</v>
      </c>
      <c r="AJ113" s="706" t="e">
        <f>VLOOKUP("*"&amp;$B113&amp;"*",'S4 - Summ PRS Characteristics'!$C$5:$Q$12,15,FALSE)*$J113</f>
        <v>#N/A</v>
      </c>
      <c r="AK113" s="706" t="e">
        <f t="shared" si="93"/>
        <v>#N/A</v>
      </c>
      <c r="AL113" s="706" t="e">
        <f>IF($C113="other",(1-$C104)*AJ113,(1-(VLOOKUP($C113,'S3 - Screening Tool Metrics'!$C$3:$G$17,5,FALSE)/100))*AJ113)</f>
        <v>#N/A</v>
      </c>
      <c r="AM113" s="706" t="e">
        <f>IF($C113="other",$C104*AJ113,(VLOOKUP($C113,'S3 - Screening Tool Metrics'!$C$3:$G$17,5,FALSE)/100)*AJ113)</f>
        <v>#N/A</v>
      </c>
      <c r="AN113" s="709" t="e">
        <f t="shared" si="90"/>
        <v>#N/A</v>
      </c>
    </row>
    <row r="114" spans="2:40" ht="11" hidden="1" customHeight="1" thickBot="1" x14ac:dyDescent="0.2">
      <c r="B114" s="700" t="s">
        <v>15</v>
      </c>
      <c r="C114" s="721" t="str">
        <f>$C105</f>
        <v>Other</v>
      </c>
      <c r="D114" s="552" t="s">
        <v>201</v>
      </c>
      <c r="E114" s="710">
        <f>VLOOKUP($B114&amp;"_"&amp;$D114,'App5 - CRUK Inci Rates'!C:H,6,FALSE)</f>
        <v>2.0360094402190962</v>
      </c>
      <c r="F114" s="711">
        <f>VLOOKUP($B114&amp;"_"&amp;$D114,'App5 - CRUK Inci Rates'!C:H,3,FALSE)</f>
        <v>0.91539409088703805</v>
      </c>
      <c r="G114" s="712">
        <f>VLOOKUP($B114&amp;"_"&amp;$D114,'App5 - CRUK Inci Rates'!C:J,8,FALSE)</f>
        <v>8642767.333333334</v>
      </c>
      <c r="H114" s="713">
        <f>VLOOKUP($B114&amp;"_"&amp;$D114,'App5 - CRUK Inci Rates'!C:J,7,FALSE)</f>
        <v>4273064.666666667</v>
      </c>
      <c r="I114" s="713">
        <f>VLOOKUP($B114&amp;"_"&amp;$D114,'App5 - CRUK Inci Rates'!C:J,4,FALSE)</f>
        <v>4369702.666666667</v>
      </c>
      <c r="J114" s="709">
        <f>VLOOKUP($B114&amp;"_"&amp;$D114,'App5 - CRUK Inci Rates'!C:K,9,FALSE)</f>
        <v>127</v>
      </c>
      <c r="K114" s="706">
        <f t="shared" si="64"/>
        <v>4321383.666666667</v>
      </c>
      <c r="L114" s="706" t="e">
        <f>VLOOKUP("*"&amp;$B114&amp;"*",'S4 - Summ PRS Characteristics'!$C$5:$Q$12,11,FALSE)*$J114</f>
        <v>#N/A</v>
      </c>
      <c r="M114" s="706" t="e">
        <f t="shared" si="65"/>
        <v>#N/A</v>
      </c>
      <c r="N114" s="706" t="e">
        <f>IF($C114="other",(1-$C$7)*L114,(1-(VLOOKUP($C114,'S3 - Screening Tool Metrics'!$C$3:$G$17,5,FALSE)/100))*L114)</f>
        <v>#N/A</v>
      </c>
      <c r="O114" s="706" t="e">
        <f>IF($C114="other",$C$7*L114,(VLOOKUP($C114,'S3 - Screening Tool Metrics'!$C$3:$G$17,5,FALSE)/100)*L114)</f>
        <v>#N/A</v>
      </c>
      <c r="P114" s="706" t="e">
        <f t="shared" si="66"/>
        <v>#N/A</v>
      </c>
      <c r="Q114" s="707">
        <f t="shared" si="83"/>
        <v>1728553.4666666668</v>
      </c>
      <c r="R114" s="706" t="e">
        <f>VLOOKUP("*"&amp;$B114&amp;"*",'S4 - Summ PRS Characteristics'!$C$5:$Q$12,12,FALSE)*$J114</f>
        <v>#N/A</v>
      </c>
      <c r="S114" s="706" t="e">
        <f t="shared" si="91"/>
        <v>#N/A</v>
      </c>
      <c r="T114" s="706" t="e">
        <f>IF($C114="other",(1-$C104)*R114,(1-(VLOOKUP($C114,'S3 - Screening Tool Metrics'!$C$3:$G$17,5,FALSE)/100))*R114)</f>
        <v>#N/A</v>
      </c>
      <c r="U114" s="706" t="e">
        <f>IF($C114="other",$C104*R114,(VLOOKUP($C114,'S3 - Screening Tool Metrics'!$C$3:$G$17,5,FALSE)/100)*R114)</f>
        <v>#N/A</v>
      </c>
      <c r="V114" s="708" t="e">
        <f t="shared" si="84"/>
        <v>#N/A</v>
      </c>
      <c r="W114" s="707">
        <f t="shared" si="85"/>
        <v>864276.7333333334</v>
      </c>
      <c r="X114" s="706" t="e">
        <f>VLOOKUP("*"&amp;$B114&amp;"*",'S4 - Summ PRS Characteristics'!$C$5:$Q$12,13,FALSE)*$J114</f>
        <v>#N/A</v>
      </c>
      <c r="Y114" s="706" t="e">
        <f t="shared" si="92"/>
        <v>#N/A</v>
      </c>
      <c r="Z114" s="706" t="e">
        <f>IF($C114="other",(1-$C104)*X114,(1-(VLOOKUP($C114,'S3 - Screening Tool Metrics'!$C$3:$G$17,5,FALSE)/100))*X114)</f>
        <v>#N/A</v>
      </c>
      <c r="AA114" s="706" t="e">
        <f>IF($C114="other",$C104*X114,(VLOOKUP($C114,'S3 - Screening Tool Metrics'!$C$3:$G$17,5,FALSE)/100)*X114)</f>
        <v>#N/A</v>
      </c>
      <c r="AB114" s="708" t="e">
        <f t="shared" si="86"/>
        <v>#N/A</v>
      </c>
      <c r="AC114" s="707">
        <f t="shared" si="87"/>
        <v>432138.3666666667</v>
      </c>
      <c r="AD114" s="706" t="e">
        <f>VLOOKUP("*"&amp;$B114&amp;"*",'S4 - Summ PRS Characteristics'!$C$5:$Q$12,14,FALSE)*$J114</f>
        <v>#N/A</v>
      </c>
      <c r="AE114" s="706" t="e">
        <f t="shared" si="94"/>
        <v>#N/A</v>
      </c>
      <c r="AF114" s="706" t="e">
        <f>IF($C114="other",(1-$C104)*AD114,(1-(VLOOKUP($C114,'S3 - Screening Tool Metrics'!$C$3:$G$17,5,FALSE)/100))*AD114)</f>
        <v>#N/A</v>
      </c>
      <c r="AG114" s="706" t="e">
        <f>IF($C114="other",$C104*AD114,(VLOOKUP($C114,'S3 - Screening Tool Metrics'!$C$3:$G$17,5,FALSE)/100)*AD114)</f>
        <v>#N/A</v>
      </c>
      <c r="AH114" s="708" t="e">
        <f t="shared" si="88"/>
        <v>#N/A</v>
      </c>
      <c r="AI114" s="707">
        <f t="shared" si="89"/>
        <v>86427.67333333334</v>
      </c>
      <c r="AJ114" s="706" t="e">
        <f>VLOOKUP("*"&amp;$B114&amp;"*",'S4 - Summ PRS Characteristics'!$C$5:$Q$12,15,FALSE)*$J114</f>
        <v>#N/A</v>
      </c>
      <c r="AK114" s="706" t="e">
        <f t="shared" si="93"/>
        <v>#N/A</v>
      </c>
      <c r="AL114" s="706" t="e">
        <f>IF($C114="other",(1-$C104)*AJ114,(1-(VLOOKUP($C114,'S3 - Screening Tool Metrics'!$C$3:$G$17,5,FALSE)/100))*AJ114)</f>
        <v>#N/A</v>
      </c>
      <c r="AM114" s="706" t="e">
        <f>IF($C114="other",$C104*AJ114,(VLOOKUP($C114,'S3 - Screening Tool Metrics'!$C$3:$G$17,5,FALSE)/100)*AJ114)</f>
        <v>#N/A</v>
      </c>
      <c r="AN114" s="709" t="e">
        <f t="shared" si="90"/>
        <v>#N/A</v>
      </c>
    </row>
    <row r="115" spans="2:40" ht="11" hidden="1" customHeight="1" thickBot="1" x14ac:dyDescent="0.2">
      <c r="B115" s="700" t="s">
        <v>15</v>
      </c>
      <c r="C115" s="721" t="str">
        <f>$C105</f>
        <v>Other</v>
      </c>
      <c r="D115" s="552" t="s">
        <v>202</v>
      </c>
      <c r="E115" s="710">
        <f>VLOOKUP($B115&amp;"_"&amp;$D115,'App5 - CRUK Inci Rates'!C:H,6,FALSE)</f>
        <v>7.2553755980901533</v>
      </c>
      <c r="F115" s="711">
        <f>VLOOKUP($B115&amp;"_"&amp;$D115,'App5 - CRUK Inci Rates'!C:H,3,FALSE)</f>
        <v>2.9658865071936495</v>
      </c>
      <c r="G115" s="712">
        <f>VLOOKUP($B115&amp;"_"&amp;$D115,'App5 - CRUK Inci Rates'!C:J,8,FALSE)</f>
        <v>8839716.6666666679</v>
      </c>
      <c r="H115" s="713">
        <f>VLOOKUP($B115&amp;"_"&amp;$D115,'App5 - CRUK Inci Rates'!C:J,7,FALSE)</f>
        <v>4355391.333333333</v>
      </c>
      <c r="I115" s="713">
        <f>VLOOKUP($B115&amp;"_"&amp;$D115,'App5 - CRUK Inci Rates'!C:J,4,FALSE)</f>
        <v>4484325.333333334</v>
      </c>
      <c r="J115" s="709">
        <f>VLOOKUP($B115&amp;"_"&amp;$D115,'App5 - CRUK Inci Rates'!C:K,9,FALSE)</f>
        <v>449</v>
      </c>
      <c r="K115" s="706">
        <f t="shared" si="64"/>
        <v>4419858.333333334</v>
      </c>
      <c r="L115" s="706" t="e">
        <f>VLOOKUP("*"&amp;$B115&amp;"*",'S4 - Summ PRS Characteristics'!$C$5:$Q$12,11,FALSE)*$J115</f>
        <v>#N/A</v>
      </c>
      <c r="M115" s="706" t="e">
        <f t="shared" si="65"/>
        <v>#N/A</v>
      </c>
      <c r="N115" s="706" t="e">
        <f>IF($C115="other",(1-$C$7)*L115,(1-(VLOOKUP($C115,'S3 - Screening Tool Metrics'!$C$3:$G$17,5,FALSE)/100))*L115)</f>
        <v>#N/A</v>
      </c>
      <c r="O115" s="706" t="e">
        <f>IF($C115="other",$C$7*L115,(VLOOKUP($C115,'S3 - Screening Tool Metrics'!$C$3:$G$17,5,FALSE)/100)*L115)</f>
        <v>#N/A</v>
      </c>
      <c r="P115" s="706" t="e">
        <f t="shared" si="66"/>
        <v>#N/A</v>
      </c>
      <c r="Q115" s="707">
        <f t="shared" si="83"/>
        <v>1767943.3333333337</v>
      </c>
      <c r="R115" s="706" t="e">
        <f>VLOOKUP("*"&amp;$B115&amp;"*",'S4 - Summ PRS Characteristics'!$C$5:$Q$12,12,FALSE)*$J115</f>
        <v>#N/A</v>
      </c>
      <c r="S115" s="706" t="e">
        <f t="shared" si="91"/>
        <v>#N/A</v>
      </c>
      <c r="T115" s="706" t="e">
        <f>IF($C115="other",(1-$C104)*R115,(1-(VLOOKUP($C115,'S3 - Screening Tool Metrics'!$C$3:$G$17,5,FALSE)/100))*R115)</f>
        <v>#N/A</v>
      </c>
      <c r="U115" s="706" t="e">
        <f>IF($C115="other",$C104*R115,(VLOOKUP($C115,'S3 - Screening Tool Metrics'!$C$3:$G$17,5,FALSE)/100)*R115)</f>
        <v>#N/A</v>
      </c>
      <c r="V115" s="708" t="e">
        <f t="shared" si="84"/>
        <v>#N/A</v>
      </c>
      <c r="W115" s="707">
        <f t="shared" si="85"/>
        <v>883971.66666666686</v>
      </c>
      <c r="X115" s="706" t="e">
        <f>VLOOKUP("*"&amp;$B115&amp;"*",'S4 - Summ PRS Characteristics'!$C$5:$Q$12,13,FALSE)*$J115</f>
        <v>#N/A</v>
      </c>
      <c r="Y115" s="706" t="e">
        <f t="shared" si="92"/>
        <v>#N/A</v>
      </c>
      <c r="Z115" s="706" t="e">
        <f>IF($C115="other",(1-$C104)*X115,(1-(VLOOKUP($C115,'S3 - Screening Tool Metrics'!$C$3:$G$17,5,FALSE)/100))*X115)</f>
        <v>#N/A</v>
      </c>
      <c r="AA115" s="706" t="e">
        <f>IF($C115="other",$C104*X115,(VLOOKUP($C115,'S3 - Screening Tool Metrics'!$C$3:$G$17,5,FALSE)/100)*X115)</f>
        <v>#N/A</v>
      </c>
      <c r="AB115" s="708" t="e">
        <f t="shared" si="86"/>
        <v>#N/A</v>
      </c>
      <c r="AC115" s="707">
        <f t="shared" si="87"/>
        <v>441985.83333333343</v>
      </c>
      <c r="AD115" s="706" t="e">
        <f>VLOOKUP("*"&amp;$B115&amp;"*",'S4 - Summ PRS Characteristics'!$C$5:$Q$12,14,FALSE)*$J115</f>
        <v>#N/A</v>
      </c>
      <c r="AE115" s="706" t="e">
        <f t="shared" si="94"/>
        <v>#N/A</v>
      </c>
      <c r="AF115" s="706" t="e">
        <f>IF($C115="other",(1-$C104)*AD115,(1-(VLOOKUP($C115,'S3 - Screening Tool Metrics'!$C$3:$G$17,5,FALSE)/100))*AD115)</f>
        <v>#N/A</v>
      </c>
      <c r="AG115" s="706" t="e">
        <f>IF($C115="other",$C104*AD115,(VLOOKUP($C115,'S3 - Screening Tool Metrics'!$C$3:$G$17,5,FALSE)/100)*AD115)</f>
        <v>#N/A</v>
      </c>
      <c r="AH115" s="708" t="e">
        <f t="shared" si="88"/>
        <v>#N/A</v>
      </c>
      <c r="AI115" s="707">
        <f t="shared" si="89"/>
        <v>88397.166666666686</v>
      </c>
      <c r="AJ115" s="706" t="e">
        <f>VLOOKUP("*"&amp;$B115&amp;"*",'S4 - Summ PRS Characteristics'!$C$5:$Q$12,15,FALSE)*$J115</f>
        <v>#N/A</v>
      </c>
      <c r="AK115" s="706" t="e">
        <f t="shared" si="93"/>
        <v>#N/A</v>
      </c>
      <c r="AL115" s="706" t="e">
        <f>IF($C115="other",(1-$C104)*AJ115,(1-(VLOOKUP($C115,'S3 - Screening Tool Metrics'!$C$3:$G$17,5,FALSE)/100))*AJ115)</f>
        <v>#N/A</v>
      </c>
      <c r="AM115" s="706" t="e">
        <f>IF($C115="other",$C104*AJ115,(VLOOKUP($C115,'S3 - Screening Tool Metrics'!$C$3:$G$17,5,FALSE)/100)*AJ115)</f>
        <v>#N/A</v>
      </c>
      <c r="AN115" s="709" t="e">
        <f t="shared" si="90"/>
        <v>#N/A</v>
      </c>
    </row>
    <row r="116" spans="2:40" ht="11" hidden="1" customHeight="1" thickBot="1" x14ac:dyDescent="0.2">
      <c r="B116" s="700" t="s">
        <v>15</v>
      </c>
      <c r="C116" s="721" t="str">
        <f>$C105</f>
        <v>Other</v>
      </c>
      <c r="D116" s="552" t="s">
        <v>203</v>
      </c>
      <c r="E116" s="710">
        <f>VLOOKUP($B116&amp;"_"&amp;$D116,'App5 - CRUK Inci Rates'!C:H,6,FALSE)</f>
        <v>12.37013806882061</v>
      </c>
      <c r="F116" s="711">
        <f>VLOOKUP($B116&amp;"_"&amp;$D116,'App5 - CRUK Inci Rates'!C:H,3,FALSE)</f>
        <v>5.8449385785142187</v>
      </c>
      <c r="G116" s="712">
        <f>VLOOKUP($B116&amp;"_"&amp;$D116,'App5 - CRUK Inci Rates'!C:J,8,FALSE)</f>
        <v>15943902</v>
      </c>
      <c r="H116" s="713">
        <f>VLOOKUP($B116&amp;"_"&amp;$D116,'App5 - CRUK Inci Rates'!C:J,7,FALSE)</f>
        <v>7817212.666666666</v>
      </c>
      <c r="I116" s="713">
        <f>VLOOKUP($B116&amp;"_"&amp;$D116,'App5 - CRUK Inci Rates'!C:J,4,FALSE)</f>
        <v>8126689.333333334</v>
      </c>
      <c r="J116" s="709">
        <f>VLOOKUP($B116&amp;"_"&amp;$D116,'App5 - CRUK Inci Rates'!C:K,9,FALSE)</f>
        <v>1442</v>
      </c>
      <c r="K116" s="706">
        <f t="shared" si="64"/>
        <v>7971951</v>
      </c>
      <c r="L116" s="706" t="e">
        <f>VLOOKUP("*"&amp;$B116&amp;"*",'S4 - Summ PRS Characteristics'!$C$5:$Q$12,11,FALSE)*$J116</f>
        <v>#N/A</v>
      </c>
      <c r="M116" s="706" t="e">
        <f t="shared" si="65"/>
        <v>#N/A</v>
      </c>
      <c r="N116" s="706" t="e">
        <f>IF($C116="other",(1-$C$7)*L116,(1-(VLOOKUP($C116,'S3 - Screening Tool Metrics'!$C$3:$G$17,5,FALSE)/100))*L116)</f>
        <v>#N/A</v>
      </c>
      <c r="O116" s="706" t="e">
        <f>IF($C116="other",$C$7*L116,(VLOOKUP($C116,'S3 - Screening Tool Metrics'!$C$3:$G$17,5,FALSE)/100)*L116)</f>
        <v>#N/A</v>
      </c>
      <c r="P116" s="706" t="e">
        <f t="shared" si="66"/>
        <v>#N/A</v>
      </c>
      <c r="Q116" s="707">
        <f t="shared" si="83"/>
        <v>3188780.4000000004</v>
      </c>
      <c r="R116" s="706" t="e">
        <f>VLOOKUP("*"&amp;$B116&amp;"*",'S4 - Summ PRS Characteristics'!$C$5:$Q$12,12,FALSE)*$J116</f>
        <v>#N/A</v>
      </c>
      <c r="S116" s="706" t="e">
        <f t="shared" si="91"/>
        <v>#N/A</v>
      </c>
      <c r="T116" s="706" t="e">
        <f>IF($C116="other",(1-$C104)*R116,(1-(VLOOKUP($C116,'S3 - Screening Tool Metrics'!$C$3:$G$17,5,FALSE)/100))*R116)</f>
        <v>#N/A</v>
      </c>
      <c r="U116" s="706" t="e">
        <f>IF($C116="other",$C104*R116,(VLOOKUP($C116,'S3 - Screening Tool Metrics'!$C$3:$G$17,5,FALSE)/100)*R116)</f>
        <v>#N/A</v>
      </c>
      <c r="V116" s="708" t="e">
        <f t="shared" si="84"/>
        <v>#N/A</v>
      </c>
      <c r="W116" s="707">
        <f t="shared" si="85"/>
        <v>1594390.2000000002</v>
      </c>
      <c r="X116" s="706" t="e">
        <f>VLOOKUP("*"&amp;$B116&amp;"*",'S4 - Summ PRS Characteristics'!$C$5:$Q$12,13,FALSE)*$J116</f>
        <v>#N/A</v>
      </c>
      <c r="Y116" s="706" t="e">
        <f t="shared" si="92"/>
        <v>#N/A</v>
      </c>
      <c r="Z116" s="706" t="e">
        <f>IF($C116="other",(1-$C104)*X116,(1-(VLOOKUP($C116,'S3 - Screening Tool Metrics'!$C$3:$G$17,5,FALSE)/100))*X116)</f>
        <v>#N/A</v>
      </c>
      <c r="AA116" s="706" t="e">
        <f>IF($C116="other",$C104*X116,(VLOOKUP($C116,'S3 - Screening Tool Metrics'!$C$3:$G$17,5,FALSE)/100)*X116)</f>
        <v>#N/A</v>
      </c>
      <c r="AB116" s="708" t="e">
        <f t="shared" si="86"/>
        <v>#N/A</v>
      </c>
      <c r="AC116" s="707">
        <f t="shared" si="87"/>
        <v>797195.10000000009</v>
      </c>
      <c r="AD116" s="706" t="e">
        <f>VLOOKUP("*"&amp;$B116&amp;"*",'S4 - Summ PRS Characteristics'!$C$5:$Q$12,14,FALSE)*$J116</f>
        <v>#N/A</v>
      </c>
      <c r="AE116" s="706" t="e">
        <f t="shared" si="94"/>
        <v>#N/A</v>
      </c>
      <c r="AF116" s="706" t="e">
        <f>IF($C116="other",(1-$C104)*AD116,(1-(VLOOKUP($C116,'S3 - Screening Tool Metrics'!$C$3:$G$17,5,FALSE)/100))*AD116)</f>
        <v>#N/A</v>
      </c>
      <c r="AG116" s="706" t="e">
        <f>IF($C116="other",$C104*AD116,(VLOOKUP($C116,'S3 - Screening Tool Metrics'!$C$3:$G$17,5,FALSE)/100)*AD116)</f>
        <v>#N/A</v>
      </c>
      <c r="AH116" s="708" t="e">
        <f t="shared" si="88"/>
        <v>#N/A</v>
      </c>
      <c r="AI116" s="707">
        <f t="shared" si="89"/>
        <v>159439.01999999999</v>
      </c>
      <c r="AJ116" s="706" t="e">
        <f>VLOOKUP("*"&amp;$B116&amp;"*",'S4 - Summ PRS Characteristics'!$C$5:$Q$12,15,FALSE)*$J116</f>
        <v>#N/A</v>
      </c>
      <c r="AK116" s="706" t="e">
        <f t="shared" si="93"/>
        <v>#N/A</v>
      </c>
      <c r="AL116" s="706" t="e">
        <f>IF($C116="other",(1-$C104)*AJ116,(1-(VLOOKUP($C116,'S3 - Screening Tool Metrics'!$C$3:$G$17,5,FALSE)/100))*AJ116)</f>
        <v>#N/A</v>
      </c>
      <c r="AM116" s="706" t="e">
        <f>IF($C116="other",$C104*AJ116,(VLOOKUP($C116,'S3 - Screening Tool Metrics'!$C$3:$G$17,5,FALSE)/100)*AJ116)</f>
        <v>#N/A</v>
      </c>
      <c r="AN116" s="709" t="e">
        <f t="shared" si="90"/>
        <v>#N/A</v>
      </c>
    </row>
    <row r="117" spans="2:40" ht="11" hidden="1" customHeight="1" thickBot="1" x14ac:dyDescent="0.2">
      <c r="B117" s="700" t="s">
        <v>15</v>
      </c>
      <c r="C117" s="721" t="str">
        <f>$C105</f>
        <v>Other</v>
      </c>
      <c r="D117" s="552" t="s">
        <v>204</v>
      </c>
      <c r="E117" s="710">
        <f>VLOOKUP($B117&amp;"_"&amp;$D117,'App5 - CRUK Inci Rates'!C:H,6,FALSE)</f>
        <v>12.653093795857881</v>
      </c>
      <c r="F117" s="711">
        <f>VLOOKUP($B117&amp;"_"&amp;$D117,'App5 - CRUK Inci Rates'!C:H,3,FALSE)</f>
        <v>6.3867461406483219</v>
      </c>
      <c r="G117" s="712">
        <f>VLOOKUP($B117&amp;"_"&amp;$D117,'App5 - CRUK Inci Rates'!C:J,8,FALSE)</f>
        <v>29847254.666666668</v>
      </c>
      <c r="H117" s="713">
        <f>VLOOKUP($B117&amp;"_"&amp;$D117,'App5 - CRUK Inci Rates'!C:J,7,FALSE)</f>
        <v>14565607.666666668</v>
      </c>
      <c r="I117" s="713">
        <f>VLOOKUP($B117&amp;"_"&amp;$D117,'App5 - CRUK Inci Rates'!C:J,4,FALSE)</f>
        <v>15281647</v>
      </c>
      <c r="J117" s="709">
        <f>VLOOKUP($B117&amp;"_"&amp;$D117,'App5 - CRUK Inci Rates'!C:K,9,FALSE)</f>
        <v>2819</v>
      </c>
      <c r="K117" s="706">
        <f t="shared" si="64"/>
        <v>14923627.333333334</v>
      </c>
      <c r="L117" s="706" t="e">
        <f>VLOOKUP("*"&amp;$B117&amp;"*",'S4 - Summ PRS Characteristics'!$C$5:$Q$12,11,FALSE)*$J117</f>
        <v>#N/A</v>
      </c>
      <c r="M117" s="706" t="e">
        <f t="shared" si="65"/>
        <v>#N/A</v>
      </c>
      <c r="N117" s="706" t="e">
        <f>IF($C117="other",(1-$C$7)*L117,(1-(VLOOKUP($C117,'S3 - Screening Tool Metrics'!$C$3:$G$17,5,FALSE)/100))*L117)</f>
        <v>#N/A</v>
      </c>
      <c r="O117" s="706" t="e">
        <f>IF($C117="other",$C$7*L117,(VLOOKUP($C117,'S3 - Screening Tool Metrics'!$C$3:$G$17,5,FALSE)/100)*L117)</f>
        <v>#N/A</v>
      </c>
      <c r="P117" s="706" t="e">
        <f t="shared" si="66"/>
        <v>#N/A</v>
      </c>
      <c r="Q117" s="707">
        <f t="shared" si="83"/>
        <v>5969450.9333333336</v>
      </c>
      <c r="R117" s="706" t="e">
        <f>VLOOKUP("*"&amp;$B117&amp;"*",'S4 - Summ PRS Characteristics'!$C$5:$Q$12,12,FALSE)*$J117</f>
        <v>#N/A</v>
      </c>
      <c r="S117" s="706" t="e">
        <f t="shared" si="91"/>
        <v>#N/A</v>
      </c>
      <c r="T117" s="706" t="e">
        <f>IF($C117="other",(1-$C104)*R117,(1-(VLOOKUP($C117,'S3 - Screening Tool Metrics'!$C$3:$G$17,5,FALSE)/100))*R117)</f>
        <v>#N/A</v>
      </c>
      <c r="U117" s="706" t="e">
        <f>IF($C117="other",$C104*R117,(VLOOKUP($C117,'S3 - Screening Tool Metrics'!$C$3:$G$17,5,FALSE)/100)*R117)</f>
        <v>#N/A</v>
      </c>
      <c r="V117" s="708" t="e">
        <f t="shared" si="84"/>
        <v>#N/A</v>
      </c>
      <c r="W117" s="707">
        <f t="shared" si="85"/>
        <v>2984725.4666666668</v>
      </c>
      <c r="X117" s="706" t="e">
        <f>VLOOKUP("*"&amp;$B117&amp;"*",'S4 - Summ PRS Characteristics'!$C$5:$Q$12,13,FALSE)*$J117</f>
        <v>#N/A</v>
      </c>
      <c r="Y117" s="706" t="e">
        <f t="shared" si="92"/>
        <v>#N/A</v>
      </c>
      <c r="Z117" s="706" t="e">
        <f>IF($C117="other",(1-$C104)*X117,(1-(VLOOKUP($C117,'S3 - Screening Tool Metrics'!$C$3:$G$17,5,FALSE)/100))*X117)</f>
        <v>#N/A</v>
      </c>
      <c r="AA117" s="706" t="e">
        <f>IF($C117="other",$C104*X117,(VLOOKUP($C117,'S3 - Screening Tool Metrics'!$C$3:$G$17,5,FALSE)/100)*X117)</f>
        <v>#N/A</v>
      </c>
      <c r="AB117" s="708" t="e">
        <f t="shared" si="86"/>
        <v>#N/A</v>
      </c>
      <c r="AC117" s="707">
        <f t="shared" si="87"/>
        <v>1492362.7333333334</v>
      </c>
      <c r="AD117" s="706" t="e">
        <f>VLOOKUP("*"&amp;$B117&amp;"*",'S4 - Summ PRS Characteristics'!$C$5:$Q$12,14,FALSE)*$J117</f>
        <v>#N/A</v>
      </c>
      <c r="AE117" s="706" t="e">
        <f t="shared" si="94"/>
        <v>#N/A</v>
      </c>
      <c r="AF117" s="706" t="e">
        <f>IF($C117="other",(1-$C104)*AD117,(1-(VLOOKUP($C117,'S3 - Screening Tool Metrics'!$C$3:$G$17,5,FALSE)/100))*AD117)</f>
        <v>#N/A</v>
      </c>
      <c r="AG117" s="706" t="e">
        <f>IF($C117="other",$C104*AD117,(VLOOKUP($C117,'S3 - Screening Tool Metrics'!$C$3:$G$17,5,FALSE)/100)*AD117)</f>
        <v>#N/A</v>
      </c>
      <c r="AH117" s="708" t="e">
        <f t="shared" si="88"/>
        <v>#N/A</v>
      </c>
      <c r="AI117" s="707">
        <f t="shared" si="89"/>
        <v>298472.54666666669</v>
      </c>
      <c r="AJ117" s="706" t="e">
        <f>VLOOKUP("*"&amp;$B117&amp;"*",'S4 - Summ PRS Characteristics'!$C$5:$Q$12,15,FALSE)*$J117</f>
        <v>#N/A</v>
      </c>
      <c r="AK117" s="706" t="e">
        <f t="shared" si="93"/>
        <v>#N/A</v>
      </c>
      <c r="AL117" s="706" t="e">
        <f>IF($C117="other",(1-$C104)*AJ117,(1-(VLOOKUP($C117,'S3 - Screening Tool Metrics'!$C$3:$G$17,5,FALSE)/100))*AJ117)</f>
        <v>#N/A</v>
      </c>
      <c r="AM117" s="706" t="e">
        <f>IF($C117="other",$C104*AJ117,(VLOOKUP($C117,'S3 - Screening Tool Metrics'!$C$3:$G$17,5,FALSE)/100)*AJ117)</f>
        <v>#N/A</v>
      </c>
      <c r="AN117" s="709" t="e">
        <f t="shared" si="90"/>
        <v>#N/A</v>
      </c>
    </row>
    <row r="118" spans="2:40" ht="11" hidden="1" customHeight="1" thickBot="1" x14ac:dyDescent="0.2">
      <c r="B118" s="700" t="s">
        <v>15</v>
      </c>
      <c r="C118" s="721" t="str">
        <f>$C105</f>
        <v>Other</v>
      </c>
      <c r="D118" s="613" t="s">
        <v>205</v>
      </c>
      <c r="E118" s="722">
        <f>VLOOKUP($B118&amp;"_"&amp;$D118,'App5 - CRUK Inci Rates'!C:H,6,FALSE)</f>
        <v>8.5</v>
      </c>
      <c r="F118" s="723">
        <f>VLOOKUP($B118&amp;"_"&amp;$D118,'App5 - CRUK Inci Rates'!C:H,3,FALSE)</f>
        <v>4.2</v>
      </c>
      <c r="G118" s="724">
        <f>VLOOKUP($B118&amp;"_"&amp;$D118,'App5 - CRUK Inci Rates'!C:J,8,FALSE)</f>
        <v>66041277.666666664</v>
      </c>
      <c r="H118" s="725">
        <f>VLOOKUP($B118&amp;"_"&amp;$D118,'App5 - CRUK Inci Rates'!C:J,7,FALSE)</f>
        <v>32583225.666666668</v>
      </c>
      <c r="I118" s="725">
        <f>VLOOKUP($B118&amp;"_"&amp;$D118,'App5 - CRUK Inci Rates'!C:J,4,FALSE)</f>
        <v>33458051.999999996</v>
      </c>
      <c r="J118" s="709">
        <f>VLOOKUP($B118&amp;"_"&amp;$D118,'App5 - CRUK Inci Rates'!C:K,9,FALSE)</f>
        <v>3803</v>
      </c>
      <c r="K118" s="706">
        <f t="shared" si="64"/>
        <v>33020638.833333332</v>
      </c>
      <c r="L118" s="706" t="e">
        <f>VLOOKUP("*"&amp;$B118&amp;"*",'S4 - Summ PRS Characteristics'!$C$5:$Q$12,11,FALSE)*$J118</f>
        <v>#N/A</v>
      </c>
      <c r="M118" s="706" t="e">
        <f t="shared" si="65"/>
        <v>#N/A</v>
      </c>
      <c r="N118" s="706" t="e">
        <f>IF($C118="other",(1-$C$7)*L118,(1-(VLOOKUP($C118,'S3 - Screening Tool Metrics'!$C$3:$G$17,5,FALSE)/100))*L118)</f>
        <v>#N/A</v>
      </c>
      <c r="O118" s="706" t="e">
        <f>IF($C118="other",$C$7*L118,(VLOOKUP($C118,'S3 - Screening Tool Metrics'!$C$3:$G$17,5,FALSE)/100)*L118)</f>
        <v>#N/A</v>
      </c>
      <c r="P118" s="706" t="e">
        <f t="shared" si="66"/>
        <v>#N/A</v>
      </c>
      <c r="Q118" s="715"/>
      <c r="R118" s="716" t="e">
        <f>VLOOKUP("*"&amp;$B118&amp;"*",'S4 - Summ PRS Characteristics'!$C$5:$Q$12,12,FALSE)*$J118</f>
        <v>#N/A</v>
      </c>
      <c r="S118" s="716"/>
      <c r="T118" s="716"/>
      <c r="U118" s="716"/>
      <c r="V118" s="717"/>
      <c r="W118" s="715"/>
      <c r="X118" s="716" t="e">
        <f>VLOOKUP("*"&amp;$B118&amp;"*",'S4 - Summ PRS Characteristics'!$C$5:$Q$12,13,FALSE)*$J118</f>
        <v>#N/A</v>
      </c>
      <c r="Y118" s="716"/>
      <c r="Z118" s="716"/>
      <c r="AA118" s="716"/>
      <c r="AB118" s="717"/>
      <c r="AC118" s="716"/>
      <c r="AD118" s="716" t="e">
        <f>VLOOKUP("*"&amp;$B118&amp;"*",'S4 - Summ PRS Characteristics'!$C$5:$Q$12,14,FALSE)*$J118</f>
        <v>#N/A</v>
      </c>
      <c r="AE118" s="716"/>
      <c r="AF118" s="716"/>
      <c r="AG118" s="716"/>
      <c r="AH118" s="717"/>
      <c r="AI118" s="715"/>
      <c r="AJ118" s="716" t="e">
        <f>VLOOKUP("*"&amp;$B118&amp;"*",'S4 - Summ PRS Characteristics'!$C$5:$Q$12,15,FALSE)*$J118</f>
        <v>#N/A</v>
      </c>
      <c r="AK118" s="716"/>
      <c r="AL118" s="716"/>
      <c r="AM118" s="716"/>
      <c r="AN118" s="718"/>
    </row>
    <row r="119" spans="2:40" ht="11" customHeight="1" thickBot="1" x14ac:dyDescent="0.2">
      <c r="B119" s="686" t="s">
        <v>32</v>
      </c>
      <c r="C119" s="687"/>
      <c r="D119" s="688"/>
      <c r="E119" s="689"/>
      <c r="F119" s="690"/>
      <c r="G119" s="691"/>
      <c r="H119" s="692"/>
      <c r="I119" s="726"/>
      <c r="J119" s="727"/>
      <c r="K119" s="719"/>
      <c r="L119" s="719"/>
      <c r="M119" s="719"/>
      <c r="N119" s="719"/>
      <c r="O119" s="719"/>
      <c r="P119" s="719"/>
      <c r="Q119" s="695"/>
      <c r="R119" s="696"/>
      <c r="S119" s="696"/>
      <c r="T119" s="696"/>
      <c r="U119" s="696"/>
      <c r="V119" s="697"/>
      <c r="W119" s="695"/>
      <c r="X119" s="696"/>
      <c r="Y119" s="696"/>
      <c r="Z119" s="696"/>
      <c r="AA119" s="696"/>
      <c r="AB119" s="697"/>
      <c r="AC119" s="695"/>
      <c r="AD119" s="696"/>
      <c r="AE119" s="696"/>
      <c r="AF119" s="696"/>
      <c r="AG119" s="696"/>
      <c r="AH119" s="697"/>
      <c r="AI119" s="695"/>
      <c r="AJ119" s="696"/>
      <c r="AK119" s="696"/>
      <c r="AL119" s="696"/>
      <c r="AM119" s="696"/>
      <c r="AN119" s="699"/>
    </row>
    <row r="120" spans="2:40" ht="11" customHeight="1" x14ac:dyDescent="0.15">
      <c r="B120" s="700" t="s">
        <v>32</v>
      </c>
      <c r="C120" s="1081" t="s">
        <v>154</v>
      </c>
      <c r="D120" s="593" t="s">
        <v>192</v>
      </c>
      <c r="E120" s="701">
        <f>VLOOKUP($B120&amp;"_"&amp;$D120,'App5 - CRUK Inci Rates'!C:H,6,FALSE)</f>
        <v>6</v>
      </c>
      <c r="F120" s="702">
        <f>VLOOKUP($B120&amp;"_"&amp;$D120,'App5 - CRUK Inci Rates'!C:H,3,FALSE)</f>
        <v>5.8</v>
      </c>
      <c r="G120" s="703">
        <f>VLOOKUP($B120&amp;"_"&amp;$D120,'App5 - CRUK Inci Rates'!C:J,8,FALSE)</f>
        <v>4075608</v>
      </c>
      <c r="H120" s="704">
        <f>VLOOKUP($B120&amp;"_"&amp;$D120,'App5 - CRUK Inci Rates'!C:J,7,FALSE)</f>
        <v>2021384.6666666667</v>
      </c>
      <c r="I120" s="704">
        <f>VLOOKUP($B120&amp;"_"&amp;$D120,'App5 - CRUK Inci Rates'!C:J,4,FALSE)</f>
        <v>2054223.3333333333</v>
      </c>
      <c r="J120" s="709">
        <f>VLOOKUP($B120&amp;"_"&amp;$D120,'App5 - CRUK Inci Rates'!C:K,9,FALSE)</f>
        <v>240</v>
      </c>
      <c r="K120" s="706">
        <f t="shared" si="64"/>
        <v>2037804</v>
      </c>
      <c r="L120" s="706">
        <f>VLOOKUP("*"&amp;$B120&amp;"*",'S4 - Summ PRS Characteristics'!$C$5:$Q$12,11,FALSE)*$J120</f>
        <v>137.59936629267395</v>
      </c>
      <c r="M120" s="706">
        <f t="shared" si="65"/>
        <v>102.40063370732605</v>
      </c>
      <c r="N120" s="706">
        <f>IF($C120="other",(1-$C$7)*L120,(1-(VLOOKUP($C120,'S3 - Screening Tool Metrics'!$C$3:$G$17,5,FALSE)/100))*L120)</f>
        <v>21.190302409071791</v>
      </c>
      <c r="O120" s="706">
        <f>IF($C120="other",$C$7*L120,(VLOOKUP($C120,'S3 - Screening Tool Metrics'!$C$3:$G$17,5,FALSE)/100)*L120)</f>
        <v>116.40906388360216</v>
      </c>
      <c r="P120" s="706">
        <f t="shared" si="66"/>
        <v>48.503776618167564</v>
      </c>
      <c r="Q120" s="707">
        <f t="shared" ref="Q120:Q133" si="95">$G120*Q$3</f>
        <v>815121.60000000009</v>
      </c>
      <c r="R120" s="706">
        <f>VLOOKUP("*"&amp;$B120&amp;"*",'S4 - Summ PRS Characteristics'!$C$5:$Q$12,12,FALSE)*$J120</f>
        <v>61.360157300901996</v>
      </c>
      <c r="S120" s="706">
        <f>$J120-R120</f>
        <v>178.63984269909801</v>
      </c>
      <c r="T120" s="706">
        <f>IF($C120="other",(1-$C119)*R120,(1-(VLOOKUP($C120,'S3 - Screening Tool Metrics'!$C$3:$G$17,5,FALSE)/100))*R120)</f>
        <v>9.4494642243389091</v>
      </c>
      <c r="U120" s="706">
        <f>IF($C120="other",$C119*R120,(VLOOKUP($C120,'S3 - Screening Tool Metrics'!$C$3:$G$17,5,FALSE)/100)*R120)</f>
        <v>51.910693076563085</v>
      </c>
      <c r="V120" s="708">
        <f t="shared" ref="V120:V133" si="96">$U120/$J120*100</f>
        <v>21.629455448567953</v>
      </c>
      <c r="W120" s="707">
        <f t="shared" ref="W120:W133" si="97">$G120*W$3</f>
        <v>407560.80000000005</v>
      </c>
      <c r="X120" s="706">
        <f>VLOOKUP("*"&amp;$B120&amp;"*",'S4 - Summ PRS Characteristics'!$C$5:$Q$12,13,FALSE)*$J120</f>
        <v>32.733164846175612</v>
      </c>
      <c r="Y120" s="706">
        <f>$J120-X120</f>
        <v>207.26683515382439</v>
      </c>
      <c r="Z120" s="706">
        <f>IF($C120="other",(1-$C119)*X120,(1-(VLOOKUP($C120,'S3 - Screening Tool Metrics'!$C$3:$G$17,5,FALSE)/100))*X120)</f>
        <v>5.0409073863110452</v>
      </c>
      <c r="AA120" s="706">
        <f>IF($C120="other",$C119*X120,(VLOOKUP($C120,'S3 - Screening Tool Metrics'!$C$3:$G$17,5,FALSE)/100)*X120)</f>
        <v>27.692257459864567</v>
      </c>
      <c r="AB120" s="708">
        <f t="shared" ref="AB120:AB133" si="98">$AA120/$J120*100</f>
        <v>11.538440608276904</v>
      </c>
      <c r="AC120" s="707">
        <f t="shared" ref="AC120:AC133" si="99">$G120*AC$3</f>
        <v>203780.40000000002</v>
      </c>
      <c r="AD120" s="706">
        <f>VLOOKUP("*"&amp;$B120&amp;"*",'S4 - Summ PRS Characteristics'!$C$5:$Q$12,14,FALSE)*$J120</f>
        <v>17.315028782739564</v>
      </c>
      <c r="AE120" s="706">
        <f>$J120-AD120</f>
        <v>222.68497121726043</v>
      </c>
      <c r="AF120" s="706">
        <f>IF($C120="other",(1-$C119)*AD120,(1-(VLOOKUP($C120,'S3 - Screening Tool Metrics'!$C$3:$G$17,5,FALSE)/100))*AD120)</f>
        <v>2.6665144325418932</v>
      </c>
      <c r="AG120" s="706">
        <f>IF($C120="other",$C119*AD120,(VLOOKUP($C120,'S3 - Screening Tool Metrics'!$C$3:$G$17,5,FALSE)/100)*AD120)</f>
        <v>14.64851435019767</v>
      </c>
      <c r="AH120" s="708">
        <f t="shared" ref="AH120:AH133" si="100">$AG120/$J120*100</f>
        <v>6.1035476459156959</v>
      </c>
      <c r="AI120" s="707">
        <f t="shared" ref="AI120:AI133" si="101">$G120*AI$3</f>
        <v>40756.080000000002</v>
      </c>
      <c r="AJ120" s="706">
        <f>VLOOKUP("*"&amp;$B120&amp;"*",'S4 - Summ PRS Characteristics'!$C$5:$Q$12,15,FALSE)*$J120</f>
        <v>3.8681686887888902</v>
      </c>
      <c r="AK120" s="706">
        <f>$J120-AJ120</f>
        <v>236.1318313112111</v>
      </c>
      <c r="AL120" s="706">
        <f>IF($C120="other",(1-$C119)*AJ120,(1-(VLOOKUP($C120,'S3 - Screening Tool Metrics'!$C$3:$G$17,5,FALSE)/100))*AJ120)</f>
        <v>0.59569797807348923</v>
      </c>
      <c r="AM120" s="706">
        <f>IF($C120="other",$C119*AJ120,(VLOOKUP($C120,'S3 - Screening Tool Metrics'!$C$3:$G$17,5,FALSE)/100)*AJ120)</f>
        <v>3.272470710715401</v>
      </c>
      <c r="AN120" s="709">
        <f t="shared" ref="AN120:AN133" si="102">$AM120/$J120*100</f>
        <v>1.3635294627980836</v>
      </c>
    </row>
    <row r="121" spans="2:40" ht="11" customHeight="1" x14ac:dyDescent="0.15">
      <c r="B121" s="700" t="s">
        <v>32</v>
      </c>
      <c r="C121" s="1082" t="str">
        <f>$C120</f>
        <v>Low dose CT</v>
      </c>
      <c r="D121" s="552" t="s">
        <v>193</v>
      </c>
      <c r="E121" s="710">
        <f>VLOOKUP($B121&amp;"_"&amp;$D121,'App5 - CRUK Inci Rates'!C:H,6,FALSE)</f>
        <v>16.3</v>
      </c>
      <c r="F121" s="711">
        <f>VLOOKUP($B121&amp;"_"&amp;$D121,'App5 - CRUK Inci Rates'!C:H,3,FALSE)</f>
        <v>14.7</v>
      </c>
      <c r="G121" s="712">
        <f>VLOOKUP($B121&amp;"_"&amp;$D121,'App5 - CRUK Inci Rates'!C:J,8,FALSE)</f>
        <v>4567159.333333334</v>
      </c>
      <c r="H121" s="713">
        <f>VLOOKUP($B121&amp;"_"&amp;$D121,'App5 - CRUK Inci Rates'!C:J,7,FALSE)</f>
        <v>2251680</v>
      </c>
      <c r="I121" s="713">
        <f>VLOOKUP($B121&amp;"_"&amp;$D121,'App5 - CRUK Inci Rates'!C:J,4,FALSE)</f>
        <v>2315479.3333333335</v>
      </c>
      <c r="J121" s="709">
        <f>VLOOKUP($B121&amp;"_"&amp;$D121,'App5 - CRUK Inci Rates'!C:K,9,FALSE)</f>
        <v>706</v>
      </c>
      <c r="K121" s="706">
        <f t="shared" si="64"/>
        <v>2283579.666666667</v>
      </c>
      <c r="L121" s="706">
        <f>VLOOKUP("*"&amp;$B121&amp;"*",'S4 - Summ PRS Characteristics'!$C$5:$Q$12,11,FALSE)*$J121</f>
        <v>404.77146917761587</v>
      </c>
      <c r="M121" s="706">
        <f t="shared" si="65"/>
        <v>301.22853082238413</v>
      </c>
      <c r="N121" s="706">
        <f>IF($C121="other",(1-$C$7)*L121,(1-(VLOOKUP($C121,'S3 - Screening Tool Metrics'!$C$3:$G$17,5,FALSE)/100))*L121)</f>
        <v>62.334806253352852</v>
      </c>
      <c r="O121" s="706">
        <f>IF($C121="other",$C$7*L121,(VLOOKUP($C121,'S3 - Screening Tool Metrics'!$C$3:$G$17,5,FALSE)/100)*L121)</f>
        <v>342.43666292426303</v>
      </c>
      <c r="P121" s="706">
        <f t="shared" si="66"/>
        <v>48.503776618167564</v>
      </c>
      <c r="Q121" s="707">
        <f t="shared" si="95"/>
        <v>913431.86666666681</v>
      </c>
      <c r="R121" s="706">
        <f>VLOOKUP("*"&amp;$B121&amp;"*",'S4 - Summ PRS Characteristics'!$C$5:$Q$12,12,FALSE)*$J121</f>
        <v>180.50112939348671</v>
      </c>
      <c r="S121" s="706">
        <f t="shared" ref="S121:S133" si="103">$J121-R121</f>
        <v>525.49887060651326</v>
      </c>
      <c r="T121" s="706">
        <f>IF($C121="other",(1-$C119)*R121,(1-(VLOOKUP($C121,'S3 - Screening Tool Metrics'!$C$3:$G$17,5,FALSE)/100))*R121)</f>
        <v>27.797173926596958</v>
      </c>
      <c r="U121" s="706">
        <f>IF($C121="other",$C119*R121,(VLOOKUP($C121,'S3 - Screening Tool Metrics'!$C$3:$G$17,5,FALSE)/100)*R121)</f>
        <v>152.70395546688974</v>
      </c>
      <c r="V121" s="708">
        <f t="shared" si="96"/>
        <v>21.629455448567953</v>
      </c>
      <c r="W121" s="707">
        <f t="shared" si="97"/>
        <v>456715.93333333341</v>
      </c>
      <c r="X121" s="706">
        <f>VLOOKUP("*"&amp;$B121&amp;"*",'S4 - Summ PRS Characteristics'!$C$5:$Q$12,13,FALSE)*$J121</f>
        <v>96.290059922499921</v>
      </c>
      <c r="Y121" s="706">
        <f t="shared" ref="Y121:Y133" si="104">$J121-X121</f>
        <v>609.70994007750005</v>
      </c>
      <c r="Z121" s="706">
        <f>IF($C121="other",(1-$C119)*X121,(1-(VLOOKUP($C121,'S3 - Screening Tool Metrics'!$C$3:$G$17,5,FALSE)/100))*X121)</f>
        <v>14.828669228064991</v>
      </c>
      <c r="AA121" s="706">
        <f>IF($C121="other",$C119*X121,(VLOOKUP($C121,'S3 - Screening Tool Metrics'!$C$3:$G$17,5,FALSE)/100)*X121)</f>
        <v>81.461390694434925</v>
      </c>
      <c r="AB121" s="708">
        <f t="shared" si="98"/>
        <v>11.538440608276902</v>
      </c>
      <c r="AC121" s="707">
        <f t="shared" si="99"/>
        <v>228357.9666666667</v>
      </c>
      <c r="AD121" s="706">
        <f>VLOOKUP("*"&amp;$B121&amp;"*",'S4 - Summ PRS Characteristics'!$C$5:$Q$12,14,FALSE)*$J121</f>
        <v>50.935043002558885</v>
      </c>
      <c r="AE121" s="706">
        <f>$J121-AD121</f>
        <v>655.06495699744107</v>
      </c>
      <c r="AF121" s="706">
        <f>IF($C121="other",(1-$C119)*AD121,(1-(VLOOKUP($C121,'S3 - Screening Tool Metrics'!$C$3:$G$17,5,FALSE)/100))*AD121)</f>
        <v>7.8439966223940694</v>
      </c>
      <c r="AG121" s="706">
        <f>IF($C121="other",$C119*AD121,(VLOOKUP($C121,'S3 - Screening Tool Metrics'!$C$3:$G$17,5,FALSE)/100)*AD121)</f>
        <v>43.091046380164812</v>
      </c>
      <c r="AH121" s="708">
        <f t="shared" si="100"/>
        <v>6.1035476459156959</v>
      </c>
      <c r="AI121" s="707">
        <f t="shared" si="101"/>
        <v>45671.593333333338</v>
      </c>
      <c r="AJ121" s="706">
        <f>VLOOKUP("*"&amp;$B121&amp;"*",'S4 - Summ PRS Characteristics'!$C$5:$Q$12,15,FALSE)*$J121</f>
        <v>11.378862892853986</v>
      </c>
      <c r="AK121" s="706">
        <f t="shared" ref="AK121:AK133" si="105">$J121-AJ121</f>
        <v>694.62113710714607</v>
      </c>
      <c r="AL121" s="706">
        <f>IF($C121="other",(1-$C119)*AJ121,(1-(VLOOKUP($C121,'S3 - Screening Tool Metrics'!$C$3:$G$17,5,FALSE)/100))*AJ121)</f>
        <v>1.7523448854995141</v>
      </c>
      <c r="AM121" s="706">
        <f>IF($C121="other",$C119*AJ121,(VLOOKUP($C121,'S3 - Screening Tool Metrics'!$C$3:$G$17,5,FALSE)/100)*AJ121)</f>
        <v>9.6265180073544716</v>
      </c>
      <c r="AN121" s="709">
        <f t="shared" si="102"/>
        <v>1.3635294627980838</v>
      </c>
    </row>
    <row r="122" spans="2:40" ht="11" customHeight="1" x14ac:dyDescent="0.15">
      <c r="B122" s="700" t="s">
        <v>32</v>
      </c>
      <c r="C122" s="1082" t="str">
        <f>$C120</f>
        <v>Low dose CT</v>
      </c>
      <c r="D122" s="552" t="s">
        <v>194</v>
      </c>
      <c r="E122" s="710">
        <f>VLOOKUP($B122&amp;"_"&amp;$D122,'App5 - CRUK Inci Rates'!C:H,6,FALSE)</f>
        <v>33.4</v>
      </c>
      <c r="F122" s="711">
        <f>VLOOKUP($B122&amp;"_"&amp;$D122,'App5 - CRUK Inci Rates'!C:H,3,FALSE)</f>
        <v>31.5</v>
      </c>
      <c r="G122" s="712">
        <f>VLOOKUP($B122&amp;"_"&amp;$D122,'App5 - CRUK Inci Rates'!C:J,8,FALSE)</f>
        <v>4658110.666666666</v>
      </c>
      <c r="H122" s="713">
        <f>VLOOKUP($B122&amp;"_"&amp;$D122,'App5 - CRUK Inci Rates'!C:J,7,FALSE)</f>
        <v>2293472.6666666665</v>
      </c>
      <c r="I122" s="713">
        <f>VLOOKUP($B122&amp;"_"&amp;$D122,'App5 - CRUK Inci Rates'!C:J,4,FALSE)</f>
        <v>2364638</v>
      </c>
      <c r="J122" s="709">
        <f>VLOOKUP($B122&amp;"_"&amp;$D122,'App5 - CRUK Inci Rates'!C:K,9,FALSE)</f>
        <v>1512</v>
      </c>
      <c r="K122" s="706">
        <f t="shared" si="64"/>
        <v>2329055.333333333</v>
      </c>
      <c r="L122" s="706">
        <f>VLOOKUP("*"&amp;$B122&amp;"*",'S4 - Summ PRS Characteristics'!$C$5:$Q$12,11,FALSE)*$J122</f>
        <v>866.87600764384592</v>
      </c>
      <c r="M122" s="706">
        <f t="shared" si="65"/>
        <v>645.12399235615408</v>
      </c>
      <c r="N122" s="706">
        <f>IF($C122="other",(1-$C$7)*L122,(1-(VLOOKUP($C122,'S3 - Screening Tool Metrics'!$C$3:$G$17,5,FALSE)/100))*L122)</f>
        <v>133.4989051771523</v>
      </c>
      <c r="O122" s="706">
        <f>IF($C122="other",$C$7*L122,(VLOOKUP($C122,'S3 - Screening Tool Metrics'!$C$3:$G$17,5,FALSE)/100)*L122)</f>
        <v>733.3771024666936</v>
      </c>
      <c r="P122" s="706">
        <f t="shared" si="66"/>
        <v>48.503776618167564</v>
      </c>
      <c r="Q122" s="707">
        <f t="shared" si="95"/>
        <v>931622.1333333333</v>
      </c>
      <c r="R122" s="706">
        <f>VLOOKUP("*"&amp;$B122&amp;"*",'S4 - Summ PRS Characteristics'!$C$5:$Q$12,12,FALSE)*$J122</f>
        <v>386.56899099568255</v>
      </c>
      <c r="S122" s="706">
        <f t="shared" si="103"/>
        <v>1125.4310090043175</v>
      </c>
      <c r="T122" s="706">
        <f>IF($C122="other",(1-$C119)*R122,(1-(VLOOKUP($C122,'S3 - Screening Tool Metrics'!$C$3:$G$17,5,FALSE)/100))*R122)</f>
        <v>59.531624613335126</v>
      </c>
      <c r="U122" s="706">
        <f>IF($C122="other",$C119*R122,(VLOOKUP($C122,'S3 - Screening Tool Metrics'!$C$3:$G$17,5,FALSE)/100)*R122)</f>
        <v>327.03736638234744</v>
      </c>
      <c r="V122" s="708">
        <f t="shared" si="96"/>
        <v>21.629455448567953</v>
      </c>
      <c r="W122" s="707">
        <f t="shared" si="97"/>
        <v>465811.06666666665</v>
      </c>
      <c r="X122" s="706">
        <f>VLOOKUP("*"&amp;$B122&amp;"*",'S4 - Summ PRS Characteristics'!$C$5:$Q$12,13,FALSE)*$J122</f>
        <v>206.21893853090634</v>
      </c>
      <c r="Y122" s="706">
        <f t="shared" si="104"/>
        <v>1305.7810614690936</v>
      </c>
      <c r="Z122" s="706">
        <f>IF($C122="other",(1-$C119)*X122,(1-(VLOOKUP($C122,'S3 - Screening Tool Metrics'!$C$3:$G$17,5,FALSE)/100))*X122)</f>
        <v>31.757716533759581</v>
      </c>
      <c r="AA122" s="706">
        <f>IF($C122="other",$C119*X122,(VLOOKUP($C122,'S3 - Screening Tool Metrics'!$C$3:$G$17,5,FALSE)/100)*X122)</f>
        <v>174.46122199714677</v>
      </c>
      <c r="AB122" s="708">
        <f t="shared" si="98"/>
        <v>11.538440608276902</v>
      </c>
      <c r="AC122" s="707">
        <f t="shared" si="99"/>
        <v>232905.53333333333</v>
      </c>
      <c r="AD122" s="706">
        <f>VLOOKUP("*"&amp;$B122&amp;"*",'S4 - Summ PRS Characteristics'!$C$5:$Q$12,14,FALSE)*$J122</f>
        <v>109.08468133125925</v>
      </c>
      <c r="AE122" s="706">
        <f t="shared" ref="AE122:AE133" si="106">$J122-AD122</f>
        <v>1402.9153186687408</v>
      </c>
      <c r="AF122" s="706">
        <f>IF($C122="other",(1-$C119)*AD122,(1-(VLOOKUP($C122,'S3 - Screening Tool Metrics'!$C$3:$G$17,5,FALSE)/100))*AD122)</f>
        <v>16.799040925013927</v>
      </c>
      <c r="AG122" s="706">
        <f>IF($C122="other",$C119*AD122,(VLOOKUP($C122,'S3 - Screening Tool Metrics'!$C$3:$G$17,5,FALSE)/100)*AD122)</f>
        <v>92.285640406245321</v>
      </c>
      <c r="AH122" s="708">
        <f t="shared" si="100"/>
        <v>6.1035476459156959</v>
      </c>
      <c r="AI122" s="707">
        <f t="shared" si="101"/>
        <v>46581.106666666659</v>
      </c>
      <c r="AJ122" s="706">
        <f>VLOOKUP("*"&amp;$B122&amp;"*",'S4 - Summ PRS Characteristics'!$C$5:$Q$12,15,FALSE)*$J122</f>
        <v>24.369462739370007</v>
      </c>
      <c r="AK122" s="706">
        <f t="shared" si="105"/>
        <v>1487.63053726063</v>
      </c>
      <c r="AL122" s="706">
        <f>IF($C122="other",(1-$C119)*AJ122,(1-(VLOOKUP($C122,'S3 - Screening Tool Metrics'!$C$3:$G$17,5,FALSE)/100))*AJ122)</f>
        <v>3.7528972618629819</v>
      </c>
      <c r="AM122" s="706">
        <f>IF($C122="other",$C119*AJ122,(VLOOKUP($C122,'S3 - Screening Tool Metrics'!$C$3:$G$17,5,FALSE)/100)*AJ122)</f>
        <v>20.616565477507027</v>
      </c>
      <c r="AN122" s="709">
        <f t="shared" si="102"/>
        <v>1.3635294627980838</v>
      </c>
    </row>
    <row r="123" spans="2:40" ht="11" customHeight="1" x14ac:dyDescent="0.15">
      <c r="B123" s="700" t="s">
        <v>32</v>
      </c>
      <c r="C123" s="1082" t="str">
        <f>$C120</f>
        <v>Low dose CT</v>
      </c>
      <c r="D123" s="552" t="s">
        <v>195</v>
      </c>
      <c r="E123" s="710">
        <f>VLOOKUP($B123&amp;"_"&amp;$D123,'App5 - CRUK Inci Rates'!C:H,6,FALSE)</f>
        <v>71.400000000000006</v>
      </c>
      <c r="F123" s="711">
        <f>VLOOKUP($B123&amp;"_"&amp;$D123,'App5 - CRUK Inci Rates'!C:H,3,FALSE)</f>
        <v>67.099999999999994</v>
      </c>
      <c r="G123" s="712">
        <f>VLOOKUP($B123&amp;"_"&amp;$D123,'App5 - CRUK Inci Rates'!C:J,8,FALSE)</f>
        <v>4181606</v>
      </c>
      <c r="H123" s="713">
        <f>VLOOKUP($B123&amp;"_"&amp;$D123,'App5 - CRUK Inci Rates'!C:J,7,FALSE)</f>
        <v>2061918.6666666667</v>
      </c>
      <c r="I123" s="713">
        <f>VLOOKUP($B123&amp;"_"&amp;$D123,'App5 - CRUK Inci Rates'!C:J,4,FALSE)</f>
        <v>2119687.3333333335</v>
      </c>
      <c r="J123" s="709">
        <f>VLOOKUP($B123&amp;"_"&amp;$D123,'App5 - CRUK Inci Rates'!C:K,9,FALSE)</f>
        <v>2896</v>
      </c>
      <c r="K123" s="706">
        <f t="shared" si="64"/>
        <v>2090803</v>
      </c>
      <c r="L123" s="706">
        <f>VLOOKUP("*"&amp;$B123&amp;"*",'S4 - Summ PRS Characteristics'!$C$5:$Q$12,11,FALSE)*$J123</f>
        <v>1660.3656865982657</v>
      </c>
      <c r="M123" s="706">
        <f t="shared" si="65"/>
        <v>1235.6343134017343</v>
      </c>
      <c r="N123" s="706">
        <f>IF($C123="other",(1-$C$7)*L123,(1-(VLOOKUP($C123,'S3 - Screening Tool Metrics'!$C$3:$G$17,5,FALSE)/100))*L123)</f>
        <v>255.69631573613296</v>
      </c>
      <c r="O123" s="706">
        <f>IF($C123="other",$C$7*L123,(VLOOKUP($C123,'S3 - Screening Tool Metrics'!$C$3:$G$17,5,FALSE)/100)*L123)</f>
        <v>1404.6693708621328</v>
      </c>
      <c r="P123" s="706">
        <f t="shared" si="66"/>
        <v>48.503776618167571</v>
      </c>
      <c r="Q123" s="707">
        <f t="shared" si="95"/>
        <v>836321.20000000007</v>
      </c>
      <c r="R123" s="706">
        <f>VLOOKUP("*"&amp;$B123&amp;"*",'S4 - Summ PRS Characteristics'!$C$5:$Q$12,12,FALSE)*$J123</f>
        <v>740.41256476421745</v>
      </c>
      <c r="S123" s="706">
        <f t="shared" si="103"/>
        <v>2155.5874352357823</v>
      </c>
      <c r="T123" s="706">
        <f>IF($C123="other",(1-$C119)*R123,(1-(VLOOKUP($C123,'S3 - Screening Tool Metrics'!$C$3:$G$17,5,FALSE)/100))*R123)</f>
        <v>114.02353497368951</v>
      </c>
      <c r="U123" s="706">
        <f>IF($C123="other",$C119*R123,(VLOOKUP($C123,'S3 - Screening Tool Metrics'!$C$3:$G$17,5,FALSE)/100)*R123)</f>
        <v>626.38902979052796</v>
      </c>
      <c r="V123" s="708">
        <f t="shared" si="96"/>
        <v>21.629455448567956</v>
      </c>
      <c r="W123" s="707">
        <f t="shared" si="97"/>
        <v>418160.60000000003</v>
      </c>
      <c r="X123" s="706">
        <f>VLOOKUP("*"&amp;$B123&amp;"*",'S4 - Summ PRS Characteristics'!$C$5:$Q$12,13,FALSE)*$J123</f>
        <v>394.98018914385233</v>
      </c>
      <c r="Y123" s="706">
        <f t="shared" si="104"/>
        <v>2501.0198108561476</v>
      </c>
      <c r="Z123" s="706">
        <f>IF($C123="other",(1-$C119)*X123,(1-(VLOOKUP($C123,'S3 - Screening Tool Metrics'!$C$3:$G$17,5,FALSE)/100))*X123)</f>
        <v>60.826949128153267</v>
      </c>
      <c r="AA123" s="706">
        <f>IF($C123="other",$C119*X123,(VLOOKUP($C123,'S3 - Screening Tool Metrics'!$C$3:$G$17,5,FALSE)/100)*X123)</f>
        <v>334.15324001569905</v>
      </c>
      <c r="AB123" s="708">
        <f t="shared" si="98"/>
        <v>11.5384406082769</v>
      </c>
      <c r="AC123" s="707">
        <f t="shared" si="99"/>
        <v>209080.30000000002</v>
      </c>
      <c r="AD123" s="706">
        <f>VLOOKUP("*"&amp;$B123&amp;"*",'S4 - Summ PRS Characteristics'!$C$5:$Q$12,14,FALSE)*$J123</f>
        <v>208.9346806450574</v>
      </c>
      <c r="AE123" s="706">
        <f t="shared" si="106"/>
        <v>2687.0653193549424</v>
      </c>
      <c r="AF123" s="706">
        <f>IF($C123="other",(1-$C119)*AD123,(1-(VLOOKUP($C123,'S3 - Screening Tool Metrics'!$C$3:$G$17,5,FALSE)/100))*AD123)</f>
        <v>32.175940819338848</v>
      </c>
      <c r="AG123" s="706">
        <f>IF($C123="other",$C119*AD123,(VLOOKUP($C123,'S3 - Screening Tool Metrics'!$C$3:$G$17,5,FALSE)/100)*AD123)</f>
        <v>176.75873982571855</v>
      </c>
      <c r="AH123" s="708">
        <f t="shared" si="100"/>
        <v>6.1035476459156959</v>
      </c>
      <c r="AI123" s="707">
        <f t="shared" si="101"/>
        <v>41816.06</v>
      </c>
      <c r="AJ123" s="706">
        <f>VLOOKUP("*"&amp;$B123&amp;"*",'S4 - Summ PRS Characteristics'!$C$5:$Q$12,15,FALSE)*$J123</f>
        <v>46.67590217805261</v>
      </c>
      <c r="AK123" s="706">
        <f t="shared" si="105"/>
        <v>2849.3240978219474</v>
      </c>
      <c r="AL123" s="706">
        <f>IF($C123="other",(1-$C119)*AJ123,(1-(VLOOKUP($C123,'S3 - Screening Tool Metrics'!$C$3:$G$17,5,FALSE)/100))*AJ123)</f>
        <v>7.1880889354201027</v>
      </c>
      <c r="AM123" s="706">
        <f>IF($C123="other",$C119*AJ123,(VLOOKUP($C123,'S3 - Screening Tool Metrics'!$C$3:$G$17,5,FALSE)/100)*AJ123)</f>
        <v>39.487813242632505</v>
      </c>
      <c r="AN123" s="709">
        <f t="shared" si="102"/>
        <v>1.3635294627980836</v>
      </c>
    </row>
    <row r="124" spans="2:40" ht="11" customHeight="1" x14ac:dyDescent="0.15">
      <c r="B124" s="700" t="s">
        <v>32</v>
      </c>
      <c r="C124" s="1082" t="str">
        <f>$C120</f>
        <v>Low dose CT</v>
      </c>
      <c r="D124" s="552" t="s">
        <v>196</v>
      </c>
      <c r="E124" s="710">
        <f>VLOOKUP($B124&amp;"_"&amp;$D124,'App5 - CRUK Inci Rates'!C:H,6,FALSE)</f>
        <v>137</v>
      </c>
      <c r="F124" s="711">
        <f>VLOOKUP($B124&amp;"_"&amp;$D124,'App5 - CRUK Inci Rates'!C:H,3,FALSE)</f>
        <v>124.9</v>
      </c>
      <c r="G124" s="712">
        <f>VLOOKUP($B124&amp;"_"&amp;$D124,'App5 - CRUK Inci Rates'!C:J,8,FALSE)</f>
        <v>3602002</v>
      </c>
      <c r="H124" s="713">
        <f>VLOOKUP($B124&amp;"_"&amp;$D124,'App5 - CRUK Inci Rates'!C:J,7,FALSE)</f>
        <v>1764828</v>
      </c>
      <c r="I124" s="713">
        <f>VLOOKUP($B124&amp;"_"&amp;$D124,'App5 - CRUK Inci Rates'!C:J,4,FALSE)</f>
        <v>1837174</v>
      </c>
      <c r="J124" s="709">
        <f>VLOOKUP($B124&amp;"_"&amp;$D124,'App5 - CRUK Inci Rates'!C:K,9,FALSE)</f>
        <v>4711</v>
      </c>
      <c r="K124" s="706">
        <f t="shared" si="64"/>
        <v>1801001</v>
      </c>
      <c r="L124" s="706">
        <f>VLOOKUP("*"&amp;$B124&amp;"*",'S4 - Summ PRS Characteristics'!$C$5:$Q$12,11,FALSE)*$J124</f>
        <v>2700.9608941866127</v>
      </c>
      <c r="M124" s="706">
        <f t="shared" si="65"/>
        <v>2010.0391058133873</v>
      </c>
      <c r="N124" s="706">
        <f>IF($C124="other",(1-$C$7)*L124,(1-(VLOOKUP($C124,'S3 - Screening Tool Metrics'!$C$3:$G$17,5,FALSE)/100))*L124)</f>
        <v>415.94797770473843</v>
      </c>
      <c r="O124" s="706">
        <f>IF($C124="other",$C$7*L124,(VLOOKUP($C124,'S3 - Screening Tool Metrics'!$C$3:$G$17,5,FALSE)/100)*L124)</f>
        <v>2285.0129164818741</v>
      </c>
      <c r="P124" s="706">
        <f t="shared" si="66"/>
        <v>48.503776618167564</v>
      </c>
      <c r="Q124" s="707">
        <f t="shared" si="95"/>
        <v>720400.4</v>
      </c>
      <c r="R124" s="706">
        <f>VLOOKUP("*"&amp;$B124&amp;"*",'S4 - Summ PRS Characteristics'!$C$5:$Q$12,12,FALSE)*$J124</f>
        <v>1204.4487543522887</v>
      </c>
      <c r="S124" s="706">
        <f t="shared" si="103"/>
        <v>3506.5512456477113</v>
      </c>
      <c r="T124" s="706">
        <f>IF($C124="other",(1-$C119)*R124,(1-(VLOOKUP($C124,'S3 - Screening Tool Metrics'!$C$3:$G$17,5,FALSE)/100))*R124)</f>
        <v>185.48510817025249</v>
      </c>
      <c r="U124" s="706">
        <f>IF($C124="other",$C119*R124,(VLOOKUP($C124,'S3 - Screening Tool Metrics'!$C$3:$G$17,5,FALSE)/100)*R124)</f>
        <v>1018.9636461820362</v>
      </c>
      <c r="V124" s="708">
        <f t="shared" si="96"/>
        <v>21.629455448567953</v>
      </c>
      <c r="W124" s="707">
        <f t="shared" si="97"/>
        <v>360200.2</v>
      </c>
      <c r="X124" s="706">
        <f>VLOOKUP("*"&amp;$B124&amp;"*",'S4 - Summ PRS Characteristics'!$C$5:$Q$12,13,FALSE)*$J124</f>
        <v>642.52474829305538</v>
      </c>
      <c r="Y124" s="706">
        <f t="shared" si="104"/>
        <v>4068.4752517069446</v>
      </c>
      <c r="Z124" s="706">
        <f>IF($C124="other",(1-$C119)*X124,(1-(VLOOKUP($C124,'S3 - Screening Tool Metrics'!$C$3:$G$17,5,FALSE)/100))*X124)</f>
        <v>98.948811237130542</v>
      </c>
      <c r="AA124" s="706">
        <f>IF($C124="other",$C119*X124,(VLOOKUP($C124,'S3 - Screening Tool Metrics'!$C$3:$G$17,5,FALSE)/100)*X124)</f>
        <v>543.57593705592478</v>
      </c>
      <c r="AB124" s="708">
        <f t="shared" si="98"/>
        <v>11.5384406082769</v>
      </c>
      <c r="AC124" s="707">
        <f t="shared" si="99"/>
        <v>180100.1</v>
      </c>
      <c r="AD124" s="706">
        <f>VLOOKUP("*"&amp;$B124&amp;"*",'S4 - Summ PRS Characteristics'!$C$5:$Q$12,14,FALSE)*$J124</f>
        <v>339.87958581452534</v>
      </c>
      <c r="AE124" s="706">
        <f t="shared" si="106"/>
        <v>4371.1204141854751</v>
      </c>
      <c r="AF124" s="706">
        <f>IF($C124="other",(1-$C119)*AD124,(1-(VLOOKUP($C124,'S3 - Screening Tool Metrics'!$C$3:$G$17,5,FALSE)/100))*AD124)</f>
        <v>52.341456215436914</v>
      </c>
      <c r="AG124" s="706">
        <f>IF($C124="other",$C119*AD124,(VLOOKUP($C124,'S3 - Screening Tool Metrics'!$C$3:$G$17,5,FALSE)/100)*AD124)</f>
        <v>287.53812959908845</v>
      </c>
      <c r="AH124" s="708">
        <f t="shared" si="100"/>
        <v>6.1035476459156959</v>
      </c>
      <c r="AI124" s="707">
        <f t="shared" si="101"/>
        <v>36020.020000000004</v>
      </c>
      <c r="AJ124" s="706">
        <f>VLOOKUP("*"&amp;$B124&amp;"*",'S4 - Summ PRS Characteristics'!$C$5:$Q$12,15,FALSE)*$J124</f>
        <v>75.928927887018588</v>
      </c>
      <c r="AK124" s="706">
        <f t="shared" si="105"/>
        <v>4635.0710721129817</v>
      </c>
      <c r="AL124" s="706">
        <f>IF($C124="other",(1-$C119)*AJ124,(1-(VLOOKUP($C124,'S3 - Screening Tool Metrics'!$C$3:$G$17,5,FALSE)/100))*AJ124)</f>
        <v>11.693054894600865</v>
      </c>
      <c r="AM124" s="706">
        <f>IF($C124="other",$C119*AJ124,(VLOOKUP($C124,'S3 - Screening Tool Metrics'!$C$3:$G$17,5,FALSE)/100)*AJ124)</f>
        <v>64.235872992417725</v>
      </c>
      <c r="AN124" s="709">
        <f t="shared" si="102"/>
        <v>1.3635294627980836</v>
      </c>
    </row>
    <row r="125" spans="2:40" ht="11" customHeight="1" x14ac:dyDescent="0.15">
      <c r="B125" s="700" t="s">
        <v>32</v>
      </c>
      <c r="C125" s="1082" t="str">
        <f>$C120</f>
        <v>Low dose CT</v>
      </c>
      <c r="D125" s="552" t="s">
        <v>197</v>
      </c>
      <c r="E125" s="710">
        <f>VLOOKUP($B125&amp;"_"&amp;$D125,'App5 - CRUK Inci Rates'!C:H,6,FALSE)</f>
        <v>229.5</v>
      </c>
      <c r="F125" s="711">
        <f>VLOOKUP($B125&amp;"_"&amp;$D125,'App5 - CRUK Inci Rates'!C:H,3,FALSE)</f>
        <v>197.8</v>
      </c>
      <c r="G125" s="712">
        <f>VLOOKUP($B125&amp;"_"&amp;$D125,'App5 - CRUK Inci Rates'!C:J,8,FALSE)</f>
        <v>3502183.333333333</v>
      </c>
      <c r="H125" s="713">
        <f>VLOOKUP($B125&amp;"_"&amp;$D125,'App5 - CRUK Inci Rates'!C:J,7,FALSE)</f>
        <v>1696993.3333333333</v>
      </c>
      <c r="I125" s="713">
        <f>VLOOKUP($B125&amp;"_"&amp;$D125,'App5 - CRUK Inci Rates'!C:J,4,FALSE)</f>
        <v>1805190</v>
      </c>
      <c r="J125" s="709">
        <f>VLOOKUP($B125&amp;"_"&amp;$D125,'App5 - CRUK Inci Rates'!C:K,9,FALSE)</f>
        <v>7466</v>
      </c>
      <c r="K125" s="706">
        <f t="shared" si="64"/>
        <v>1751091.6666666665</v>
      </c>
      <c r="L125" s="706">
        <f>VLOOKUP("*"&amp;$B125&amp;"*",'S4 - Summ PRS Characteristics'!$C$5:$Q$12,11,FALSE)*$J125</f>
        <v>4280.4869530879323</v>
      </c>
      <c r="M125" s="706">
        <f t="shared" si="65"/>
        <v>3185.5130469120677</v>
      </c>
      <c r="N125" s="706">
        <f>IF($C125="other",(1-$C$7)*L125,(1-(VLOOKUP($C125,'S3 - Screening Tool Metrics'!$C$3:$G$17,5,FALSE)/100))*L125)</f>
        <v>659.19499077554167</v>
      </c>
      <c r="O125" s="706">
        <f>IF($C125="other",$C$7*L125,(VLOOKUP($C125,'S3 - Screening Tool Metrics'!$C$3:$G$17,5,FALSE)/100)*L125)</f>
        <v>3621.2919623123908</v>
      </c>
      <c r="P125" s="706">
        <f t="shared" si="66"/>
        <v>48.503776618167571</v>
      </c>
      <c r="Q125" s="707">
        <f t="shared" si="95"/>
        <v>700436.66666666663</v>
      </c>
      <c r="R125" s="706">
        <f>VLOOKUP("*"&amp;$B125&amp;"*",'S4 - Summ PRS Characteristics'!$C$5:$Q$12,12,FALSE)*$J125</f>
        <v>1908.8122267022261</v>
      </c>
      <c r="S125" s="706">
        <f t="shared" si="103"/>
        <v>5557.1877732977737</v>
      </c>
      <c r="T125" s="706">
        <f>IF($C125="other",(1-$C119)*R125,(1-(VLOOKUP($C125,'S3 - Screening Tool Metrics'!$C$3:$G$17,5,FALSE)/100))*R125)</f>
        <v>293.95708291214288</v>
      </c>
      <c r="U125" s="706">
        <f>IF($C125="other",$C119*R125,(VLOOKUP($C125,'S3 - Screening Tool Metrics'!$C$3:$G$17,5,FALSE)/100)*R125)</f>
        <v>1614.8551437900833</v>
      </c>
      <c r="V125" s="708">
        <f t="shared" si="96"/>
        <v>21.629455448567953</v>
      </c>
      <c r="W125" s="707">
        <f t="shared" si="97"/>
        <v>350218.33333333331</v>
      </c>
      <c r="X125" s="706">
        <f>VLOOKUP("*"&amp;$B125&amp;"*",'S4 - Summ PRS Characteristics'!$C$5:$Q$12,13,FALSE)*$J125</f>
        <v>1018.2742030897796</v>
      </c>
      <c r="Y125" s="706">
        <f t="shared" si="104"/>
        <v>6447.7257969102202</v>
      </c>
      <c r="Z125" s="706">
        <f>IF($C125="other",(1-$C119)*X125,(1-(VLOOKUP($C125,'S3 - Screening Tool Metrics'!$C$3:$G$17,5,FALSE)/100))*X125)</f>
        <v>156.81422727582608</v>
      </c>
      <c r="AA125" s="706">
        <f>IF($C125="other",$C119*X125,(VLOOKUP($C125,'S3 - Screening Tool Metrics'!$C$3:$G$17,5,FALSE)/100)*X125)</f>
        <v>861.45997581395352</v>
      </c>
      <c r="AB125" s="708">
        <f t="shared" si="98"/>
        <v>11.538440608276902</v>
      </c>
      <c r="AC125" s="707">
        <f t="shared" si="99"/>
        <v>175109.16666666666</v>
      </c>
      <c r="AD125" s="706">
        <f>VLOOKUP("*"&amp;$B125&amp;"*",'S4 - Summ PRS Characteristics'!$C$5:$Q$12,14,FALSE)*$J125</f>
        <v>538.64168704972326</v>
      </c>
      <c r="AE125" s="706">
        <f t="shared" si="106"/>
        <v>6927.3583129502767</v>
      </c>
      <c r="AF125" s="706">
        <f>IF($C125="other",(1-$C119)*AD125,(1-(VLOOKUP($C125,'S3 - Screening Tool Metrics'!$C$3:$G$17,5,FALSE)/100))*AD125)</f>
        <v>82.950819805657389</v>
      </c>
      <c r="AG125" s="706">
        <f>IF($C125="other",$C119*AD125,(VLOOKUP($C125,'S3 - Screening Tool Metrics'!$C$3:$G$17,5,FALSE)/100)*AD125)</f>
        <v>455.69086724406588</v>
      </c>
      <c r="AH125" s="708">
        <f t="shared" si="100"/>
        <v>6.1035476459156959</v>
      </c>
      <c r="AI125" s="707">
        <f t="shared" si="101"/>
        <v>35021.833333333328</v>
      </c>
      <c r="AJ125" s="706">
        <f>VLOOKUP("*"&amp;$B125&amp;"*",'S4 - Summ PRS Characteristics'!$C$5:$Q$12,15,FALSE)*$J125</f>
        <v>120.33228096040773</v>
      </c>
      <c r="AK125" s="706">
        <f t="shared" si="105"/>
        <v>7345.6677190395922</v>
      </c>
      <c r="AL125" s="706">
        <f>IF($C125="other",(1-$C119)*AJ125,(1-(VLOOKUP($C125,'S3 - Screening Tool Metrics'!$C$3:$G$17,5,FALSE)/100))*AJ125)</f>
        <v>18.531171267902792</v>
      </c>
      <c r="AM125" s="706">
        <f>IF($C125="other",$C119*AJ125,(VLOOKUP($C125,'S3 - Screening Tool Metrics'!$C$3:$G$17,5,FALSE)/100)*AJ125)</f>
        <v>101.80110969250494</v>
      </c>
      <c r="AN125" s="709">
        <f t="shared" si="102"/>
        <v>1.3635294627980838</v>
      </c>
    </row>
    <row r="126" spans="2:40" ht="11" customHeight="1" x14ac:dyDescent="0.15">
      <c r="B126" s="700" t="s">
        <v>32</v>
      </c>
      <c r="C126" s="1082" t="str">
        <f>$C120</f>
        <v>Low dose CT</v>
      </c>
      <c r="D126" s="552" t="s">
        <v>198</v>
      </c>
      <c r="E126" s="710">
        <f>VLOOKUP($B126&amp;"_"&amp;$D126,'App5 - CRUK Inci Rates'!C:H,6,FALSE)</f>
        <v>335</v>
      </c>
      <c r="F126" s="711">
        <f>VLOOKUP($B126&amp;"_"&amp;$D126,'App5 - CRUK Inci Rates'!C:H,3,FALSE)</f>
        <v>278.10000000000002</v>
      </c>
      <c r="G126" s="712">
        <f>VLOOKUP($B126&amp;"_"&amp;$D126,'App5 - CRUK Inci Rates'!C:J,8,FALSE)</f>
        <v>3071574.666666667</v>
      </c>
      <c r="H126" s="713">
        <f>VLOOKUP($B126&amp;"_"&amp;$D126,'App5 - CRUK Inci Rates'!C:J,7,FALSE)</f>
        <v>1467965</v>
      </c>
      <c r="I126" s="713">
        <f>VLOOKUP($B126&amp;"_"&amp;$D126,'App5 - CRUK Inci Rates'!C:J,4,FALSE)</f>
        <v>1603609.6666666667</v>
      </c>
      <c r="J126" s="709">
        <f>VLOOKUP($B126&amp;"_"&amp;$D126,'App5 - CRUK Inci Rates'!C:K,9,FALSE)</f>
        <v>9378</v>
      </c>
      <c r="K126" s="706">
        <f t="shared" si="64"/>
        <v>1535787.3333333335</v>
      </c>
      <c r="L126" s="706">
        <f>VLOOKUP("*"&amp;$B126&amp;"*",'S4 - Summ PRS Characteristics'!$C$5:$Q$12,11,FALSE)*$J126</f>
        <v>5376.6952378862343</v>
      </c>
      <c r="M126" s="706">
        <f t="shared" si="65"/>
        <v>4001.3047621137657</v>
      </c>
      <c r="N126" s="706">
        <f>IF($C126="other",(1-$C$7)*L126,(1-(VLOOKUP($C126,'S3 - Screening Tool Metrics'!$C$3:$G$17,5,FALSE)/100))*L126)</f>
        <v>828.01106663448024</v>
      </c>
      <c r="O126" s="706">
        <f>IF($C126="other",$C$7*L126,(VLOOKUP($C126,'S3 - Screening Tool Metrics'!$C$3:$G$17,5,FALSE)/100)*L126)</f>
        <v>4548.6841712517544</v>
      </c>
      <c r="P126" s="706">
        <f t="shared" si="66"/>
        <v>48.503776618167564</v>
      </c>
      <c r="Q126" s="707">
        <f t="shared" si="95"/>
        <v>614314.93333333347</v>
      </c>
      <c r="R126" s="706">
        <f>VLOOKUP("*"&amp;$B126&amp;"*",'S4 - Summ PRS Characteristics'!$C$5:$Q$12,12,FALSE)*$J126</f>
        <v>2397.6481465327456</v>
      </c>
      <c r="S126" s="706">
        <f t="shared" si="103"/>
        <v>6980.3518534672548</v>
      </c>
      <c r="T126" s="706">
        <f>IF($C126="other",(1-$C119)*R126,(1-(VLOOKUP($C126,'S3 - Screening Tool Metrics'!$C$3:$G$17,5,FALSE)/100))*R126)</f>
        <v>369.23781456604291</v>
      </c>
      <c r="U126" s="706">
        <f>IF($C126="other",$C119*R126,(VLOOKUP($C126,'S3 - Screening Tool Metrics'!$C$3:$G$17,5,FALSE)/100)*R126)</f>
        <v>2028.4103319667026</v>
      </c>
      <c r="V126" s="708">
        <f t="shared" si="96"/>
        <v>21.629455448567953</v>
      </c>
      <c r="W126" s="707">
        <f t="shared" si="97"/>
        <v>307157.46666666673</v>
      </c>
      <c r="X126" s="706">
        <f>VLOOKUP("*"&amp;$B126&amp;"*",'S4 - Summ PRS Characteristics'!$C$5:$Q$12,13,FALSE)*$J126</f>
        <v>1279.0484163643118</v>
      </c>
      <c r="Y126" s="706">
        <f t="shared" si="104"/>
        <v>8098.9515836356877</v>
      </c>
      <c r="Z126" s="706">
        <f>IF($C126="other",(1-$C119)*X126,(1-(VLOOKUP($C126,'S3 - Screening Tool Metrics'!$C$3:$G$17,5,FALSE)/100))*X126)</f>
        <v>196.97345612010406</v>
      </c>
      <c r="AA126" s="706">
        <f>IF($C126="other",$C119*X126,(VLOOKUP($C126,'S3 - Screening Tool Metrics'!$C$3:$G$17,5,FALSE)/100)*X126)</f>
        <v>1082.0749602442079</v>
      </c>
      <c r="AB126" s="708">
        <f t="shared" si="98"/>
        <v>11.538440608276902</v>
      </c>
      <c r="AC126" s="707">
        <f t="shared" si="99"/>
        <v>153578.73333333337</v>
      </c>
      <c r="AD126" s="706">
        <f>VLOOKUP("*"&amp;$B126&amp;"*",'S4 - Summ PRS Characteristics'!$C$5:$Q$12,14,FALSE)*$J126</f>
        <v>676.58474968554845</v>
      </c>
      <c r="AE126" s="706">
        <f t="shared" si="106"/>
        <v>8701.4152503144524</v>
      </c>
      <c r="AF126" s="706">
        <f>IF($C126="other",(1-$C119)*AD126,(1-(VLOOKUP($C126,'S3 - Screening Tool Metrics'!$C$3:$G$17,5,FALSE)/100))*AD126)</f>
        <v>104.19405145157448</v>
      </c>
      <c r="AG126" s="706">
        <f>IF($C126="other",$C119*AD126,(VLOOKUP($C126,'S3 - Screening Tool Metrics'!$C$3:$G$17,5,FALSE)/100)*AD126)</f>
        <v>572.39069823397392</v>
      </c>
      <c r="AH126" s="708">
        <f t="shared" si="100"/>
        <v>6.103547645915695</v>
      </c>
      <c r="AI126" s="707">
        <f t="shared" si="101"/>
        <v>30715.74666666667</v>
      </c>
      <c r="AJ126" s="706">
        <f>VLOOKUP("*"&amp;$B126&amp;"*",'S4 - Summ PRS Characteristics'!$C$5:$Q$12,15,FALSE)*$J126</f>
        <v>151.14869151442588</v>
      </c>
      <c r="AK126" s="706">
        <f t="shared" si="105"/>
        <v>9226.8513084855749</v>
      </c>
      <c r="AL126" s="706">
        <f>IF($C126="other",(1-$C119)*AJ126,(1-(VLOOKUP($C126,'S3 - Screening Tool Metrics'!$C$3:$G$17,5,FALSE)/100))*AJ126)</f>
        <v>23.276898493221591</v>
      </c>
      <c r="AM126" s="706">
        <f>IF($C126="other",$C119*AJ126,(VLOOKUP($C126,'S3 - Screening Tool Metrics'!$C$3:$G$17,5,FALSE)/100)*AJ126)</f>
        <v>127.87179302120428</v>
      </c>
      <c r="AN126" s="709">
        <f t="shared" si="102"/>
        <v>1.3635294627980836</v>
      </c>
    </row>
    <row r="127" spans="2:40" ht="11" customHeight="1" x14ac:dyDescent="0.15">
      <c r="B127" s="700" t="s">
        <v>32</v>
      </c>
      <c r="C127" s="1082" t="str">
        <f>$C120</f>
        <v>Low dose CT</v>
      </c>
      <c r="D127" s="552" t="s">
        <v>199</v>
      </c>
      <c r="E127" s="710">
        <f>VLOOKUP($B127&amp;"_"&amp;$D127,'App5 - CRUK Inci Rates'!C:H,6,FALSE)</f>
        <v>462.2</v>
      </c>
      <c r="F127" s="711">
        <f>VLOOKUP($B127&amp;"_"&amp;$D127,'App5 - CRUK Inci Rates'!C:H,3,FALSE)</f>
        <v>340.5</v>
      </c>
      <c r="G127" s="712">
        <f>VLOOKUP($B127&amp;"_"&amp;$D127,'App5 - CRUK Inci Rates'!C:J,8,FALSE)</f>
        <v>2189010.6666666665</v>
      </c>
      <c r="H127" s="713">
        <f>VLOOKUP($B127&amp;"_"&amp;$D127,'App5 - CRUK Inci Rates'!C:J,7,FALSE)</f>
        <v>1007365.3333333334</v>
      </c>
      <c r="I127" s="713">
        <f>VLOOKUP($B127&amp;"_"&amp;$D127,'App5 - CRUK Inci Rates'!C:J,4,FALSE)</f>
        <v>1181645.3333333333</v>
      </c>
      <c r="J127" s="709">
        <f>VLOOKUP($B127&amp;"_"&amp;$D127,'App5 - CRUK Inci Rates'!C:K,9,FALSE)</f>
        <v>8680</v>
      </c>
      <c r="K127" s="706">
        <f t="shared" si="64"/>
        <v>1094505.3333333333</v>
      </c>
      <c r="L127" s="706">
        <f>VLOOKUP("*"&amp;$B127&amp;"*",'S4 - Summ PRS Characteristics'!$C$5:$Q$12,11,FALSE)*$J127</f>
        <v>4976.5104142517075</v>
      </c>
      <c r="M127" s="706">
        <f t="shared" si="65"/>
        <v>3703.4895857482925</v>
      </c>
      <c r="N127" s="706">
        <f>IF($C127="other",(1-$C$7)*L127,(1-(VLOOKUP($C127,'S3 - Screening Tool Metrics'!$C$3:$G$17,5,FALSE)/100))*L127)</f>
        <v>766.3826037947631</v>
      </c>
      <c r="O127" s="706">
        <f>IF($C127="other",$C$7*L127,(VLOOKUP($C127,'S3 - Screening Tool Metrics'!$C$3:$G$17,5,FALSE)/100)*L127)</f>
        <v>4210.1278104569446</v>
      </c>
      <c r="P127" s="706">
        <f t="shared" si="66"/>
        <v>48.503776618167564</v>
      </c>
      <c r="Q127" s="707">
        <f t="shared" si="95"/>
        <v>437802.1333333333</v>
      </c>
      <c r="R127" s="706">
        <f>VLOOKUP("*"&amp;$B127&amp;"*",'S4 - Summ PRS Characteristics'!$C$5:$Q$12,12,FALSE)*$J127</f>
        <v>2219.1923557159553</v>
      </c>
      <c r="S127" s="706">
        <f t="shared" si="103"/>
        <v>6460.8076442840447</v>
      </c>
      <c r="T127" s="706">
        <f>IF($C127="other",(1-$C119)*R127,(1-(VLOOKUP($C127,'S3 - Screening Tool Metrics'!$C$3:$G$17,5,FALSE)/100))*R127)</f>
        <v>341.75562278025717</v>
      </c>
      <c r="U127" s="706">
        <f>IF($C127="other",$C119*R127,(VLOOKUP($C127,'S3 - Screening Tool Metrics'!$C$3:$G$17,5,FALSE)/100)*R127)</f>
        <v>1877.436732935698</v>
      </c>
      <c r="V127" s="708">
        <f t="shared" si="96"/>
        <v>21.629455448567949</v>
      </c>
      <c r="W127" s="707">
        <f t="shared" si="97"/>
        <v>218901.06666666665</v>
      </c>
      <c r="X127" s="706">
        <f>VLOOKUP("*"&amp;$B127&amp;"*",'S4 - Summ PRS Characteristics'!$C$5:$Q$12,13,FALSE)*$J127</f>
        <v>1183.8494619366845</v>
      </c>
      <c r="Y127" s="706">
        <f t="shared" si="104"/>
        <v>7496.1505380633153</v>
      </c>
      <c r="Z127" s="706">
        <f>IF($C127="other",(1-$C119)*X127,(1-(VLOOKUP($C127,'S3 - Screening Tool Metrics'!$C$3:$G$17,5,FALSE)/100))*X127)</f>
        <v>182.31281713824944</v>
      </c>
      <c r="AA127" s="706">
        <f>IF($C127="other",$C119*X127,(VLOOKUP($C127,'S3 - Screening Tool Metrics'!$C$3:$G$17,5,FALSE)/100)*X127)</f>
        <v>1001.5366447984351</v>
      </c>
      <c r="AB127" s="708">
        <f t="shared" si="98"/>
        <v>11.538440608276902</v>
      </c>
      <c r="AC127" s="707">
        <f t="shared" si="99"/>
        <v>109450.53333333333</v>
      </c>
      <c r="AD127" s="706">
        <f>VLOOKUP("*"&amp;$B127&amp;"*",'S4 - Summ PRS Characteristics'!$C$5:$Q$12,14,FALSE)*$J127</f>
        <v>626.22687430908093</v>
      </c>
      <c r="AE127" s="706">
        <f t="shared" si="106"/>
        <v>8053.7731256909192</v>
      </c>
      <c r="AF127" s="706">
        <f>IF($C127="other",(1-$C119)*AD127,(1-(VLOOKUP($C127,'S3 - Screening Tool Metrics'!$C$3:$G$17,5,FALSE)/100))*AD127)</f>
        <v>96.438938643598476</v>
      </c>
      <c r="AG127" s="706">
        <f>IF($C127="other",$C119*AD127,(VLOOKUP($C127,'S3 - Screening Tool Metrics'!$C$3:$G$17,5,FALSE)/100)*AD127)</f>
        <v>529.78793566548245</v>
      </c>
      <c r="AH127" s="708">
        <f t="shared" si="100"/>
        <v>6.1035476459156968</v>
      </c>
      <c r="AI127" s="707">
        <f t="shared" si="101"/>
        <v>21890.106666666667</v>
      </c>
      <c r="AJ127" s="706">
        <f>VLOOKUP("*"&amp;$B127&amp;"*",'S4 - Summ PRS Characteristics'!$C$5:$Q$12,15,FALSE)*$J127</f>
        <v>139.89876757786487</v>
      </c>
      <c r="AK127" s="706">
        <f t="shared" si="105"/>
        <v>8540.1012324221356</v>
      </c>
      <c r="AL127" s="706">
        <f>IF($C127="other",(1-$C119)*AJ127,(1-(VLOOKUP($C127,'S3 - Screening Tool Metrics'!$C$3:$G$17,5,FALSE)/100))*AJ127)</f>
        <v>21.544410206991195</v>
      </c>
      <c r="AM127" s="706">
        <f>IF($C127="other",$C119*AJ127,(VLOOKUP($C127,'S3 - Screening Tool Metrics'!$C$3:$G$17,5,FALSE)/100)*AJ127)</f>
        <v>118.35435737087369</v>
      </c>
      <c r="AN127" s="709">
        <f t="shared" si="102"/>
        <v>1.3635294627980841</v>
      </c>
    </row>
    <row r="128" spans="2:40" ht="11" customHeight="1" x14ac:dyDescent="0.15">
      <c r="B128" s="700" t="s">
        <v>32</v>
      </c>
      <c r="C128" s="1082" t="str">
        <f>$C120</f>
        <v>Low dose CT</v>
      </c>
      <c r="D128" s="552" t="s">
        <v>200</v>
      </c>
      <c r="E128" s="710">
        <f>VLOOKUP($B128&amp;"_"&amp;$D128,'App5 - CRUK Inci Rates'!C:H,6,FALSE)</f>
        <v>74.762553006779655</v>
      </c>
      <c r="F128" s="711">
        <f>VLOOKUP($B128&amp;"_"&amp;$D128,'App5 - CRUK Inci Rates'!C:H,3,FALSE)</f>
        <v>67.955614708629497</v>
      </c>
      <c r="G128" s="712">
        <f>VLOOKUP($B128&amp;"_"&amp;$D128,'App5 - CRUK Inci Rates'!C:J,8,FALSE)</f>
        <v>24586669.333333336</v>
      </c>
      <c r="H128" s="713">
        <f>VLOOKUP($B128&amp;"_"&amp;$D128,'App5 - CRUK Inci Rates'!C:J,7,FALSE)</f>
        <v>12090277.333333334</v>
      </c>
      <c r="I128" s="713">
        <f>VLOOKUP($B128&amp;"_"&amp;$D128,'App5 - CRUK Inci Rates'!C:J,4,FALSE)</f>
        <v>12496392</v>
      </c>
      <c r="J128" s="709">
        <f>VLOOKUP($B128&amp;"_"&amp;$D128,'App5 - CRUK Inci Rates'!C:K,9,FALSE)</f>
        <v>17531</v>
      </c>
      <c r="K128" s="706">
        <f t="shared" si="64"/>
        <v>12293334.666666668</v>
      </c>
      <c r="L128" s="706">
        <f>VLOOKUP("*"&amp;$B128&amp;"*",'S4 - Summ PRS Characteristics'!$C$5:$Q$12,11,FALSE)*$J128</f>
        <v>10051.060376986947</v>
      </c>
      <c r="M128" s="706">
        <f t="shared" si="65"/>
        <v>7479.9396230130533</v>
      </c>
      <c r="N128" s="706">
        <f>IF($C128="other",(1-$C$7)*L128,(1-(VLOOKUP($C128,'S3 - Screening Tool Metrics'!$C$3:$G$17,5,FALSE)/100))*L128)</f>
        <v>1547.8632980559901</v>
      </c>
      <c r="O128" s="706">
        <f>IF($C128="other",$C$7*L128,(VLOOKUP($C128,'S3 - Screening Tool Metrics'!$C$3:$G$17,5,FALSE)/100)*L128)</f>
        <v>8503.1970789309562</v>
      </c>
      <c r="P128" s="706">
        <f t="shared" si="66"/>
        <v>48.503776618167564</v>
      </c>
      <c r="Q128" s="707">
        <f t="shared" si="95"/>
        <v>4917333.8666666672</v>
      </c>
      <c r="R128" s="706">
        <f>VLOOKUP("*"&amp;$B128&amp;"*",'S4 - Summ PRS Characteristics'!$C$5:$Q$12,12,FALSE)*$J128</f>
        <v>4482.1038235088035</v>
      </c>
      <c r="S128" s="706">
        <f t="shared" si="103"/>
        <v>13048.896176491196</v>
      </c>
      <c r="T128" s="706">
        <f>IF($C128="other",(1-$C119)*R128,(1-(VLOOKUP($C128,'S3 - Screening Tool Metrics'!$C$3:$G$17,5,FALSE)/100))*R128)</f>
        <v>690.24398882035587</v>
      </c>
      <c r="U128" s="706">
        <f>IF($C128="other",$C119*R128,(VLOOKUP($C128,'S3 - Screening Tool Metrics'!$C$3:$G$17,5,FALSE)/100)*R128)</f>
        <v>3791.8598346884478</v>
      </c>
      <c r="V128" s="708">
        <f t="shared" si="96"/>
        <v>21.629455448567953</v>
      </c>
      <c r="W128" s="707">
        <f t="shared" si="97"/>
        <v>2458666.9333333336</v>
      </c>
      <c r="X128" s="706">
        <f>VLOOKUP("*"&amp;$B128&amp;"*",'S4 - Summ PRS Characteristics'!$C$5:$Q$12,13,FALSE)*$J128</f>
        <v>2391.0213038262691</v>
      </c>
      <c r="Y128" s="706">
        <f t="shared" si="104"/>
        <v>15139.97869617373</v>
      </c>
      <c r="Z128" s="706">
        <f>IF($C128="other",(1-$C119)*X128,(1-(VLOOKUP($C128,'S3 - Screening Tool Metrics'!$C$3:$G$17,5,FALSE)/100))*X128)</f>
        <v>368.21728078924548</v>
      </c>
      <c r="AA128" s="706">
        <f>IF($C128="other",$C119*X128,(VLOOKUP($C128,'S3 - Screening Tool Metrics'!$C$3:$G$17,5,FALSE)/100)*X128)</f>
        <v>2022.8040230370236</v>
      </c>
      <c r="AB128" s="708">
        <f t="shared" si="98"/>
        <v>11.538440608276902</v>
      </c>
      <c r="AC128" s="707">
        <f t="shared" si="99"/>
        <v>1229333.4666666668</v>
      </c>
      <c r="AD128" s="706">
        <f>VLOOKUP("*"&amp;$B128&amp;"*",'S4 - Summ PRS Characteristics'!$C$5:$Q$12,14,FALSE)*$J128</f>
        <v>1264.7907066258638</v>
      </c>
      <c r="AE128" s="706">
        <f t="shared" si="106"/>
        <v>16266.209293374137</v>
      </c>
      <c r="AF128" s="706">
        <f>IF($C128="other",(1-$C119)*AD128,(1-(VLOOKUP($C128,'S3 - Screening Tool Metrics'!$C$3:$G$17,5,FALSE)/100))*AD128)</f>
        <v>194.77776882038305</v>
      </c>
      <c r="AG128" s="706">
        <f>IF($C128="other",$C119*AD128,(VLOOKUP($C128,'S3 - Screening Tool Metrics'!$C$3:$G$17,5,FALSE)/100)*AD128)</f>
        <v>1070.0129378054808</v>
      </c>
      <c r="AH128" s="708">
        <f t="shared" si="100"/>
        <v>6.1035476459156968</v>
      </c>
      <c r="AI128" s="707">
        <f t="shared" si="101"/>
        <v>245866.69333333336</v>
      </c>
      <c r="AJ128" s="706">
        <f>VLOOKUP("*"&amp;$B128&amp;"*",'S4 - Summ PRS Characteristics'!$C$5:$Q$12,15,FALSE)*$J128</f>
        <v>282.55360534649179</v>
      </c>
      <c r="AK128" s="706">
        <f t="shared" si="105"/>
        <v>17248.446394653507</v>
      </c>
      <c r="AL128" s="706">
        <f>IF($C128="other",(1-$C119)*AJ128,(1-(VLOOKUP($C128,'S3 - Screening Tool Metrics'!$C$3:$G$17,5,FALSE)/100))*AJ128)</f>
        <v>43.513255223359742</v>
      </c>
      <c r="AM128" s="706">
        <f>IF($C128="other",$C119*AJ128,(VLOOKUP($C128,'S3 - Screening Tool Metrics'!$C$3:$G$17,5,FALSE)/100)*AJ128)</f>
        <v>239.04035012313204</v>
      </c>
      <c r="AN128" s="709">
        <f t="shared" si="102"/>
        <v>1.3635294627980836</v>
      </c>
    </row>
    <row r="129" spans="2:40" ht="11" customHeight="1" x14ac:dyDescent="0.15">
      <c r="B129" s="700" t="s">
        <v>32</v>
      </c>
      <c r="C129" s="1082" t="str">
        <f>$C120</f>
        <v>Low dose CT</v>
      </c>
      <c r="D129" s="552" t="s">
        <v>201</v>
      </c>
      <c r="E129" s="710">
        <f>VLOOKUP($B129&amp;"_"&amp;$D129,'App5 - CRUK Inci Rates'!C:H,6,FALSE)</f>
        <v>11.420374791114012</v>
      </c>
      <c r="F129" s="711">
        <f>VLOOKUP($B129&amp;"_"&amp;$D129,'App5 - CRUK Inci Rates'!C:H,3,FALSE)</f>
        <v>10.481262340656587</v>
      </c>
      <c r="G129" s="712">
        <f>VLOOKUP($B129&amp;"_"&amp;$D129,'App5 - CRUK Inci Rates'!C:J,8,FALSE)</f>
        <v>8642767.333333334</v>
      </c>
      <c r="H129" s="713">
        <f>VLOOKUP($B129&amp;"_"&amp;$D129,'App5 - CRUK Inci Rates'!C:J,7,FALSE)</f>
        <v>4273064.666666667</v>
      </c>
      <c r="I129" s="713">
        <f>VLOOKUP($B129&amp;"_"&amp;$D129,'App5 - CRUK Inci Rates'!C:J,4,FALSE)</f>
        <v>4369702.666666667</v>
      </c>
      <c r="J129" s="709">
        <f>VLOOKUP($B129&amp;"_"&amp;$D129,'App5 - CRUK Inci Rates'!C:K,9,FALSE)</f>
        <v>946</v>
      </c>
      <c r="K129" s="706">
        <f t="shared" si="64"/>
        <v>4321383.666666667</v>
      </c>
      <c r="L129" s="706">
        <f>VLOOKUP("*"&amp;$B129&amp;"*",'S4 - Summ PRS Characteristics'!$C$5:$Q$12,11,FALSE)*$J129</f>
        <v>542.37083547028988</v>
      </c>
      <c r="M129" s="706">
        <f t="shared" si="65"/>
        <v>403.62916452971012</v>
      </c>
      <c r="N129" s="706">
        <f>IF($C129="other",(1-$C$7)*L129,(1-(VLOOKUP($C129,'S3 - Screening Tool Metrics'!$C$3:$G$17,5,FALSE)/100))*L129)</f>
        <v>83.525108662424657</v>
      </c>
      <c r="O129" s="706">
        <f>IF($C129="other",$C$7*L129,(VLOOKUP($C129,'S3 - Screening Tool Metrics'!$C$3:$G$17,5,FALSE)/100)*L129)</f>
        <v>458.84572680786522</v>
      </c>
      <c r="P129" s="706">
        <f t="shared" si="66"/>
        <v>48.503776618167571</v>
      </c>
      <c r="Q129" s="707">
        <f t="shared" si="95"/>
        <v>1728553.4666666668</v>
      </c>
      <c r="R129" s="706">
        <f>VLOOKUP("*"&amp;$B129&amp;"*",'S4 - Summ PRS Characteristics'!$C$5:$Q$12,12,FALSE)*$J129</f>
        <v>241.8612866943887</v>
      </c>
      <c r="S129" s="706">
        <f t="shared" si="103"/>
        <v>704.1387133056113</v>
      </c>
      <c r="T129" s="706">
        <f>IF($C129="other",(1-$C119)*R129,(1-(VLOOKUP($C129,'S3 - Screening Tool Metrics'!$C$3:$G$17,5,FALSE)/100))*R129)</f>
        <v>37.246638150935865</v>
      </c>
      <c r="U129" s="706">
        <f>IF($C129="other",$C119*R129,(VLOOKUP($C129,'S3 - Screening Tool Metrics'!$C$3:$G$17,5,FALSE)/100)*R129)</f>
        <v>204.61464854345283</v>
      </c>
      <c r="V129" s="708">
        <f t="shared" si="96"/>
        <v>21.629455448567953</v>
      </c>
      <c r="W129" s="707">
        <f t="shared" si="97"/>
        <v>864276.7333333334</v>
      </c>
      <c r="X129" s="706">
        <f>VLOOKUP("*"&amp;$B129&amp;"*",'S4 - Summ PRS Characteristics'!$C$5:$Q$12,13,FALSE)*$J129</f>
        <v>129.02322476867553</v>
      </c>
      <c r="Y129" s="706">
        <f t="shared" si="104"/>
        <v>816.9767752313245</v>
      </c>
      <c r="Z129" s="706">
        <f>IF($C129="other",(1-$C119)*X129,(1-(VLOOKUP($C129,'S3 - Screening Tool Metrics'!$C$3:$G$17,5,FALSE)/100))*X129)</f>
        <v>19.869576614376037</v>
      </c>
      <c r="AA129" s="706">
        <f>IF($C129="other",$C119*X129,(VLOOKUP($C129,'S3 - Screening Tool Metrics'!$C$3:$G$17,5,FALSE)/100)*X129)</f>
        <v>109.1536481542995</v>
      </c>
      <c r="AB129" s="708">
        <f t="shared" si="98"/>
        <v>11.538440608276904</v>
      </c>
      <c r="AC129" s="707">
        <f t="shared" si="99"/>
        <v>432138.3666666667</v>
      </c>
      <c r="AD129" s="706">
        <f>VLOOKUP("*"&amp;$B129&amp;"*",'S4 - Summ PRS Characteristics'!$C$5:$Q$12,14,FALSE)*$J129</f>
        <v>68.250071785298445</v>
      </c>
      <c r="AE129" s="706">
        <f t="shared" si="106"/>
        <v>877.74992821470153</v>
      </c>
      <c r="AF129" s="706">
        <f>IF($C129="other",(1-$C119)*AD129,(1-(VLOOKUP($C129,'S3 - Screening Tool Metrics'!$C$3:$G$17,5,FALSE)/100))*AD129)</f>
        <v>10.510511054935963</v>
      </c>
      <c r="AG129" s="706">
        <f>IF($C129="other",$C119*AD129,(VLOOKUP($C129,'S3 - Screening Tool Metrics'!$C$3:$G$17,5,FALSE)/100)*AD129)</f>
        <v>57.739560730362484</v>
      </c>
      <c r="AH129" s="708">
        <f t="shared" si="100"/>
        <v>6.1035476459156959</v>
      </c>
      <c r="AI129" s="707">
        <f t="shared" si="101"/>
        <v>86427.67333333334</v>
      </c>
      <c r="AJ129" s="706">
        <f>VLOOKUP("*"&amp;$B129&amp;"*",'S4 - Summ PRS Characteristics'!$C$5:$Q$12,15,FALSE)*$J129</f>
        <v>15.247031581642876</v>
      </c>
      <c r="AK129" s="706">
        <f t="shared" si="105"/>
        <v>930.75296841835711</v>
      </c>
      <c r="AL129" s="706">
        <f>IF($C129="other",(1-$C119)*AJ129,(1-(VLOOKUP($C129,'S3 - Screening Tool Metrics'!$C$3:$G$17,5,FALSE)/100))*AJ129)</f>
        <v>2.3480428635730033</v>
      </c>
      <c r="AM129" s="706">
        <f>IF($C129="other",$C119*AJ129,(VLOOKUP($C129,'S3 - Screening Tool Metrics'!$C$3:$G$17,5,FALSE)/100)*AJ129)</f>
        <v>12.898988718069873</v>
      </c>
      <c r="AN129" s="709">
        <f t="shared" si="102"/>
        <v>1.3635294627980838</v>
      </c>
    </row>
    <row r="130" spans="2:40" ht="11" customHeight="1" x14ac:dyDescent="0.15">
      <c r="B130" s="700" t="s">
        <v>32</v>
      </c>
      <c r="C130" s="1082" t="str">
        <f>$C120</f>
        <v>Low dose CT</v>
      </c>
      <c r="D130" s="552" t="s">
        <v>202</v>
      </c>
      <c r="E130" s="710">
        <f>VLOOKUP($B130&amp;"_"&amp;$D130,'App5 - CRUK Inci Rates'!C:H,6,FALSE)</f>
        <v>51.407550519379285</v>
      </c>
      <c r="F130" s="711">
        <f>VLOOKUP($B130&amp;"_"&amp;$D130,'App5 - CRUK Inci Rates'!C:H,3,FALSE)</f>
        <v>48.368479955661847</v>
      </c>
      <c r="G130" s="712">
        <f>VLOOKUP($B130&amp;"_"&amp;$D130,'App5 - CRUK Inci Rates'!C:J,8,FALSE)</f>
        <v>8839716.6666666679</v>
      </c>
      <c r="H130" s="713">
        <f>VLOOKUP($B130&amp;"_"&amp;$D130,'App5 - CRUK Inci Rates'!C:J,7,FALSE)</f>
        <v>4355391.333333333</v>
      </c>
      <c r="I130" s="713">
        <f>VLOOKUP($B130&amp;"_"&amp;$D130,'App5 - CRUK Inci Rates'!C:J,4,FALSE)</f>
        <v>4484325.333333334</v>
      </c>
      <c r="J130" s="709">
        <f>VLOOKUP($B130&amp;"_"&amp;$D130,'App5 - CRUK Inci Rates'!C:K,9,FALSE)</f>
        <v>4408</v>
      </c>
      <c r="K130" s="706">
        <f t="shared" si="64"/>
        <v>4419858.333333334</v>
      </c>
      <c r="L130" s="706">
        <f>VLOOKUP("*"&amp;$B130&amp;"*",'S4 - Summ PRS Characteristics'!$C$5:$Q$12,11,FALSE)*$J130</f>
        <v>2527.2416942421114</v>
      </c>
      <c r="M130" s="706">
        <f t="shared" si="65"/>
        <v>1880.7583057578886</v>
      </c>
      <c r="N130" s="706">
        <f>IF($C130="other",(1-$C$7)*L130,(1-(VLOOKUP($C130,'S3 - Screening Tool Metrics'!$C$3:$G$17,5,FALSE)/100))*L130)</f>
        <v>389.1952209132852</v>
      </c>
      <c r="O130" s="706">
        <f>IF($C130="other",$C$7*L130,(VLOOKUP($C130,'S3 - Screening Tool Metrics'!$C$3:$G$17,5,FALSE)/100)*L130)</f>
        <v>2138.0464733288263</v>
      </c>
      <c r="P130" s="706">
        <f t="shared" si="66"/>
        <v>48.503776618167564</v>
      </c>
      <c r="Q130" s="707">
        <f t="shared" si="95"/>
        <v>1767943.3333333337</v>
      </c>
      <c r="R130" s="706">
        <f>VLOOKUP("*"&amp;$B130&amp;"*",'S4 - Summ PRS Characteristics'!$C$5:$Q$12,12,FALSE)*$J130</f>
        <v>1126.9815557598999</v>
      </c>
      <c r="S130" s="706">
        <f t="shared" si="103"/>
        <v>3281.0184442401001</v>
      </c>
      <c r="T130" s="706">
        <f>IF($C130="other",(1-$C119)*R130,(1-(VLOOKUP($C130,'S3 - Screening Tool Metrics'!$C$3:$G$17,5,FALSE)/100))*R130)</f>
        <v>173.55515958702463</v>
      </c>
      <c r="U130" s="706">
        <f>IF($C130="other",$C119*R130,(VLOOKUP($C130,'S3 - Screening Tool Metrics'!$C$3:$G$17,5,FALSE)/100)*R130)</f>
        <v>953.42639617287534</v>
      </c>
      <c r="V130" s="708">
        <f t="shared" si="96"/>
        <v>21.629455448567953</v>
      </c>
      <c r="W130" s="707">
        <f t="shared" si="97"/>
        <v>883971.66666666686</v>
      </c>
      <c r="X130" s="706">
        <f>VLOOKUP("*"&amp;$B130&amp;"*",'S4 - Summ PRS Characteristics'!$C$5:$Q$12,13,FALSE)*$J130</f>
        <v>601.19912767475864</v>
      </c>
      <c r="Y130" s="706">
        <f t="shared" si="104"/>
        <v>3806.8008723252415</v>
      </c>
      <c r="Z130" s="706">
        <f>IF($C130="other",(1-$C119)*X130,(1-(VLOOKUP($C130,'S3 - Screening Tool Metrics'!$C$3:$G$17,5,FALSE)/100))*X130)</f>
        <v>92.584665661912851</v>
      </c>
      <c r="AA130" s="706">
        <f>IF($C130="other",$C119*X130,(VLOOKUP($C130,'S3 - Screening Tool Metrics'!$C$3:$G$17,5,FALSE)/100)*X130)</f>
        <v>508.61446201284582</v>
      </c>
      <c r="AB130" s="708">
        <f t="shared" si="98"/>
        <v>11.5384406082769</v>
      </c>
      <c r="AC130" s="707">
        <f t="shared" si="99"/>
        <v>441985.83333333343</v>
      </c>
      <c r="AD130" s="706">
        <f>VLOOKUP("*"&amp;$B130&amp;"*",'S4 - Summ PRS Characteristics'!$C$5:$Q$12,14,FALSE)*$J130</f>
        <v>318.01936197631665</v>
      </c>
      <c r="AE130" s="706">
        <f t="shared" si="106"/>
        <v>4089.9806380236832</v>
      </c>
      <c r="AF130" s="706">
        <f>IF($C130="other",(1-$C119)*AD130,(1-(VLOOKUP($C130,'S3 - Screening Tool Metrics'!$C$3:$G$17,5,FALSE)/100))*AD130)</f>
        <v>48.974981744352775</v>
      </c>
      <c r="AG130" s="706">
        <f>IF($C130="other",$C119*AD130,(VLOOKUP($C130,'S3 - Screening Tool Metrics'!$C$3:$G$17,5,FALSE)/100)*AD130)</f>
        <v>269.04438023196388</v>
      </c>
      <c r="AH130" s="708">
        <f t="shared" si="100"/>
        <v>6.1035476459156959</v>
      </c>
      <c r="AI130" s="707">
        <f t="shared" si="101"/>
        <v>88397.166666666686</v>
      </c>
      <c r="AJ130" s="706">
        <f>VLOOKUP("*"&amp;$B130&amp;"*",'S4 - Summ PRS Characteristics'!$C$5:$Q$12,15,FALSE)*$J130</f>
        <v>71.045364917422617</v>
      </c>
      <c r="AK130" s="706">
        <f t="shared" si="105"/>
        <v>4336.9546350825776</v>
      </c>
      <c r="AL130" s="706">
        <f>IF($C130="other",(1-$C119)*AJ130,(1-(VLOOKUP($C130,'S3 - Screening Tool Metrics'!$C$3:$G$17,5,FALSE)/100))*AJ130)</f>
        <v>10.940986197283085</v>
      </c>
      <c r="AM130" s="706">
        <f>IF($C130="other",$C119*AJ130,(VLOOKUP($C130,'S3 - Screening Tool Metrics'!$C$3:$G$17,5,FALSE)/100)*AJ130)</f>
        <v>60.104378720139529</v>
      </c>
      <c r="AN130" s="709">
        <f t="shared" si="102"/>
        <v>1.3635294627980836</v>
      </c>
    </row>
    <row r="131" spans="2:40" ht="11" customHeight="1" x14ac:dyDescent="0.15">
      <c r="B131" s="700" t="s">
        <v>32</v>
      </c>
      <c r="C131" s="1082" t="str">
        <f>$C120</f>
        <v>Low dose CT</v>
      </c>
      <c r="D131" s="552" t="s">
        <v>203</v>
      </c>
      <c r="E131" s="710">
        <f>VLOOKUP($B131&amp;"_"&amp;$D131,'App5 - CRUK Inci Rates'!C:H,6,FALSE)</f>
        <v>109.38681553928132</v>
      </c>
      <c r="F131" s="711">
        <f>VLOOKUP($B131&amp;"_"&amp;$D131,'App5 - CRUK Inci Rates'!C:H,3,FALSE)</f>
        <v>98.859445346912068</v>
      </c>
      <c r="G131" s="712">
        <f>VLOOKUP($B131&amp;"_"&amp;$D131,'App5 - CRUK Inci Rates'!C:J,8,FALSE)</f>
        <v>15943902</v>
      </c>
      <c r="H131" s="713">
        <f>VLOOKUP($B131&amp;"_"&amp;$D131,'App5 - CRUK Inci Rates'!C:J,7,FALSE)</f>
        <v>7817212.666666666</v>
      </c>
      <c r="I131" s="713">
        <f>VLOOKUP($B131&amp;"_"&amp;$D131,'App5 - CRUK Inci Rates'!C:J,4,FALSE)</f>
        <v>8126689.333333334</v>
      </c>
      <c r="J131" s="709">
        <f>VLOOKUP($B131&amp;"_"&amp;$D131,'App5 - CRUK Inci Rates'!C:K,9,FALSE)</f>
        <v>16585</v>
      </c>
      <c r="K131" s="706">
        <f t="shared" si="64"/>
        <v>7971951</v>
      </c>
      <c r="L131" s="706">
        <f>VLOOKUP("*"&amp;$B131&amp;"*",'S4 - Summ PRS Characteristics'!$C$5:$Q$12,11,FALSE)*$J131</f>
        <v>9508.6895415166564</v>
      </c>
      <c r="M131" s="706">
        <f t="shared" si="65"/>
        <v>7076.3104584833436</v>
      </c>
      <c r="N131" s="706">
        <f>IF($C131="other",(1-$C$7)*L131,(1-(VLOOKUP($C131,'S3 - Screening Tool Metrics'!$C$3:$G$17,5,FALSE)/100))*L131)</f>
        <v>1464.3381893935652</v>
      </c>
      <c r="O131" s="706">
        <f>IF($C131="other",$C$7*L131,(VLOOKUP($C131,'S3 - Screening Tool Metrics'!$C$3:$G$17,5,FALSE)/100)*L131)</f>
        <v>8044.3513521230907</v>
      </c>
      <c r="P131" s="706">
        <f t="shared" si="66"/>
        <v>48.503776618167564</v>
      </c>
      <c r="Q131" s="707">
        <f t="shared" si="95"/>
        <v>3188780.4000000004</v>
      </c>
      <c r="R131" s="706">
        <f>VLOOKUP("*"&amp;$B131&amp;"*",'S4 - Summ PRS Characteristics'!$C$5:$Q$12,12,FALSE)*$J131</f>
        <v>4240.242536814415</v>
      </c>
      <c r="S131" s="706">
        <f t="shared" si="103"/>
        <v>12344.757463185586</v>
      </c>
      <c r="T131" s="706">
        <f>IF($C131="other",(1-$C119)*R131,(1-(VLOOKUP($C131,'S3 - Screening Tool Metrics'!$C$3:$G$17,5,FALSE)/100))*R131)</f>
        <v>652.99735066942003</v>
      </c>
      <c r="U131" s="706">
        <f>IF($C131="other",$C119*R131,(VLOOKUP($C131,'S3 - Screening Tool Metrics'!$C$3:$G$17,5,FALSE)/100)*R131)</f>
        <v>3587.2451861449949</v>
      </c>
      <c r="V131" s="708">
        <f t="shared" si="96"/>
        <v>21.629455448567953</v>
      </c>
      <c r="W131" s="707">
        <f t="shared" si="97"/>
        <v>1594390.2000000002</v>
      </c>
      <c r="X131" s="706">
        <f>VLOOKUP("*"&amp;$B131&amp;"*",'S4 - Summ PRS Characteristics'!$C$5:$Q$12,13,FALSE)*$J131</f>
        <v>2261.9980790575937</v>
      </c>
      <c r="Y131" s="706">
        <f t="shared" si="104"/>
        <v>14323.001920942406</v>
      </c>
      <c r="Z131" s="706">
        <f>IF($C131="other",(1-$C119)*X131,(1-(VLOOKUP($C131,'S3 - Screening Tool Metrics'!$C$3:$G$17,5,FALSE)/100))*X131)</f>
        <v>348.34770417486948</v>
      </c>
      <c r="AA131" s="706">
        <f>IF($C131="other",$C119*X131,(VLOOKUP($C131,'S3 - Screening Tool Metrics'!$C$3:$G$17,5,FALSE)/100)*X131)</f>
        <v>1913.6503748827242</v>
      </c>
      <c r="AB131" s="708">
        <f t="shared" si="98"/>
        <v>11.538440608276902</v>
      </c>
      <c r="AC131" s="707">
        <f t="shared" si="99"/>
        <v>797195.10000000009</v>
      </c>
      <c r="AD131" s="706">
        <f>VLOOKUP("*"&amp;$B131&amp;"*",'S4 - Summ PRS Characteristics'!$C$5:$Q$12,14,FALSE)*$J131</f>
        <v>1196.5406348405652</v>
      </c>
      <c r="AE131" s="706">
        <f t="shared" si="106"/>
        <v>15388.459365159435</v>
      </c>
      <c r="AF131" s="706">
        <f>IF($C131="other",(1-$C119)*AD131,(1-(VLOOKUP($C131,'S3 - Screening Tool Metrics'!$C$3:$G$17,5,FALSE)/100))*AD131)</f>
        <v>184.26725776544708</v>
      </c>
      <c r="AG131" s="706">
        <f>IF($C131="other",$C119*AD131,(VLOOKUP($C131,'S3 - Screening Tool Metrics'!$C$3:$G$17,5,FALSE)/100)*AD131)</f>
        <v>1012.2733770751181</v>
      </c>
      <c r="AH131" s="708">
        <f t="shared" si="100"/>
        <v>6.103547645915695</v>
      </c>
      <c r="AI131" s="707">
        <f t="shared" si="101"/>
        <v>159439.01999999999</v>
      </c>
      <c r="AJ131" s="706">
        <f>VLOOKUP("*"&amp;$B131&amp;"*",'S4 - Summ PRS Characteristics'!$C$5:$Q$12,15,FALSE)*$J131</f>
        <v>267.30657376484896</v>
      </c>
      <c r="AK131" s="706">
        <f t="shared" si="105"/>
        <v>16317.693426235151</v>
      </c>
      <c r="AL131" s="706">
        <f>IF($C131="other",(1-$C119)*AJ131,(1-(VLOOKUP($C131,'S3 - Screening Tool Metrics'!$C$3:$G$17,5,FALSE)/100))*AJ131)</f>
        <v>41.16521235978675</v>
      </c>
      <c r="AM131" s="706">
        <f>IF($C131="other",$C119*AJ131,(VLOOKUP($C131,'S3 - Screening Tool Metrics'!$C$3:$G$17,5,FALSE)/100)*AJ131)</f>
        <v>226.14136140506221</v>
      </c>
      <c r="AN131" s="709">
        <f t="shared" si="102"/>
        <v>1.3635294627980838</v>
      </c>
    </row>
    <row r="132" spans="2:40" ht="11" customHeight="1" x14ac:dyDescent="0.15">
      <c r="B132" s="700" t="s">
        <v>32</v>
      </c>
      <c r="C132" s="1082" t="str">
        <f>$C121</f>
        <v>Low dose CT</v>
      </c>
      <c r="D132" s="552" t="s">
        <v>292</v>
      </c>
      <c r="E132" s="710">
        <f>VLOOKUP($B132&amp;"_"&amp;$D132,'App5 - CRUK Inci Rates'!C:H,6,FALSE)</f>
        <v>227.79891947987741</v>
      </c>
      <c r="F132" s="711">
        <f>VLOOKUP($B132&amp;"_"&amp;$D132,'App5 - CRUK Inci Rates'!C:H,3,FALSE)</f>
        <v>196.8176101532089</v>
      </c>
      <c r="G132" s="712">
        <f>VLOOKUP($B132&amp;"_"&amp;$D132,'App5 - CRUK Inci Rates'!C:J,8,FALSE)</f>
        <v>8881256.9603638444</v>
      </c>
      <c r="H132" s="713">
        <f>VLOOKUP($B132&amp;"_"&amp;$D132,'App5 - CRUK Inci Rates'!C:J,7,FALSE)</f>
        <v>4929786.333333333</v>
      </c>
      <c r="I132" s="713">
        <f>VLOOKUP($B132&amp;"_"&amp;$D132,'App5 - CRUK Inci Rates'!C:J,4,FALSE)</f>
        <v>5245973.666666667</v>
      </c>
      <c r="J132" s="709">
        <f>VLOOKUP($B132&amp;"_"&amp;$D132,'App5 - CRUK Inci Rates'!C:K,9,FALSE)</f>
        <v>21555</v>
      </c>
      <c r="K132" s="706">
        <f t="shared" si="64"/>
        <v>4440628.4801819222</v>
      </c>
      <c r="L132" s="706">
        <f>VLOOKUP("*"&amp;$B132&amp;"*",'S4 - Summ PRS Characteristics'!$C$5:$Q$12,11,FALSE)*$J132</f>
        <v>12358.14308516078</v>
      </c>
      <c r="M132" s="706">
        <f t="shared" si="65"/>
        <v>9196.8569148392198</v>
      </c>
      <c r="N132" s="706">
        <f>IF($C132="other",(1-$C$7)*L132,(1-(VLOOKUP($C132,'S3 - Screening Tool Metrics'!$C$3:$G$17,5,FALSE)/100))*L132)</f>
        <v>1903.1540351147605</v>
      </c>
      <c r="O132" s="706">
        <f>IF($C132="other",$C$7*L132,(VLOOKUP($C132,'S3 - Screening Tool Metrics'!$C$3:$G$17,5,FALSE)/100)*L132)</f>
        <v>10454.989050046021</v>
      </c>
      <c r="P132" s="706">
        <f t="shared" si="66"/>
        <v>48.503776618167578</v>
      </c>
      <c r="Q132" s="707">
        <f>$G132*Q$3</f>
        <v>1776251.3920727689</v>
      </c>
      <c r="R132" s="706">
        <f>VLOOKUP("*"&amp;$B132&amp;"*",'S4 - Summ PRS Characteristics'!$C$5:$Q$12,12,FALSE)*$J132</f>
        <v>5510.9091275872606</v>
      </c>
      <c r="S132" s="706">
        <f>$J132-R132</f>
        <v>16044.09087241274</v>
      </c>
      <c r="T132" s="706">
        <f>IF($C132="other",(1-$C120)*R132,(1-(VLOOKUP($C132,'S3 - Screening Tool Metrics'!$C$3:$G$17,5,FALSE)/100))*R132)</f>
        <v>848.68000564843828</v>
      </c>
      <c r="U132" s="706">
        <f>IF($C132="other",$C120*R132,(VLOOKUP($C132,'S3 - Screening Tool Metrics'!$C$3:$G$17,5,FALSE)/100)*R132)</f>
        <v>4662.2291219388226</v>
      </c>
      <c r="V132" s="708">
        <f t="shared" si="96"/>
        <v>21.629455448567956</v>
      </c>
      <c r="W132" s="707">
        <f>$G132*W$3</f>
        <v>888125.69603638444</v>
      </c>
      <c r="X132" s="706">
        <f>VLOOKUP("*"&amp;$B132&amp;"*",'S4 - Summ PRS Characteristics'!$C$5:$Q$12,13,FALSE)*$J132</f>
        <v>2939.847367747147</v>
      </c>
      <c r="Y132" s="706">
        <f t="shared" si="104"/>
        <v>18615.152632252852</v>
      </c>
      <c r="Z132" s="706">
        <f>IF($C132="other",(1-$C120)*X132,(1-(VLOOKUP($C132,'S3 - Screening Tool Metrics'!$C$3:$G$17,5,FALSE)/100))*X132)</f>
        <v>452.73649463306072</v>
      </c>
      <c r="AA132" s="706">
        <f>IF($C132="other",$C120*X132,(VLOOKUP($C132,'S3 - Screening Tool Metrics'!$C$3:$G$17,5,FALSE)/100)*X132)</f>
        <v>2487.1108731140862</v>
      </c>
      <c r="AB132" s="708">
        <f t="shared" si="98"/>
        <v>11.538440608276902</v>
      </c>
      <c r="AC132" s="707">
        <f t="shared" si="99"/>
        <v>444062.84801819222</v>
      </c>
      <c r="AD132" s="706">
        <f>VLOOKUP("*"&amp;$B132&amp;"*",'S4 - Summ PRS Characteristics'!$C$5:$Q$12,14,FALSE)*$J132</f>
        <v>1555.106022549797</v>
      </c>
      <c r="AE132" s="706">
        <f t="shared" si="106"/>
        <v>19999.893977450203</v>
      </c>
      <c r="AF132" s="706">
        <f>IF($C132="other",(1-$C120)*AD132,(1-(VLOOKUP($C132,'S3 - Screening Tool Metrics'!$C$3:$G$17,5,FALSE)/100))*AD132)</f>
        <v>239.48632747266879</v>
      </c>
      <c r="AG132" s="706">
        <f>IF($C132="other",$C120*AD132,(VLOOKUP($C132,'S3 - Screening Tool Metrics'!$C$3:$G$17,5,FALSE)/100)*AD132)</f>
        <v>1315.6196950771282</v>
      </c>
      <c r="AH132" s="708">
        <f t="shared" si="100"/>
        <v>6.103547645915695</v>
      </c>
      <c r="AI132" s="707">
        <f t="shared" si="101"/>
        <v>88812.569603638447</v>
      </c>
      <c r="AJ132" s="706">
        <f>VLOOKUP("*"&amp;$B132&amp;"*",'S4 - Summ PRS Characteristics'!$C$5:$Q$12,15,FALSE)*$J132</f>
        <v>347.40990036185218</v>
      </c>
      <c r="AK132" s="706">
        <f t="shared" si="105"/>
        <v>21207.590099638146</v>
      </c>
      <c r="AL132" s="706">
        <f>IF($C132="other",(1-$C120)*AJ132,(1-(VLOOKUP($C132,'S3 - Screening Tool Metrics'!$C$3:$G$17,5,FALSE)/100))*AJ132)</f>
        <v>53.501124655725242</v>
      </c>
      <c r="AM132" s="706">
        <f>IF($C132="other",$C120*AJ132,(VLOOKUP($C132,'S3 - Screening Tool Metrics'!$C$3:$G$17,5,FALSE)/100)*AJ132)</f>
        <v>293.90877570612696</v>
      </c>
      <c r="AN132" s="709">
        <f t="shared" si="102"/>
        <v>1.3635294627980838</v>
      </c>
    </row>
    <row r="133" spans="2:40" ht="11" customHeight="1" x14ac:dyDescent="0.15">
      <c r="B133" s="700" t="s">
        <v>32</v>
      </c>
      <c r="C133" s="1082" t="str">
        <f>$C120</f>
        <v>Low dose CT</v>
      </c>
      <c r="D133" s="552" t="s">
        <v>204</v>
      </c>
      <c r="E133" s="710">
        <f>VLOOKUP($B133&amp;"_"&amp;$D133,'App5 - CRUK Inci Rates'!C:H,6,FALSE)</f>
        <v>127.78732220417946</v>
      </c>
      <c r="F133" s="711">
        <f>VLOOKUP($B133&amp;"_"&amp;$D133,'App5 - CRUK Inci Rates'!C:H,3,FALSE)</f>
        <v>111.08750254471916</v>
      </c>
      <c r="G133" s="712">
        <f>VLOOKUP($B133&amp;"_"&amp;$D133,'App5 - CRUK Inci Rates'!C:J,8,FALSE)</f>
        <v>29847254.666666668</v>
      </c>
      <c r="H133" s="713">
        <f>VLOOKUP($B133&amp;"_"&amp;$D133,'App5 - CRUK Inci Rates'!C:J,7,FALSE)</f>
        <v>14565607.666666668</v>
      </c>
      <c r="I133" s="713">
        <f>VLOOKUP($B133&amp;"_"&amp;$D133,'App5 - CRUK Inci Rates'!C:J,4,FALSE)</f>
        <v>15281647</v>
      </c>
      <c r="J133" s="709">
        <f>VLOOKUP($B133&amp;"_"&amp;$D133,'App5 - CRUK Inci Rates'!C:K,9,FALSE)</f>
        <v>35589</v>
      </c>
      <c r="K133" s="706">
        <f t="shared" si="64"/>
        <v>14923627.333333334</v>
      </c>
      <c r="L133" s="706">
        <f>VLOOKUP("*"&amp;$B133&amp;"*",'S4 - Summ PRS Characteristics'!$C$5:$Q$12,11,FALSE)*$J133</f>
        <v>20404.26602912489</v>
      </c>
      <c r="M133" s="706">
        <f t="shared" si="65"/>
        <v>15184.73397087511</v>
      </c>
      <c r="N133" s="706">
        <f>IF($C133="other",(1-$C$7)*L133,(1-(VLOOKUP($C133,'S3 - Screening Tool Metrics'!$C$3:$G$17,5,FALSE)/100))*L133)</f>
        <v>3142.2569684852338</v>
      </c>
      <c r="O133" s="706">
        <f>IF($C133="other",$C$7*L133,(VLOOKUP($C133,'S3 - Screening Tool Metrics'!$C$3:$G$17,5,FALSE)/100)*L133)</f>
        <v>17262.009060639655</v>
      </c>
      <c r="P133" s="706">
        <f t="shared" si="66"/>
        <v>48.503776618167564</v>
      </c>
      <c r="Q133" s="707">
        <f t="shared" si="95"/>
        <v>5969450.9333333336</v>
      </c>
      <c r="R133" s="706">
        <f>VLOOKUP("*"&amp;$B133&amp;"*",'S4 - Summ PRS Characteristics'!$C$5:$Q$12,12,FALSE)*$J133</f>
        <v>9098.944325757504</v>
      </c>
      <c r="S133" s="706">
        <f t="shared" si="103"/>
        <v>26490.055674242496</v>
      </c>
      <c r="T133" s="706">
        <f>IF($C133="other",(1-$C119)*R133,(1-(VLOOKUP($C133,'S3 - Screening Tool Metrics'!$C$3:$G$17,5,FALSE)/100))*R133)</f>
        <v>1401.237426166656</v>
      </c>
      <c r="U133" s="706">
        <f>IF($C133="other",$C119*R133,(VLOOKUP($C133,'S3 - Screening Tool Metrics'!$C$3:$G$17,5,FALSE)/100)*R133)</f>
        <v>7697.7068995908485</v>
      </c>
      <c r="V133" s="708">
        <f t="shared" si="96"/>
        <v>21.629455448567953</v>
      </c>
      <c r="W133" s="707">
        <f t="shared" si="97"/>
        <v>2984725.4666666668</v>
      </c>
      <c r="X133" s="706">
        <f>VLOOKUP("*"&amp;$B133&amp;"*",'S4 - Summ PRS Characteristics'!$C$5:$Q$12,13,FALSE)*$J133</f>
        <v>4853.9191821272652</v>
      </c>
      <c r="Y133" s="706">
        <f t="shared" si="104"/>
        <v>30735.080817872735</v>
      </c>
      <c r="Z133" s="706">
        <f>IF($C133="other",(1-$C119)*X133,(1-(VLOOKUP($C133,'S3 - Screening Tool Metrics'!$C$3:$G$17,5,FALSE)/100))*X133)</f>
        <v>747.50355404759898</v>
      </c>
      <c r="AA133" s="706">
        <f>IF($C133="other",$C119*X133,(VLOOKUP($C133,'S3 - Screening Tool Metrics'!$C$3:$G$17,5,FALSE)/100)*X133)</f>
        <v>4106.415628079666</v>
      </c>
      <c r="AB133" s="708">
        <f t="shared" si="98"/>
        <v>11.5384406082769</v>
      </c>
      <c r="AC133" s="707">
        <f t="shared" si="99"/>
        <v>1492362.7333333334</v>
      </c>
      <c r="AD133" s="706">
        <f>VLOOKUP("*"&amp;$B133&amp;"*",'S4 - Summ PRS Characteristics'!$C$5:$Q$12,14,FALSE)*$J133</f>
        <v>2567.6023306204929</v>
      </c>
      <c r="AE133" s="706">
        <f t="shared" si="106"/>
        <v>33021.397669379505</v>
      </c>
      <c r="AF133" s="706">
        <f>IF($C133="other",(1-$C119)*AD133,(1-(VLOOKUP($C133,'S3 - Screening Tool Metrics'!$C$3:$G$17,5,FALSE)/100))*AD133)</f>
        <v>395.41075891555596</v>
      </c>
      <c r="AG133" s="706">
        <f>IF($C133="other",$C119*AD133,(VLOOKUP($C133,'S3 - Screening Tool Metrics'!$C$3:$G$17,5,FALSE)/100)*AD133)</f>
        <v>2172.1915717049369</v>
      </c>
      <c r="AH133" s="708">
        <f t="shared" si="100"/>
        <v>6.103547645915695</v>
      </c>
      <c r="AI133" s="707">
        <f t="shared" si="101"/>
        <v>298472.54666666669</v>
      </c>
      <c r="AJ133" s="706">
        <f>VLOOKUP("*"&amp;$B133&amp;"*",'S4 - Summ PRS Characteristics'!$C$5:$Q$12,15,FALSE)*$J133</f>
        <v>573.6010644387826</v>
      </c>
      <c r="AK133" s="706">
        <f t="shared" si="105"/>
        <v>35015.398935561214</v>
      </c>
      <c r="AL133" s="706">
        <f>IF($C133="other",(1-$C119)*AJ133,(1-(VLOOKUP($C133,'S3 - Screening Tool Metrics'!$C$3:$G$17,5,FALSE)/100))*AJ133)</f>
        <v>88.334563923572532</v>
      </c>
      <c r="AM133" s="706">
        <f>IF($C133="other",$C119*AJ133,(VLOOKUP($C133,'S3 - Screening Tool Metrics'!$C$3:$G$17,5,FALSE)/100)*AJ133)</f>
        <v>485.26650051521005</v>
      </c>
      <c r="AN133" s="709">
        <f t="shared" si="102"/>
        <v>1.3635294627980838</v>
      </c>
    </row>
    <row r="134" spans="2:40" ht="11" customHeight="1" thickBot="1" x14ac:dyDescent="0.2">
      <c r="B134" s="700" t="s">
        <v>32</v>
      </c>
      <c r="C134" s="1083" t="str">
        <f>$C121</f>
        <v>Low dose CT</v>
      </c>
      <c r="D134" s="552" t="s">
        <v>205</v>
      </c>
      <c r="E134" s="710">
        <f>VLOOKUP($B134&amp;"_"&amp;$D134,'App5 - CRUK Inci Rates'!C:H,6,FALSE)</f>
        <v>90.6</v>
      </c>
      <c r="F134" s="711">
        <f>VLOOKUP($B134&amp;"_"&amp;$D134,'App5 - CRUK Inci Rates'!C:H,3,FALSE)</f>
        <v>70.099999999999994</v>
      </c>
      <c r="G134" s="712">
        <f>VLOOKUP($B134&amp;"_"&amp;$D134,'App5 - CRUK Inci Rates'!C:J,8,FALSE)</f>
        <v>66041277.666666664</v>
      </c>
      <c r="H134" s="713">
        <f>VLOOKUP($B134&amp;"_"&amp;$D134,'App5 - CRUK Inci Rates'!C:J,7,FALSE)</f>
        <v>32583225.666666668</v>
      </c>
      <c r="I134" s="713">
        <f>VLOOKUP($B134&amp;"_"&amp;$D134,'App5 - CRUK Inci Rates'!C:J,4,FALSE)</f>
        <v>33458051.999999996</v>
      </c>
      <c r="J134" s="709">
        <f>VLOOKUP($B134&amp;"_"&amp;$D134,'App5 - CRUK Inci Rates'!C:K,9,FALSE)</f>
        <v>48549</v>
      </c>
      <c r="K134" s="714"/>
      <c r="L134" s="714"/>
      <c r="M134" s="714"/>
      <c r="N134" s="714"/>
      <c r="O134" s="714"/>
      <c r="P134" s="714"/>
      <c r="Q134" s="715"/>
      <c r="R134" s="716"/>
      <c r="S134" s="716"/>
      <c r="T134" s="716"/>
      <c r="U134" s="716"/>
      <c r="V134" s="717"/>
      <c r="W134" s="715"/>
      <c r="X134" s="716"/>
      <c r="Y134" s="716"/>
      <c r="Z134" s="716"/>
      <c r="AA134" s="716"/>
      <c r="AB134" s="717"/>
      <c r="AC134" s="716"/>
      <c r="AD134" s="716"/>
      <c r="AE134" s="716"/>
      <c r="AF134" s="716"/>
      <c r="AG134" s="716"/>
      <c r="AH134" s="717"/>
      <c r="AI134" s="715"/>
      <c r="AJ134" s="716"/>
      <c r="AK134" s="716"/>
      <c r="AL134" s="716"/>
      <c r="AM134" s="716"/>
      <c r="AN134" s="718"/>
    </row>
    <row r="135" spans="2:40" ht="21" customHeight="1" thickBot="1" x14ac:dyDescent="0.2">
      <c r="B135" s="686" t="s">
        <v>17</v>
      </c>
      <c r="C135" s="687"/>
      <c r="D135" s="688"/>
      <c r="E135" s="689"/>
      <c r="F135" s="690"/>
      <c r="G135" s="691"/>
      <c r="H135" s="692"/>
      <c r="I135" s="726"/>
      <c r="J135" s="727"/>
      <c r="K135" s="719"/>
      <c r="L135" s="719"/>
      <c r="M135" s="719"/>
      <c r="N135" s="719"/>
      <c r="O135" s="719"/>
      <c r="P135" s="719"/>
      <c r="Q135" s="695"/>
      <c r="R135" s="696"/>
      <c r="S135" s="696"/>
      <c r="T135" s="696"/>
      <c r="U135" s="696"/>
      <c r="V135" s="697"/>
      <c r="W135" s="695"/>
      <c r="X135" s="696"/>
      <c r="Y135" s="696"/>
      <c r="Z135" s="696"/>
      <c r="AA135" s="696"/>
      <c r="AB135" s="697"/>
      <c r="AC135" s="695"/>
      <c r="AD135" s="696"/>
      <c r="AE135" s="696"/>
      <c r="AF135" s="696"/>
      <c r="AG135" s="696"/>
      <c r="AH135" s="697"/>
      <c r="AI135" s="695"/>
      <c r="AJ135" s="696"/>
      <c r="AK135" s="696"/>
      <c r="AL135" s="696"/>
      <c r="AM135" s="696"/>
      <c r="AN135" s="699"/>
    </row>
    <row r="136" spans="2:40" ht="11" customHeight="1" x14ac:dyDescent="0.15">
      <c r="B136" s="728" t="s">
        <v>17</v>
      </c>
      <c r="C136" s="1084" t="s">
        <v>174</v>
      </c>
      <c r="D136" s="593" t="s">
        <v>192</v>
      </c>
      <c r="E136" s="701">
        <f>VLOOKUP($B136&amp;"_"&amp;$D136,'App5 - CRUK Inci Rates'!C:H,6,FALSE)</f>
        <v>12.3</v>
      </c>
      <c r="F136" s="702">
        <f>VLOOKUP($B136&amp;"_"&amp;$D136,'App5 - CRUK Inci Rates'!C:H,3,FALSE)</f>
        <v>0</v>
      </c>
      <c r="G136" s="703">
        <f>VLOOKUP($B136&amp;"_"&amp;$D136,'App5 - CRUK Inci Rates'!C:J,8,FALSE)</f>
        <v>2021384.6666666667</v>
      </c>
      <c r="H136" s="704">
        <f>VLOOKUP($B136&amp;"_"&amp;$D136,'App5 - CRUK Inci Rates'!C:J,7,FALSE)</f>
        <v>2021384.6666666667</v>
      </c>
      <c r="I136" s="704">
        <f>VLOOKUP($B136&amp;"_"&amp;$D136,'App5 - CRUK Inci Rates'!C:J,4,FALSE)</f>
        <v>0</v>
      </c>
      <c r="J136" s="705">
        <f>VLOOKUP($B136&amp;"_"&amp;$D136,'App5 - CRUK Inci Rates'!C:K,9,FALSE)</f>
        <v>248</v>
      </c>
      <c r="K136" s="729">
        <f t="shared" si="64"/>
        <v>1010692.3333333334</v>
      </c>
      <c r="L136" s="729">
        <f>VLOOKUP("*"&amp;$B136&amp;"*",'S4 - Summ PRS Characteristics'!$C$5:$Q$12,11,FALSE)*$J136</f>
        <v>192.08311269021036</v>
      </c>
      <c r="M136" s="729">
        <f t="shared" si="65"/>
        <v>55.916887309789644</v>
      </c>
      <c r="N136" s="729">
        <f>IF($C136="other",(1-$C$7)*L136,(1-(VLOOKUP($C136,'S3 - Screening Tool Metrics'!$C$3:$G$17,5,FALSE)/100))*L136)</f>
        <v>63.387427187769411</v>
      </c>
      <c r="O136" s="729">
        <f>IF($C136="other",$C$7*L136,(VLOOKUP($C136,'S3 - Screening Tool Metrics'!$C$3:$G$17,5,FALSE)/100)*L136)</f>
        <v>128.69568550244094</v>
      </c>
      <c r="P136" s="729">
        <f t="shared" si="66"/>
        <v>51.893421573564893</v>
      </c>
      <c r="Q136" s="730">
        <f t="shared" ref="Q136:Q150" si="107">$G136*Q$3</f>
        <v>404276.93333333335</v>
      </c>
      <c r="R136" s="729">
        <f>VLOOKUP("*"&amp;$B136&amp;"*",'S4 - Summ PRS Characteristics'!$C$5:$Q$12,12,FALSE)*$J136</f>
        <v>115.32670560439037</v>
      </c>
      <c r="S136" s="729">
        <f>$J136-R136</f>
        <v>132.67329439560962</v>
      </c>
      <c r="T136" s="729">
        <f>IF($C136="other",(1-$C135)*R136,(1-(VLOOKUP($C136,'S3 - Screening Tool Metrics'!$C$3:$G$17,5,FALSE)/100))*R136)</f>
        <v>38.057812849448815</v>
      </c>
      <c r="U136" s="729">
        <f>IF($C136="other",$C135*R136,(VLOOKUP($C136,'S3 - Screening Tool Metrics'!$C$3:$G$17,5,FALSE)/100)*R136)</f>
        <v>77.268892754941547</v>
      </c>
      <c r="V136" s="705">
        <f t="shared" ref="V136:V150" si="108">$U136/$J136*100</f>
        <v>31.156811594734496</v>
      </c>
      <c r="W136" s="730">
        <f t="shared" ref="W136:W150" si="109">$G136*W$3</f>
        <v>202138.46666666667</v>
      </c>
      <c r="X136" s="729">
        <f>VLOOKUP("*"&amp;$B136&amp;"*",'S4 - Summ PRS Characteristics'!$C$5:$Q$12,13,FALSE)*$J136</f>
        <v>74.115125171975635</v>
      </c>
      <c r="Y136" s="729">
        <f>$J136-X136</f>
        <v>173.88487482802435</v>
      </c>
      <c r="Z136" s="729">
        <f>IF($C136="other",(1-$C135)*X136,(1-(VLOOKUP($C136,'S3 - Screening Tool Metrics'!$C$3:$G$17,5,FALSE)/100))*X136)</f>
        <v>24.457991306751957</v>
      </c>
      <c r="AA136" s="729">
        <f>IF($C136="other",$C135*X136,(VLOOKUP($C136,'S3 - Screening Tool Metrics'!$C$3:$G$17,5,FALSE)/100)*X136)</f>
        <v>49.657133865223678</v>
      </c>
      <c r="AB136" s="705">
        <f t="shared" ref="AB136:AB150" si="110">$AA136/$J136*100</f>
        <v>20.023037848880517</v>
      </c>
      <c r="AC136" s="730">
        <f t="shared" ref="AC136:AC150" si="111">$G136*AC$3</f>
        <v>101069.23333333334</v>
      </c>
      <c r="AD136" s="729">
        <f>VLOOKUP("*"&amp;$B136&amp;"*",'S4 - Summ PRS Characteristics'!$C$5:$Q$12,14,FALSE)*$J136</f>
        <v>46.242605535816395</v>
      </c>
      <c r="AE136" s="729">
        <f>$J136-AD136</f>
        <v>201.75739446418362</v>
      </c>
      <c r="AF136" s="729">
        <f>IF($C136="other",(1-$C135)*AD136,(1-(VLOOKUP($C136,'S3 - Screening Tool Metrics'!$C$3:$G$17,5,FALSE)/100))*AD136)</f>
        <v>15.260059826819408</v>
      </c>
      <c r="AG136" s="729">
        <f>IF($C136="other",$C135*AD136,(VLOOKUP($C136,'S3 - Screening Tool Metrics'!$C$3:$G$17,5,FALSE)/100)*AD136)</f>
        <v>30.982545708996987</v>
      </c>
      <c r="AH136" s="705">
        <f t="shared" ref="AH136:AH150" si="112">$AG136/$J136*100</f>
        <v>12.49296197943427</v>
      </c>
      <c r="AI136" s="730">
        <f t="shared" ref="AI136:AI150" si="113">$G136*AI$3</f>
        <v>20213.846666666668</v>
      </c>
      <c r="AJ136" s="729">
        <f>VLOOKUP("*"&amp;$B136&amp;"*",'S4 - Summ PRS Characteristics'!$C$5:$Q$12,15,FALSE)*$J136</f>
        <v>14.363396393738878</v>
      </c>
      <c r="AK136" s="729">
        <f>$J136-AJ136</f>
        <v>233.63660360626113</v>
      </c>
      <c r="AL136" s="729">
        <f>IF($C136="other",(1-$C135)*AJ136,(1-(VLOOKUP($C136,'S3 - Screening Tool Metrics'!$C$3:$G$17,5,FALSE)/100))*AJ136)</f>
        <v>4.739920809933829</v>
      </c>
      <c r="AM136" s="729">
        <f>IF($C136="other",$C135*AJ136,(VLOOKUP($C136,'S3 - Screening Tool Metrics'!$C$3:$G$17,5,FALSE)/100)*AJ136)</f>
        <v>9.6234755838050479</v>
      </c>
      <c r="AN136" s="705">
        <f t="shared" ref="AN136:AN150" si="114">$AM136/$J136*100</f>
        <v>3.8804337031471965</v>
      </c>
    </row>
    <row r="137" spans="2:40" ht="11" customHeight="1" x14ac:dyDescent="0.15">
      <c r="B137" s="700" t="s">
        <v>17</v>
      </c>
      <c r="C137" s="1085" t="str">
        <f>$C136</f>
        <v>Semen assay</v>
      </c>
      <c r="D137" s="552" t="s">
        <v>193</v>
      </c>
      <c r="E137" s="710">
        <f>VLOOKUP($B137&amp;"_"&amp;$D137,'App5 - CRUK Inci Rates'!C:H,6,FALSE)</f>
        <v>9.4</v>
      </c>
      <c r="F137" s="711">
        <f>VLOOKUP($B137&amp;"_"&amp;$D137,'App5 - CRUK Inci Rates'!C:H,3,FALSE)</f>
        <v>0</v>
      </c>
      <c r="G137" s="712">
        <f>VLOOKUP($B137&amp;"_"&amp;$D137,'App5 - CRUK Inci Rates'!C:J,8,FALSE)</f>
        <v>2251680</v>
      </c>
      <c r="H137" s="713">
        <f>VLOOKUP($B137&amp;"_"&amp;$D137,'App5 - CRUK Inci Rates'!C:J,7,FALSE)</f>
        <v>2251680</v>
      </c>
      <c r="I137" s="713">
        <f>VLOOKUP($B137&amp;"_"&amp;$D137,'App5 - CRUK Inci Rates'!C:J,4,FALSE)</f>
        <v>0</v>
      </c>
      <c r="J137" s="709">
        <f>VLOOKUP($B137&amp;"_"&amp;$D137,'App5 - CRUK Inci Rates'!C:K,9,FALSE)</f>
        <v>211</v>
      </c>
      <c r="K137" s="706">
        <f t="shared" si="64"/>
        <v>1125840</v>
      </c>
      <c r="L137" s="706">
        <f>VLOOKUP("*"&amp;$B137&amp;"*",'S4 - Summ PRS Characteristics'!$C$5:$Q$12,11,FALSE)*$J137</f>
        <v>163.4255515227193</v>
      </c>
      <c r="M137" s="706">
        <f t="shared" si="65"/>
        <v>47.574448477280697</v>
      </c>
      <c r="N137" s="706">
        <f>IF($C137="other",(1-$C$7)*L137,(1-(VLOOKUP($C137,'S3 - Screening Tool Metrics'!$C$3:$G$17,5,FALSE)/100))*L137)</f>
        <v>53.930432002497362</v>
      </c>
      <c r="O137" s="706">
        <f>IF($C137="other",$C$7*L137,(VLOOKUP($C137,'S3 - Screening Tool Metrics'!$C$3:$G$17,5,FALSE)/100)*L137)</f>
        <v>109.49511952022193</v>
      </c>
      <c r="P137" s="706">
        <f t="shared" si="66"/>
        <v>51.8934215735649</v>
      </c>
      <c r="Q137" s="707">
        <f t="shared" si="107"/>
        <v>450336</v>
      </c>
      <c r="R137" s="706">
        <f>VLOOKUP("*"&amp;$B137&amp;"*",'S4 - Summ PRS Characteristics'!$C$5:$Q$12,12,FALSE)*$J137</f>
        <v>98.120705171477297</v>
      </c>
      <c r="S137" s="706">
        <f t="shared" ref="S137:S150" si="115">$J137-R137</f>
        <v>112.8792948285227</v>
      </c>
      <c r="T137" s="706">
        <f>IF($C137="other",(1-$C135)*R137,(1-(VLOOKUP($C137,'S3 - Screening Tool Metrics'!$C$3:$G$17,5,FALSE)/100))*R137)</f>
        <v>32.379832706587507</v>
      </c>
      <c r="U137" s="706">
        <f>IF($C137="other",$C135*R137,(VLOOKUP($C137,'S3 - Screening Tool Metrics'!$C$3:$G$17,5,FALSE)/100)*R137)</f>
        <v>65.74087246488979</v>
      </c>
      <c r="V137" s="709">
        <f t="shared" si="108"/>
        <v>31.156811594734496</v>
      </c>
      <c r="W137" s="707">
        <f t="shared" si="109"/>
        <v>225168</v>
      </c>
      <c r="X137" s="706">
        <f>VLOOKUP("*"&amp;$B137&amp;"*",'S4 - Summ PRS Characteristics'!$C$5:$Q$12,13,FALSE)*$J137</f>
        <v>63.057626658414755</v>
      </c>
      <c r="Y137" s="706">
        <f t="shared" ref="Y137:Y150" si="116">$J137-X137</f>
        <v>147.94237334158524</v>
      </c>
      <c r="Z137" s="706">
        <f>IF($C137="other",(1-$C135)*X137,(1-(VLOOKUP($C137,'S3 - Screening Tool Metrics'!$C$3:$G$17,5,FALSE)/100))*X137)</f>
        <v>20.809016797276868</v>
      </c>
      <c r="AA137" s="706">
        <f>IF($C137="other",$C135*X137,(VLOOKUP($C137,'S3 - Screening Tool Metrics'!$C$3:$G$17,5,FALSE)/100)*X137)</f>
        <v>42.248609861137886</v>
      </c>
      <c r="AB137" s="709">
        <f t="shared" si="110"/>
        <v>20.023037848880517</v>
      </c>
      <c r="AC137" s="707">
        <f t="shared" si="111"/>
        <v>112584</v>
      </c>
      <c r="AD137" s="706">
        <f>VLOOKUP("*"&amp;$B137&amp;"*",'S4 - Summ PRS Characteristics'!$C$5:$Q$12,14,FALSE)*$J137</f>
        <v>39.343507129263145</v>
      </c>
      <c r="AE137" s="706">
        <f>$J137-AD137</f>
        <v>171.65649287073686</v>
      </c>
      <c r="AF137" s="706">
        <f>IF($C137="other",(1-$C135)*AD137,(1-(VLOOKUP($C137,'S3 - Screening Tool Metrics'!$C$3:$G$17,5,FALSE)/100))*AD137)</f>
        <v>12.983357352656837</v>
      </c>
      <c r="AG137" s="706">
        <f>IF($C137="other",$C135*AD137,(VLOOKUP($C137,'S3 - Screening Tool Metrics'!$C$3:$G$17,5,FALSE)/100)*AD137)</f>
        <v>26.36014977660631</v>
      </c>
      <c r="AH137" s="709">
        <f t="shared" si="112"/>
        <v>12.49296197943427</v>
      </c>
      <c r="AI137" s="707">
        <f t="shared" si="113"/>
        <v>22516.799999999999</v>
      </c>
      <c r="AJ137" s="706">
        <f>VLOOKUP("*"&amp;$B137&amp;"*",'S4 - Summ PRS Characteristics'!$C$5:$Q$12,15,FALSE)*$J137</f>
        <v>12.220470318866544</v>
      </c>
      <c r="AK137" s="706">
        <f t="shared" ref="AK137:AK150" si="117">$J137-AJ137</f>
        <v>198.77952968113345</v>
      </c>
      <c r="AL137" s="706">
        <f>IF($C137="other",(1-$C135)*AJ137,(1-(VLOOKUP($C137,'S3 - Screening Tool Metrics'!$C$3:$G$17,5,FALSE)/100))*AJ137)</f>
        <v>4.0327552052259588</v>
      </c>
      <c r="AM137" s="706">
        <f>IF($C137="other",$C135*AJ137,(VLOOKUP($C137,'S3 - Screening Tool Metrics'!$C$3:$G$17,5,FALSE)/100)*AJ137)</f>
        <v>8.1877151136405857</v>
      </c>
      <c r="AN137" s="709">
        <f t="shared" si="114"/>
        <v>3.8804337031471974</v>
      </c>
    </row>
    <row r="138" spans="2:40" ht="11" customHeight="1" x14ac:dyDescent="0.15">
      <c r="B138" s="700" t="s">
        <v>17</v>
      </c>
      <c r="C138" s="1085" t="str">
        <f>$C136</f>
        <v>Semen assay</v>
      </c>
      <c r="D138" s="552" t="s">
        <v>194</v>
      </c>
      <c r="E138" s="710">
        <f>VLOOKUP($B138&amp;"_"&amp;$D138,'App5 - CRUK Inci Rates'!C:H,6,FALSE)</f>
        <v>7</v>
      </c>
      <c r="F138" s="711">
        <f>VLOOKUP($B138&amp;"_"&amp;$D138,'App5 - CRUK Inci Rates'!C:H,3,FALSE)</f>
        <v>0</v>
      </c>
      <c r="G138" s="712">
        <f>VLOOKUP($B138&amp;"_"&amp;$D138,'App5 - CRUK Inci Rates'!C:J,8,FALSE)</f>
        <v>2293472.6666666665</v>
      </c>
      <c r="H138" s="713">
        <f>VLOOKUP($B138&amp;"_"&amp;$D138,'App5 - CRUK Inci Rates'!C:J,7,FALSE)</f>
        <v>2293472.6666666665</v>
      </c>
      <c r="I138" s="713">
        <f>VLOOKUP($B138&amp;"_"&amp;$D138,'App5 - CRUK Inci Rates'!C:J,4,FALSE)</f>
        <v>0</v>
      </c>
      <c r="J138" s="709">
        <f>VLOOKUP($B138&amp;"_"&amp;$D138,'App5 - CRUK Inci Rates'!C:K,9,FALSE)</f>
        <v>160</v>
      </c>
      <c r="K138" s="706">
        <f t="shared" ref="K138:K150" si="118">$G138*$K$3</f>
        <v>1146736.3333333333</v>
      </c>
      <c r="L138" s="706">
        <f>VLOOKUP("*"&amp;$B138&amp;"*",'S4 - Summ PRS Characteristics'!$C$5:$Q$12,11,FALSE)*$J138</f>
        <v>123.92458883239378</v>
      </c>
      <c r="M138" s="706">
        <f t="shared" ref="M138:M150" si="119">$J138-$L138</f>
        <v>36.075411167606219</v>
      </c>
      <c r="N138" s="706">
        <f>IF($C138="other",(1-$C$7)*L138,(1-(VLOOKUP($C138,'S3 - Screening Tool Metrics'!$C$3:$G$17,5,FALSE)/100))*L138)</f>
        <v>40.895114314689941</v>
      </c>
      <c r="O138" s="706">
        <f>IF($C138="other",$C$7*L138,(VLOOKUP($C138,'S3 - Screening Tool Metrics'!$C$3:$G$17,5,FALSE)/100)*L138)</f>
        <v>83.029474517703832</v>
      </c>
      <c r="P138" s="706">
        <f t="shared" ref="P138:P150" si="120">O138/J138*100</f>
        <v>51.893421573564893</v>
      </c>
      <c r="Q138" s="707">
        <f t="shared" si="107"/>
        <v>458694.53333333333</v>
      </c>
      <c r="R138" s="706">
        <f>VLOOKUP("*"&amp;$B138&amp;"*",'S4 - Summ PRS Characteristics'!$C$5:$Q$12,12,FALSE)*$J138</f>
        <v>74.404326196380893</v>
      </c>
      <c r="S138" s="706">
        <f t="shared" si="115"/>
        <v>85.595673803619107</v>
      </c>
      <c r="T138" s="706">
        <f>IF($C138="other",(1-$C135)*R138,(1-(VLOOKUP($C138,'S3 - Screening Tool Metrics'!$C$3:$G$17,5,FALSE)/100))*R138)</f>
        <v>24.553427644805691</v>
      </c>
      <c r="U138" s="706">
        <f>IF($C138="other",$C135*R138,(VLOOKUP($C138,'S3 - Screening Tool Metrics'!$C$3:$G$17,5,FALSE)/100)*R138)</f>
        <v>49.850898551575199</v>
      </c>
      <c r="V138" s="709">
        <f t="shared" si="108"/>
        <v>31.156811594734503</v>
      </c>
      <c r="W138" s="707">
        <f t="shared" si="109"/>
        <v>229347.26666666666</v>
      </c>
      <c r="X138" s="706">
        <f>VLOOKUP("*"&amp;$B138&amp;"*",'S4 - Summ PRS Characteristics'!$C$5:$Q$12,13,FALSE)*$J138</f>
        <v>47.816209788371381</v>
      </c>
      <c r="Y138" s="706">
        <f t="shared" si="116"/>
        <v>112.18379021162862</v>
      </c>
      <c r="Z138" s="706">
        <f>IF($C138="other",(1-$C135)*X138,(1-(VLOOKUP($C138,'S3 - Screening Tool Metrics'!$C$3:$G$17,5,FALSE)/100))*X138)</f>
        <v>15.779349230162554</v>
      </c>
      <c r="AA138" s="706">
        <f>IF($C138="other",$C135*X138,(VLOOKUP($C138,'S3 - Screening Tool Metrics'!$C$3:$G$17,5,FALSE)/100)*X138)</f>
        <v>32.036860558208829</v>
      </c>
      <c r="AB138" s="709">
        <f t="shared" si="110"/>
        <v>20.023037848880517</v>
      </c>
      <c r="AC138" s="707">
        <f t="shared" si="111"/>
        <v>114673.63333333333</v>
      </c>
      <c r="AD138" s="706">
        <f>VLOOKUP("*"&amp;$B138&amp;"*",'S4 - Summ PRS Characteristics'!$C$5:$Q$12,14,FALSE)*$J138</f>
        <v>29.833939055365416</v>
      </c>
      <c r="AE138" s="706">
        <f t="shared" ref="AE138:AE150" si="121">$J138-AD138</f>
        <v>130.16606094463458</v>
      </c>
      <c r="AF138" s="706">
        <f>IF($C138="other",(1-$C135)*AD138,(1-(VLOOKUP($C138,'S3 - Screening Tool Metrics'!$C$3:$G$17,5,FALSE)/100))*AD138)</f>
        <v>9.8451998882705869</v>
      </c>
      <c r="AG138" s="706">
        <f>IF($C138="other",$C135*AD138,(VLOOKUP($C138,'S3 - Screening Tool Metrics'!$C$3:$G$17,5,FALSE)/100)*AD138)</f>
        <v>19.988739167094831</v>
      </c>
      <c r="AH138" s="709">
        <f t="shared" si="112"/>
        <v>12.49296197943427</v>
      </c>
      <c r="AI138" s="707">
        <f t="shared" si="113"/>
        <v>22934.726666666666</v>
      </c>
      <c r="AJ138" s="706">
        <f>VLOOKUP("*"&amp;$B138&amp;"*",'S4 - Summ PRS Characteristics'!$C$5:$Q$12,15,FALSE)*$J138</f>
        <v>9.2667073507992761</v>
      </c>
      <c r="AK138" s="706">
        <f t="shared" si="117"/>
        <v>150.73329264920073</v>
      </c>
      <c r="AL138" s="706">
        <f>IF($C138="other",(1-$C135)*AJ138,(1-(VLOOKUP($C138,'S3 - Screening Tool Metrics'!$C$3:$G$17,5,FALSE)/100))*AJ138)</f>
        <v>3.0580134257637606</v>
      </c>
      <c r="AM138" s="706">
        <f>IF($C138="other",$C135*AJ138,(VLOOKUP($C138,'S3 - Screening Tool Metrics'!$C$3:$G$17,5,FALSE)/100)*AJ138)</f>
        <v>6.2086939250355151</v>
      </c>
      <c r="AN138" s="709">
        <f t="shared" si="114"/>
        <v>3.8804337031471974</v>
      </c>
    </row>
    <row r="139" spans="2:40" ht="11" customHeight="1" x14ac:dyDescent="0.15">
      <c r="B139" s="700" t="s">
        <v>17</v>
      </c>
      <c r="C139" s="1085" t="str">
        <f>$C136</f>
        <v>Semen assay</v>
      </c>
      <c r="D139" s="552" t="s">
        <v>195</v>
      </c>
      <c r="E139" s="710">
        <f>VLOOKUP($B139&amp;"_"&amp;$D139,'App5 - CRUK Inci Rates'!C:H,6,FALSE)</f>
        <v>5.2</v>
      </c>
      <c r="F139" s="711">
        <f>VLOOKUP($B139&amp;"_"&amp;$D139,'App5 - CRUK Inci Rates'!C:H,3,FALSE)</f>
        <v>0</v>
      </c>
      <c r="G139" s="712">
        <f>VLOOKUP($B139&amp;"_"&amp;$D139,'App5 - CRUK Inci Rates'!C:J,8,FALSE)</f>
        <v>2061918.6666666667</v>
      </c>
      <c r="H139" s="713">
        <f>VLOOKUP($B139&amp;"_"&amp;$D139,'App5 - CRUK Inci Rates'!C:J,7,FALSE)</f>
        <v>2061918.6666666667</v>
      </c>
      <c r="I139" s="713">
        <f>VLOOKUP($B139&amp;"_"&amp;$D139,'App5 - CRUK Inci Rates'!C:J,4,FALSE)</f>
        <v>0</v>
      </c>
      <c r="J139" s="709">
        <f>VLOOKUP($B139&amp;"_"&amp;$D139,'App5 - CRUK Inci Rates'!C:K,9,FALSE)</f>
        <v>108</v>
      </c>
      <c r="K139" s="706">
        <f t="shared" si="118"/>
        <v>1030959.3333333334</v>
      </c>
      <c r="L139" s="706">
        <f>VLOOKUP("*"&amp;$B139&amp;"*",'S4 - Summ PRS Characteristics'!$C$5:$Q$12,11,FALSE)*$J139</f>
        <v>83.649097461865807</v>
      </c>
      <c r="M139" s="706">
        <f t="shared" si="119"/>
        <v>24.350902538134193</v>
      </c>
      <c r="N139" s="706">
        <f>IF($C139="other",(1-$C$7)*L139,(1-(VLOOKUP($C139,'S3 - Screening Tool Metrics'!$C$3:$G$17,5,FALSE)/100))*L139)</f>
        <v>27.604202162415714</v>
      </c>
      <c r="O139" s="706">
        <f>IF($C139="other",$C$7*L139,(VLOOKUP($C139,'S3 - Screening Tool Metrics'!$C$3:$G$17,5,FALSE)/100)*L139)</f>
        <v>56.044895299450097</v>
      </c>
      <c r="P139" s="706">
        <f t="shared" si="120"/>
        <v>51.8934215735649</v>
      </c>
      <c r="Q139" s="707">
        <f t="shared" si="107"/>
        <v>412383.7333333334</v>
      </c>
      <c r="R139" s="706">
        <f>VLOOKUP("*"&amp;$B139&amp;"*",'S4 - Summ PRS Characteristics'!$C$5:$Q$12,12,FALSE)*$J139</f>
        <v>50.222920182557097</v>
      </c>
      <c r="S139" s="706">
        <f t="shared" si="115"/>
        <v>57.777079817442903</v>
      </c>
      <c r="T139" s="706">
        <f>IF($C139="other",(1-$C135)*R139,(1-(VLOOKUP($C139,'S3 - Screening Tool Metrics'!$C$3:$G$17,5,FALSE)/100))*R139)</f>
        <v>16.573563660243838</v>
      </c>
      <c r="U139" s="706">
        <f>IF($C139="other",$C135*R139,(VLOOKUP($C139,'S3 - Screening Tool Metrics'!$C$3:$G$17,5,FALSE)/100)*R139)</f>
        <v>33.649356522313255</v>
      </c>
      <c r="V139" s="709">
        <f t="shared" si="108"/>
        <v>31.156811594734496</v>
      </c>
      <c r="W139" s="707">
        <f t="shared" si="109"/>
        <v>206191.8666666667</v>
      </c>
      <c r="X139" s="706">
        <f>VLOOKUP("*"&amp;$B139&amp;"*",'S4 - Summ PRS Characteristics'!$C$5:$Q$12,13,FALSE)*$J139</f>
        <v>32.275941607150678</v>
      </c>
      <c r="Y139" s="706">
        <f t="shared" si="116"/>
        <v>75.724058392849315</v>
      </c>
      <c r="Z139" s="706">
        <f>IF($C139="other",(1-$C135)*X139,(1-(VLOOKUP($C139,'S3 - Screening Tool Metrics'!$C$3:$G$17,5,FALSE)/100))*X139)</f>
        <v>10.651060730359722</v>
      </c>
      <c r="AA139" s="706">
        <f>IF($C139="other",$C135*X139,(VLOOKUP($C139,'S3 - Screening Tool Metrics'!$C$3:$G$17,5,FALSE)/100)*X139)</f>
        <v>21.624880876790954</v>
      </c>
      <c r="AB139" s="709">
        <f t="shared" si="110"/>
        <v>20.023037848880513</v>
      </c>
      <c r="AC139" s="707">
        <f t="shared" si="111"/>
        <v>103095.93333333335</v>
      </c>
      <c r="AD139" s="706">
        <f>VLOOKUP("*"&amp;$B139&amp;"*",'S4 - Summ PRS Characteristics'!$C$5:$Q$12,14,FALSE)*$J139</f>
        <v>20.137908862371656</v>
      </c>
      <c r="AE139" s="706">
        <f t="shared" si="121"/>
        <v>87.86209113762834</v>
      </c>
      <c r="AF139" s="706">
        <f>IF($C139="other",(1-$C135)*AD139,(1-(VLOOKUP($C139,'S3 - Screening Tool Metrics'!$C$3:$G$17,5,FALSE)/100))*AD139)</f>
        <v>6.6455099245826457</v>
      </c>
      <c r="AG139" s="706">
        <f>IF($C139="other",$C135*AD139,(VLOOKUP($C139,'S3 - Screening Tool Metrics'!$C$3:$G$17,5,FALSE)/100)*AD139)</f>
        <v>13.492398937789011</v>
      </c>
      <c r="AH139" s="709">
        <f t="shared" si="112"/>
        <v>12.49296197943427</v>
      </c>
      <c r="AI139" s="707">
        <f t="shared" si="113"/>
        <v>20619.186666666668</v>
      </c>
      <c r="AJ139" s="706">
        <f>VLOOKUP("*"&amp;$B139&amp;"*",'S4 - Summ PRS Characteristics'!$C$5:$Q$12,15,FALSE)*$J139</f>
        <v>6.2550274617895116</v>
      </c>
      <c r="AK139" s="706">
        <f t="shared" si="117"/>
        <v>101.74497253821049</v>
      </c>
      <c r="AL139" s="706">
        <f>IF($C139="other",(1-$C135)*AJ139,(1-(VLOOKUP($C139,'S3 - Screening Tool Metrics'!$C$3:$G$17,5,FALSE)/100))*AJ139)</f>
        <v>2.0641590623905386</v>
      </c>
      <c r="AM139" s="706">
        <f>IF($C139="other",$C135*AJ139,(VLOOKUP($C139,'S3 - Screening Tool Metrics'!$C$3:$G$17,5,FALSE)/100)*AJ139)</f>
        <v>4.1908683993989735</v>
      </c>
      <c r="AN139" s="709">
        <f t="shared" si="114"/>
        <v>3.8804337031471978</v>
      </c>
    </row>
    <row r="140" spans="2:40" ht="11" customHeight="1" x14ac:dyDescent="0.15">
      <c r="B140" s="700" t="s">
        <v>17</v>
      </c>
      <c r="C140" s="1085" t="str">
        <f>$C136</f>
        <v>Semen assay</v>
      </c>
      <c r="D140" s="552" t="s">
        <v>196</v>
      </c>
      <c r="E140" s="710">
        <f>VLOOKUP($B140&amp;"_"&amp;$D140,'App5 - CRUK Inci Rates'!C:H,6,FALSE)</f>
        <v>3</v>
      </c>
      <c r="F140" s="711">
        <f>VLOOKUP($B140&amp;"_"&amp;$D140,'App5 - CRUK Inci Rates'!C:H,3,FALSE)</f>
        <v>0</v>
      </c>
      <c r="G140" s="712">
        <f>VLOOKUP($B140&amp;"_"&amp;$D140,'App5 - CRUK Inci Rates'!C:J,8,FALSE)</f>
        <v>1764828</v>
      </c>
      <c r="H140" s="713">
        <f>VLOOKUP($B140&amp;"_"&amp;$D140,'App5 - CRUK Inci Rates'!C:J,7,FALSE)</f>
        <v>1764828</v>
      </c>
      <c r="I140" s="713">
        <f>VLOOKUP($B140&amp;"_"&amp;$D140,'App5 - CRUK Inci Rates'!C:J,4,FALSE)</f>
        <v>0</v>
      </c>
      <c r="J140" s="709">
        <f>VLOOKUP($B140&amp;"_"&amp;$D140,'App5 - CRUK Inci Rates'!C:K,9,FALSE)</f>
        <v>52</v>
      </c>
      <c r="K140" s="706">
        <f t="shared" si="118"/>
        <v>882414</v>
      </c>
      <c r="L140" s="706">
        <f>VLOOKUP("*"&amp;$B140&amp;"*",'S4 - Summ PRS Characteristics'!$C$5:$Q$12,11,FALSE)*$J140</f>
        <v>40.27549137052798</v>
      </c>
      <c r="M140" s="706">
        <f t="shared" si="119"/>
        <v>11.72450862947202</v>
      </c>
      <c r="N140" s="706">
        <f>IF($C140="other",(1-$C$7)*L140,(1-(VLOOKUP($C140,'S3 - Screening Tool Metrics'!$C$3:$G$17,5,FALSE)/100))*L140)</f>
        <v>13.290912152274231</v>
      </c>
      <c r="O140" s="706">
        <f>IF($C140="other",$C$7*L140,(VLOOKUP($C140,'S3 - Screening Tool Metrics'!$C$3:$G$17,5,FALSE)/100)*L140)</f>
        <v>26.984579218253749</v>
      </c>
      <c r="P140" s="706">
        <f t="shared" si="120"/>
        <v>51.8934215735649</v>
      </c>
      <c r="Q140" s="707">
        <f t="shared" si="107"/>
        <v>352965.60000000003</v>
      </c>
      <c r="R140" s="706">
        <f>VLOOKUP("*"&amp;$B140&amp;"*",'S4 - Summ PRS Characteristics'!$C$5:$Q$12,12,FALSE)*$J140</f>
        <v>24.181406013823789</v>
      </c>
      <c r="S140" s="706">
        <f t="shared" si="115"/>
        <v>27.818593986176211</v>
      </c>
      <c r="T140" s="706">
        <f>IF($C140="other",(1-$C135)*R140,(1-(VLOOKUP($C140,'S3 - Screening Tool Metrics'!$C$3:$G$17,5,FALSE)/100))*R140)</f>
        <v>7.9798639845618498</v>
      </c>
      <c r="U140" s="706">
        <f>IF($C140="other",$C135*R140,(VLOOKUP($C140,'S3 - Screening Tool Metrics'!$C$3:$G$17,5,FALSE)/100)*R140)</f>
        <v>16.20154202926194</v>
      </c>
      <c r="V140" s="709">
        <f t="shared" si="108"/>
        <v>31.156811594734503</v>
      </c>
      <c r="W140" s="707">
        <f t="shared" si="109"/>
        <v>176482.80000000002</v>
      </c>
      <c r="X140" s="706">
        <f>VLOOKUP("*"&amp;$B140&amp;"*",'S4 - Summ PRS Characteristics'!$C$5:$Q$12,13,FALSE)*$J140</f>
        <v>15.540268181220698</v>
      </c>
      <c r="Y140" s="706">
        <f t="shared" si="116"/>
        <v>36.459731818779304</v>
      </c>
      <c r="Z140" s="706">
        <f>IF($C140="other",(1-$C135)*X140,(1-(VLOOKUP($C140,'S3 - Screening Tool Metrics'!$C$3:$G$17,5,FALSE)/100))*X140)</f>
        <v>5.1282884998028297</v>
      </c>
      <c r="AA140" s="706">
        <f>IF($C140="other",$C135*X140,(VLOOKUP($C140,'S3 - Screening Tool Metrics'!$C$3:$G$17,5,FALSE)/100)*X140)</f>
        <v>10.411979681417868</v>
      </c>
      <c r="AB140" s="709">
        <f t="shared" si="110"/>
        <v>20.023037848880517</v>
      </c>
      <c r="AC140" s="707">
        <f t="shared" si="111"/>
        <v>88241.400000000009</v>
      </c>
      <c r="AD140" s="706">
        <f>VLOOKUP("*"&amp;$B140&amp;"*",'S4 - Summ PRS Characteristics'!$C$5:$Q$12,14,FALSE)*$J140</f>
        <v>9.69603019299376</v>
      </c>
      <c r="AE140" s="706">
        <f t="shared" si="121"/>
        <v>42.30396980700624</v>
      </c>
      <c r="AF140" s="706">
        <f>IF($C140="other",(1-$C135)*AD140,(1-(VLOOKUP($C140,'S3 - Screening Tool Metrics'!$C$3:$G$17,5,FALSE)/100))*AD140)</f>
        <v>3.1996899636879403</v>
      </c>
      <c r="AG140" s="706">
        <f>IF($C140="other",$C135*AD140,(VLOOKUP($C140,'S3 - Screening Tool Metrics'!$C$3:$G$17,5,FALSE)/100)*AD140)</f>
        <v>6.4963402293058197</v>
      </c>
      <c r="AH140" s="709">
        <f t="shared" si="112"/>
        <v>12.492961979434268</v>
      </c>
      <c r="AI140" s="707">
        <f t="shared" si="113"/>
        <v>17648.28</v>
      </c>
      <c r="AJ140" s="706">
        <f>VLOOKUP("*"&amp;$B140&amp;"*",'S4 - Summ PRS Characteristics'!$C$5:$Q$12,15,FALSE)*$J140</f>
        <v>3.0116798890097645</v>
      </c>
      <c r="AK140" s="706">
        <f t="shared" si="117"/>
        <v>48.988320110990237</v>
      </c>
      <c r="AL140" s="706">
        <f>IF($C140="other",(1-$C135)*AJ140,(1-(VLOOKUP($C140,'S3 - Screening Tool Metrics'!$C$3:$G$17,5,FALSE)/100))*AJ140)</f>
        <v>0.99385436337322219</v>
      </c>
      <c r="AM140" s="706">
        <f>IF($C140="other",$C135*AJ140,(VLOOKUP($C140,'S3 - Screening Tool Metrics'!$C$3:$G$17,5,FALSE)/100)*AJ140)</f>
        <v>2.0178255256365425</v>
      </c>
      <c r="AN140" s="709">
        <f t="shared" si="114"/>
        <v>3.8804337031471974</v>
      </c>
    </row>
    <row r="141" spans="2:40" ht="11" customHeight="1" x14ac:dyDescent="0.15">
      <c r="B141" s="700" t="s">
        <v>17</v>
      </c>
      <c r="C141" s="1085" t="str">
        <f>$C136</f>
        <v>Semen assay</v>
      </c>
      <c r="D141" s="552" t="s">
        <v>197</v>
      </c>
      <c r="E141" s="710">
        <f>VLOOKUP($B141&amp;"_"&amp;$D141,'App5 - CRUK Inci Rates'!C:H,6,FALSE)</f>
        <v>2.4</v>
      </c>
      <c r="F141" s="711">
        <f>VLOOKUP($B141&amp;"_"&amp;$D141,'App5 - CRUK Inci Rates'!C:H,3,FALSE)</f>
        <v>0</v>
      </c>
      <c r="G141" s="712">
        <f>VLOOKUP($B141&amp;"_"&amp;$D141,'App5 - CRUK Inci Rates'!C:J,8,FALSE)</f>
        <v>1696993.3333333333</v>
      </c>
      <c r="H141" s="713">
        <f>VLOOKUP($B141&amp;"_"&amp;$D141,'App5 - CRUK Inci Rates'!C:J,7,FALSE)</f>
        <v>1696993.3333333333</v>
      </c>
      <c r="I141" s="713">
        <f>VLOOKUP($B141&amp;"_"&amp;$D141,'App5 - CRUK Inci Rates'!C:J,4,FALSE)</f>
        <v>0</v>
      </c>
      <c r="J141" s="709">
        <f>VLOOKUP($B141&amp;"_"&amp;$D141,'App5 - CRUK Inci Rates'!C:K,9,FALSE)</f>
        <v>41</v>
      </c>
      <c r="K141" s="706">
        <f t="shared" si="118"/>
        <v>848496.66666666663</v>
      </c>
      <c r="L141" s="706">
        <f>VLOOKUP("*"&amp;$B141&amp;"*",'S4 - Summ PRS Characteristics'!$C$5:$Q$12,11,FALSE)*$J141</f>
        <v>31.755675888300907</v>
      </c>
      <c r="M141" s="706">
        <f t="shared" si="119"/>
        <v>9.2443241116990933</v>
      </c>
      <c r="N141" s="706">
        <f>IF($C141="other",(1-$C$7)*L141,(1-(VLOOKUP($C141,'S3 - Screening Tool Metrics'!$C$3:$G$17,5,FALSE)/100))*L141)</f>
        <v>10.479373043139297</v>
      </c>
      <c r="O141" s="706">
        <f>IF($C141="other",$C$7*L141,(VLOOKUP($C141,'S3 - Screening Tool Metrics'!$C$3:$G$17,5,FALSE)/100)*L141)</f>
        <v>21.276302845161609</v>
      </c>
      <c r="P141" s="706">
        <f t="shared" si="120"/>
        <v>51.8934215735649</v>
      </c>
      <c r="Q141" s="707">
        <f t="shared" si="107"/>
        <v>339398.66666666669</v>
      </c>
      <c r="R141" s="706">
        <f>VLOOKUP("*"&amp;$B141&amp;"*",'S4 - Summ PRS Characteristics'!$C$5:$Q$12,12,FALSE)*$J141</f>
        <v>19.066108587822601</v>
      </c>
      <c r="S141" s="706">
        <f t="shared" si="115"/>
        <v>21.933891412177399</v>
      </c>
      <c r="T141" s="706">
        <f>IF($C141="other",(1-$C135)*R141,(1-(VLOOKUP($C141,'S3 - Screening Tool Metrics'!$C$3:$G$17,5,FALSE)/100))*R141)</f>
        <v>6.2918158339814578</v>
      </c>
      <c r="U141" s="706">
        <f>IF($C141="other",$C135*R141,(VLOOKUP($C141,'S3 - Screening Tool Metrics'!$C$3:$G$17,5,FALSE)/100)*R141)</f>
        <v>12.774292753841143</v>
      </c>
      <c r="V141" s="709">
        <f t="shared" si="108"/>
        <v>31.156811594734496</v>
      </c>
      <c r="W141" s="707">
        <f t="shared" si="109"/>
        <v>169699.33333333334</v>
      </c>
      <c r="X141" s="706">
        <f>VLOOKUP("*"&amp;$B141&amp;"*",'S4 - Summ PRS Characteristics'!$C$5:$Q$12,13,FALSE)*$J141</f>
        <v>12.252903758270165</v>
      </c>
      <c r="Y141" s="706">
        <f t="shared" si="116"/>
        <v>28.747096241729835</v>
      </c>
      <c r="Z141" s="706">
        <f>IF($C141="other",(1-$C135)*X141,(1-(VLOOKUP($C141,'S3 - Screening Tool Metrics'!$C$3:$G$17,5,FALSE)/100))*X141)</f>
        <v>4.0434582402291541</v>
      </c>
      <c r="AA141" s="706">
        <f>IF($C141="other",$C135*X141,(VLOOKUP($C141,'S3 - Screening Tool Metrics'!$C$3:$G$17,5,FALSE)/100)*X141)</f>
        <v>8.2094455180410115</v>
      </c>
      <c r="AB141" s="709">
        <f t="shared" si="110"/>
        <v>20.023037848880517</v>
      </c>
      <c r="AC141" s="707">
        <f t="shared" si="111"/>
        <v>84849.666666666672</v>
      </c>
      <c r="AD141" s="706">
        <f>VLOOKUP("*"&amp;$B141&amp;"*",'S4 - Summ PRS Characteristics'!$C$5:$Q$12,14,FALSE)*$J141</f>
        <v>7.6449468829373881</v>
      </c>
      <c r="AE141" s="706">
        <f t="shared" si="121"/>
        <v>33.35505311706261</v>
      </c>
      <c r="AF141" s="706">
        <f>IF($C141="other",(1-$C135)*AD141,(1-(VLOOKUP($C141,'S3 - Screening Tool Metrics'!$C$3:$G$17,5,FALSE)/100))*AD141)</f>
        <v>2.522832471369338</v>
      </c>
      <c r="AG141" s="706">
        <f>IF($C141="other",$C135*AD141,(VLOOKUP($C141,'S3 - Screening Tool Metrics'!$C$3:$G$17,5,FALSE)/100)*AD141)</f>
        <v>5.1221144115680506</v>
      </c>
      <c r="AH141" s="709">
        <f t="shared" si="112"/>
        <v>12.49296197943427</v>
      </c>
      <c r="AI141" s="707">
        <f t="shared" si="113"/>
        <v>16969.933333333334</v>
      </c>
      <c r="AJ141" s="706">
        <f>VLOOKUP("*"&amp;$B141&amp;"*",'S4 - Summ PRS Characteristics'!$C$5:$Q$12,15,FALSE)*$J141</f>
        <v>2.3745937586423143</v>
      </c>
      <c r="AK141" s="706">
        <f t="shared" si="117"/>
        <v>38.625406241357688</v>
      </c>
      <c r="AL141" s="706">
        <f>IF($C141="other",(1-$C135)*AJ141,(1-(VLOOKUP($C141,'S3 - Screening Tool Metrics'!$C$3:$G$17,5,FALSE)/100))*AJ141)</f>
        <v>0.78361594035196358</v>
      </c>
      <c r="AM141" s="706">
        <f>IF($C141="other",$C135*AJ141,(VLOOKUP($C141,'S3 - Screening Tool Metrics'!$C$3:$G$17,5,FALSE)/100)*AJ141)</f>
        <v>1.5909778182903507</v>
      </c>
      <c r="AN141" s="709">
        <f t="shared" si="114"/>
        <v>3.8804337031471965</v>
      </c>
    </row>
    <row r="142" spans="2:40" ht="11" customHeight="1" x14ac:dyDescent="0.15">
      <c r="B142" s="700" t="s">
        <v>17</v>
      </c>
      <c r="C142" s="1085" t="str">
        <f>$C136</f>
        <v>Semen assay</v>
      </c>
      <c r="D142" s="552" t="s">
        <v>198</v>
      </c>
      <c r="E142" s="710">
        <f>VLOOKUP($B142&amp;"_"&amp;$D142,'App5 - CRUK Inci Rates'!C:H,6,FALSE)</f>
        <v>2.4</v>
      </c>
      <c r="F142" s="711">
        <f>VLOOKUP($B142&amp;"_"&amp;$D142,'App5 - CRUK Inci Rates'!C:H,3,FALSE)</f>
        <v>0</v>
      </c>
      <c r="G142" s="712">
        <f>VLOOKUP($B142&amp;"_"&amp;$D142,'App5 - CRUK Inci Rates'!C:J,8,FALSE)</f>
        <v>1467965</v>
      </c>
      <c r="H142" s="713">
        <f>VLOOKUP($B142&amp;"_"&amp;$D142,'App5 - CRUK Inci Rates'!C:J,7,FALSE)</f>
        <v>1467965</v>
      </c>
      <c r="I142" s="713">
        <f>VLOOKUP($B142&amp;"_"&amp;$D142,'App5 - CRUK Inci Rates'!C:J,4,FALSE)</f>
        <v>0</v>
      </c>
      <c r="J142" s="709">
        <f>VLOOKUP($B142&amp;"_"&amp;$D142,'App5 - CRUK Inci Rates'!C:K,9,FALSE)</f>
        <v>35</v>
      </c>
      <c r="K142" s="706">
        <f t="shared" si="118"/>
        <v>733982.5</v>
      </c>
      <c r="L142" s="706">
        <f>VLOOKUP("*"&amp;$B142&amp;"*",'S4 - Summ PRS Characteristics'!$C$5:$Q$12,11,FALSE)*$J142</f>
        <v>27.108503807086141</v>
      </c>
      <c r="M142" s="706">
        <f t="shared" si="119"/>
        <v>7.8914961929138592</v>
      </c>
      <c r="N142" s="706">
        <f>IF($C142="other",(1-$C$7)*L142,(1-(VLOOKUP($C142,'S3 - Screening Tool Metrics'!$C$3:$G$17,5,FALSE)/100))*L142)</f>
        <v>8.9458062563384253</v>
      </c>
      <c r="O142" s="706">
        <f>IF($C142="other",$C$7*L142,(VLOOKUP($C142,'S3 - Screening Tool Metrics'!$C$3:$G$17,5,FALSE)/100)*L142)</f>
        <v>18.162697550747716</v>
      </c>
      <c r="P142" s="706">
        <f t="shared" si="120"/>
        <v>51.8934215735649</v>
      </c>
      <c r="Q142" s="707">
        <f t="shared" si="107"/>
        <v>293593</v>
      </c>
      <c r="R142" s="706">
        <f>VLOOKUP("*"&amp;$B142&amp;"*",'S4 - Summ PRS Characteristics'!$C$5:$Q$12,12,FALSE)*$J142</f>
        <v>16.27594635545832</v>
      </c>
      <c r="S142" s="706">
        <f t="shared" si="115"/>
        <v>18.72405364454168</v>
      </c>
      <c r="T142" s="706">
        <f>IF($C142="other",(1-$C135)*R142,(1-(VLOOKUP($C142,'S3 - Screening Tool Metrics'!$C$3:$G$17,5,FALSE)/100))*R142)</f>
        <v>5.3710622973012452</v>
      </c>
      <c r="U142" s="706">
        <f>IF($C142="other",$C135*R142,(VLOOKUP($C142,'S3 - Screening Tool Metrics'!$C$3:$G$17,5,FALSE)/100)*R142)</f>
        <v>10.904884058157075</v>
      </c>
      <c r="V142" s="709">
        <f t="shared" si="108"/>
        <v>31.156811594734503</v>
      </c>
      <c r="W142" s="707">
        <f t="shared" si="109"/>
        <v>146796.5</v>
      </c>
      <c r="X142" s="706">
        <f>VLOOKUP("*"&amp;$B142&amp;"*",'S4 - Summ PRS Characteristics'!$C$5:$Q$12,13,FALSE)*$J142</f>
        <v>10.459795891206239</v>
      </c>
      <c r="Y142" s="706">
        <f t="shared" si="116"/>
        <v>24.540204108793759</v>
      </c>
      <c r="Z142" s="706">
        <f>IF($C142="other",(1-$C135)*X142,(1-(VLOOKUP($C142,'S3 - Screening Tool Metrics'!$C$3:$G$17,5,FALSE)/100))*X142)</f>
        <v>3.4517326440980587</v>
      </c>
      <c r="AA142" s="706">
        <f>IF($C142="other",$C135*X142,(VLOOKUP($C142,'S3 - Screening Tool Metrics'!$C$3:$G$17,5,FALSE)/100)*X142)</f>
        <v>7.008063247108181</v>
      </c>
      <c r="AB142" s="709">
        <f t="shared" si="110"/>
        <v>20.023037848880517</v>
      </c>
      <c r="AC142" s="707">
        <f t="shared" si="111"/>
        <v>73398.25</v>
      </c>
      <c r="AD142" s="706">
        <f>VLOOKUP("*"&amp;$B142&amp;"*",'S4 - Summ PRS Characteristics'!$C$5:$Q$12,14,FALSE)*$J142</f>
        <v>6.5261741683611847</v>
      </c>
      <c r="AE142" s="706">
        <f t="shared" si="121"/>
        <v>28.473825831638816</v>
      </c>
      <c r="AF142" s="706">
        <f>IF($C142="other",(1-$C135)*AD142,(1-(VLOOKUP($C142,'S3 - Screening Tool Metrics'!$C$3:$G$17,5,FALSE)/100))*AD142)</f>
        <v>2.1536374755591905</v>
      </c>
      <c r="AG142" s="706">
        <f>IF($C142="other",$C135*AD142,(VLOOKUP($C142,'S3 - Screening Tool Metrics'!$C$3:$G$17,5,FALSE)/100)*AD142)</f>
        <v>4.3725366928019938</v>
      </c>
      <c r="AH142" s="709">
        <f t="shared" si="112"/>
        <v>12.492961979434268</v>
      </c>
      <c r="AI142" s="707">
        <f t="shared" si="113"/>
        <v>14679.65</v>
      </c>
      <c r="AJ142" s="706">
        <f>VLOOKUP("*"&amp;$B142&amp;"*",'S4 - Summ PRS Characteristics'!$C$5:$Q$12,15,FALSE)*$J142</f>
        <v>2.0270922329873415</v>
      </c>
      <c r="AK142" s="706">
        <f t="shared" si="117"/>
        <v>32.972907767012657</v>
      </c>
      <c r="AL142" s="706">
        <f>IF($C142="other",(1-$C135)*AJ142,(1-(VLOOKUP($C142,'S3 - Screening Tool Metrics'!$C$3:$G$17,5,FALSE)/100))*AJ142)</f>
        <v>0.66894043688582261</v>
      </c>
      <c r="AM142" s="706">
        <f>IF($C142="other",$C135*AJ142,(VLOOKUP($C142,'S3 - Screening Tool Metrics'!$C$3:$G$17,5,FALSE)/100)*AJ142)</f>
        <v>1.3581517961015188</v>
      </c>
      <c r="AN142" s="709">
        <f t="shared" si="114"/>
        <v>3.8804337031471965</v>
      </c>
    </row>
    <row r="143" spans="2:40" ht="11" customHeight="1" x14ac:dyDescent="0.15">
      <c r="B143" s="700" t="s">
        <v>17</v>
      </c>
      <c r="C143" s="1085" t="str">
        <f>$C136</f>
        <v>Semen assay</v>
      </c>
      <c r="D143" s="552" t="s">
        <v>199</v>
      </c>
      <c r="E143" s="710">
        <f>VLOOKUP($B143&amp;"_"&amp;$D143,'App5 - CRUK Inci Rates'!C:H,6,FALSE)</f>
        <v>1.4</v>
      </c>
      <c r="F143" s="711">
        <f>VLOOKUP($B143&amp;"_"&amp;$D143,'App5 - CRUK Inci Rates'!C:H,3,FALSE)</f>
        <v>0</v>
      </c>
      <c r="G143" s="712">
        <f>VLOOKUP($B143&amp;"_"&amp;$D143,'App5 - CRUK Inci Rates'!C:J,8,FALSE)</f>
        <v>1007365.3333333334</v>
      </c>
      <c r="H143" s="713">
        <f>VLOOKUP($B143&amp;"_"&amp;$D143,'App5 - CRUK Inci Rates'!C:J,7,FALSE)</f>
        <v>1007365.3333333334</v>
      </c>
      <c r="I143" s="713">
        <f>VLOOKUP($B143&amp;"_"&amp;$D143,'App5 - CRUK Inci Rates'!C:J,4,FALSE)</f>
        <v>0</v>
      </c>
      <c r="J143" s="709">
        <f>VLOOKUP($B143&amp;"_"&amp;$D143,'App5 - CRUK Inci Rates'!C:K,9,FALSE)</f>
        <v>14</v>
      </c>
      <c r="K143" s="706">
        <f t="shared" si="118"/>
        <v>503682.66666666669</v>
      </c>
      <c r="L143" s="706">
        <f>VLOOKUP("*"&amp;$B143&amp;"*",'S4 - Summ PRS Characteristics'!$C$5:$Q$12,11,FALSE)*$J143</f>
        <v>10.843401522834455</v>
      </c>
      <c r="M143" s="706">
        <f t="shared" si="119"/>
        <v>3.1565984771655451</v>
      </c>
      <c r="N143" s="706">
        <f>IF($C143="other",(1-$C$7)*L143,(1-(VLOOKUP($C143,'S3 - Screening Tool Metrics'!$C$3:$G$17,5,FALSE)/100))*L143)</f>
        <v>3.5783225025353698</v>
      </c>
      <c r="O143" s="706">
        <f>IF($C143="other",$C$7*L143,(VLOOKUP($C143,'S3 - Screening Tool Metrics'!$C$3:$G$17,5,FALSE)/100)*L143)</f>
        <v>7.2650790202990851</v>
      </c>
      <c r="P143" s="706">
        <f t="shared" si="120"/>
        <v>51.893421573564893</v>
      </c>
      <c r="Q143" s="707">
        <f t="shared" si="107"/>
        <v>201473.06666666668</v>
      </c>
      <c r="R143" s="706">
        <f>VLOOKUP("*"&amp;$B143&amp;"*",'S4 - Summ PRS Characteristics'!$C$5:$Q$12,12,FALSE)*$J143</f>
        <v>6.5103785421833278</v>
      </c>
      <c r="S143" s="706">
        <f t="shared" si="115"/>
        <v>7.4896214578166722</v>
      </c>
      <c r="T143" s="706">
        <f>IF($C143="other",(1-$C135)*R143,(1-(VLOOKUP($C143,'S3 - Screening Tool Metrics'!$C$3:$G$17,5,FALSE)/100))*R143)</f>
        <v>2.1484249189204978</v>
      </c>
      <c r="U143" s="706">
        <f>IF($C143="other",$C135*R143,(VLOOKUP($C143,'S3 - Screening Tool Metrics'!$C$3:$G$17,5,FALSE)/100)*R143)</f>
        <v>4.3619536232628295</v>
      </c>
      <c r="V143" s="709">
        <f t="shared" si="108"/>
        <v>31.156811594734496</v>
      </c>
      <c r="W143" s="707">
        <f t="shared" si="109"/>
        <v>100736.53333333334</v>
      </c>
      <c r="X143" s="706">
        <f>VLOOKUP("*"&amp;$B143&amp;"*",'S4 - Summ PRS Characteristics'!$C$5:$Q$12,13,FALSE)*$J143</f>
        <v>4.1839183564824953</v>
      </c>
      <c r="Y143" s="706">
        <f t="shared" si="116"/>
        <v>9.8160816435175047</v>
      </c>
      <c r="Z143" s="706">
        <f>IF($C143="other",(1-$C135)*X143,(1-(VLOOKUP($C143,'S3 - Screening Tool Metrics'!$C$3:$G$17,5,FALSE)/100))*X143)</f>
        <v>1.3806930576392233</v>
      </c>
      <c r="AA143" s="706">
        <f>IF($C143="other",$C135*X143,(VLOOKUP($C143,'S3 - Screening Tool Metrics'!$C$3:$G$17,5,FALSE)/100)*X143)</f>
        <v>2.8032252988432722</v>
      </c>
      <c r="AB143" s="709">
        <f t="shared" si="110"/>
        <v>20.023037848880517</v>
      </c>
      <c r="AC143" s="707">
        <f t="shared" si="111"/>
        <v>50368.26666666667</v>
      </c>
      <c r="AD143" s="706">
        <f>VLOOKUP("*"&amp;$B143&amp;"*",'S4 - Summ PRS Characteristics'!$C$5:$Q$12,14,FALSE)*$J143</f>
        <v>2.6104696673444741</v>
      </c>
      <c r="AE143" s="706">
        <f t="shared" si="121"/>
        <v>11.389530332655525</v>
      </c>
      <c r="AF143" s="706">
        <f>IF($C143="other",(1-$C135)*AD143,(1-(VLOOKUP($C143,'S3 - Screening Tool Metrics'!$C$3:$G$17,5,FALSE)/100))*AD143)</f>
        <v>0.86145499022367633</v>
      </c>
      <c r="AG143" s="706">
        <f>IF($C143="other",$C135*AD143,(VLOOKUP($C143,'S3 - Screening Tool Metrics'!$C$3:$G$17,5,FALSE)/100)*AD143)</f>
        <v>1.7490146771207977</v>
      </c>
      <c r="AH143" s="709">
        <f t="shared" si="112"/>
        <v>12.49296197943427</v>
      </c>
      <c r="AI143" s="707">
        <f t="shared" si="113"/>
        <v>10073.653333333334</v>
      </c>
      <c r="AJ143" s="706">
        <f>VLOOKUP("*"&amp;$B143&amp;"*",'S4 - Summ PRS Characteristics'!$C$5:$Q$12,15,FALSE)*$J143</f>
        <v>0.81083689319493668</v>
      </c>
      <c r="AK143" s="706">
        <f t="shared" si="117"/>
        <v>13.189163106805063</v>
      </c>
      <c r="AL143" s="706">
        <f>IF($C143="other",(1-$C135)*AJ143,(1-(VLOOKUP($C143,'S3 - Screening Tool Metrics'!$C$3:$G$17,5,FALSE)/100))*AJ143)</f>
        <v>0.2675761747543291</v>
      </c>
      <c r="AM143" s="706">
        <f>IF($C143="other",$C135*AJ143,(VLOOKUP($C143,'S3 - Screening Tool Metrics'!$C$3:$G$17,5,FALSE)/100)*AJ143)</f>
        <v>0.54326071844060764</v>
      </c>
      <c r="AN143" s="709">
        <f t="shared" si="114"/>
        <v>3.8804337031471974</v>
      </c>
    </row>
    <row r="144" spans="2:40" ht="11" customHeight="1" x14ac:dyDescent="0.15">
      <c r="B144" s="700" t="s">
        <v>17</v>
      </c>
      <c r="C144" s="1085" t="str">
        <f>$C136</f>
        <v>Semen assay</v>
      </c>
      <c r="D144" s="552" t="s">
        <v>206</v>
      </c>
      <c r="E144" s="710">
        <f>VLOOKUP($B144&amp;"_"&amp;$D144,'App5 - CRUK Inci Rates'!C:H,6,FALSE)</f>
        <v>16.008675806590755</v>
      </c>
      <c r="F144" s="711">
        <f>VLOOKUP($B144&amp;"_"&amp;$D144,'App5 - CRUK Inci Rates'!C:H,3,FALSE)</f>
        <v>0</v>
      </c>
      <c r="G144" s="712">
        <f>VLOOKUP($B144&amp;"_"&amp;$D144,'App5 - CRUK Inci Rates'!C:J,8,FALSE)</f>
        <v>8782737.666666666</v>
      </c>
      <c r="H144" s="713">
        <f>VLOOKUP($B144&amp;"_"&amp;$D144,'App5 - CRUK Inci Rates'!C:J,7,FALSE)</f>
        <v>8782737.666666666</v>
      </c>
      <c r="I144" s="713">
        <f>VLOOKUP($B144&amp;"_"&amp;$D144,'App5 - CRUK Inci Rates'!C:J,4,FALSE)</f>
        <v>0</v>
      </c>
      <c r="J144" s="709">
        <f>VLOOKUP($B144&amp;"_"&amp;$D144,'App5 - CRUK Inci Rates'!C:K,9,FALSE)</f>
        <v>1406</v>
      </c>
      <c r="K144" s="706">
        <f t="shared" si="118"/>
        <v>4391368.833333333</v>
      </c>
      <c r="L144" s="706">
        <f>VLOOKUP("*"&amp;$B144&amp;"*",'S4 - Summ PRS Characteristics'!$C$5:$Q$12,11,FALSE)*$J144</f>
        <v>1088.9873243646603</v>
      </c>
      <c r="M144" s="706">
        <f t="shared" si="119"/>
        <v>317.01267563533975</v>
      </c>
      <c r="N144" s="706">
        <f>IF($C144="other",(1-$C$7)*L144,(1-(VLOOKUP($C144,'S3 - Screening Tool Metrics'!$C$3:$G$17,5,FALSE)/100))*L144)</f>
        <v>359.36581704033784</v>
      </c>
      <c r="O144" s="706">
        <f>IF($C144="other",$C$7*L144,(VLOOKUP($C144,'S3 - Screening Tool Metrics'!$C$3:$G$17,5,FALSE)/100)*L144)</f>
        <v>729.62150732432247</v>
      </c>
      <c r="P144" s="706">
        <f t="shared" si="120"/>
        <v>51.8934215735649</v>
      </c>
      <c r="Q144" s="707">
        <f t="shared" si="107"/>
        <v>1756547.5333333332</v>
      </c>
      <c r="R144" s="706">
        <f>VLOOKUP("*"&amp;$B144&amp;"*",'S4 - Summ PRS Characteristics'!$C$5:$Q$12,12,FALSE)*$J144</f>
        <v>653.82801645069708</v>
      </c>
      <c r="S144" s="706">
        <f t="shared" si="115"/>
        <v>752.17198354930292</v>
      </c>
      <c r="T144" s="706">
        <f>IF($C144="other",(1-$C135)*R144,(1-(VLOOKUP($C144,'S3 - Screening Tool Metrics'!$C$3:$G$17,5,FALSE)/100))*R144)</f>
        <v>215.76324542873002</v>
      </c>
      <c r="U144" s="706">
        <f>IF($C144="other",$C135*R144,(VLOOKUP($C144,'S3 - Screening Tool Metrics'!$C$3:$G$17,5,FALSE)/100)*R144)</f>
        <v>438.06477102196709</v>
      </c>
      <c r="V144" s="709">
        <f t="shared" si="108"/>
        <v>31.156811594734503</v>
      </c>
      <c r="W144" s="707">
        <f t="shared" si="109"/>
        <v>878273.7666666666</v>
      </c>
      <c r="X144" s="706">
        <f>VLOOKUP("*"&amp;$B144&amp;"*",'S4 - Summ PRS Characteristics'!$C$5:$Q$12,13,FALSE)*$J144</f>
        <v>420.18494351531348</v>
      </c>
      <c r="Y144" s="706">
        <f t="shared" si="116"/>
        <v>985.81505648468647</v>
      </c>
      <c r="Z144" s="706">
        <f>IF($C144="other",(1-$C135)*X144,(1-(VLOOKUP($C144,'S3 - Screening Tool Metrics'!$C$3:$G$17,5,FALSE)/100))*X144)</f>
        <v>138.66103136005344</v>
      </c>
      <c r="AA144" s="706">
        <f>IF($C144="other",$C135*X144,(VLOOKUP($C144,'S3 - Screening Tool Metrics'!$C$3:$G$17,5,FALSE)/100)*X144)</f>
        <v>281.52391215526006</v>
      </c>
      <c r="AB144" s="709">
        <f t="shared" si="110"/>
        <v>20.023037848880517</v>
      </c>
      <c r="AC144" s="707">
        <f t="shared" si="111"/>
        <v>439136.8833333333</v>
      </c>
      <c r="AD144" s="706">
        <f>VLOOKUP("*"&amp;$B144&amp;"*",'S4 - Summ PRS Characteristics'!$C$5:$Q$12,14,FALSE)*$J144</f>
        <v>262.16573944902359</v>
      </c>
      <c r="AE144" s="706">
        <f t="shared" si="121"/>
        <v>1143.8342605509765</v>
      </c>
      <c r="AF144" s="706">
        <f>IF($C144="other",(1-$C135)*AD144,(1-(VLOOKUP($C144,'S3 - Screening Tool Metrics'!$C$3:$G$17,5,FALSE)/100))*AD144)</f>
        <v>86.514694018177778</v>
      </c>
      <c r="AG144" s="706">
        <f>IF($C144="other",$C135*AD144,(VLOOKUP($C144,'S3 - Screening Tool Metrics'!$C$3:$G$17,5,FALSE)/100)*AD144)</f>
        <v>175.65104543084581</v>
      </c>
      <c r="AH144" s="709">
        <f t="shared" si="112"/>
        <v>12.492961979434268</v>
      </c>
      <c r="AI144" s="707">
        <f t="shared" si="113"/>
        <v>87827.376666666663</v>
      </c>
      <c r="AJ144" s="706">
        <f>VLOOKUP("*"&amp;$B144&amp;"*",'S4 - Summ PRS Characteristics'!$C$5:$Q$12,15,FALSE)*$J144</f>
        <v>81.431190845148635</v>
      </c>
      <c r="AK144" s="706">
        <f t="shared" si="117"/>
        <v>1324.5688091548514</v>
      </c>
      <c r="AL144" s="706">
        <f>IF($C144="other",(1-$C135)*AJ144,(1-(VLOOKUP($C144,'S3 - Screening Tool Metrics'!$C$3:$G$17,5,FALSE)/100))*AJ144)</f>
        <v>26.872292978899047</v>
      </c>
      <c r="AM144" s="706">
        <f>IF($C144="other",$C135*AJ144,(VLOOKUP($C144,'S3 - Screening Tool Metrics'!$C$3:$G$17,5,FALSE)/100)*AJ144)</f>
        <v>54.558897866249588</v>
      </c>
      <c r="AN144" s="709">
        <f t="shared" si="114"/>
        <v>3.8804337031471965</v>
      </c>
    </row>
    <row r="145" spans="2:40" ht="11" customHeight="1" x14ac:dyDescent="0.15">
      <c r="B145" s="700" t="s">
        <v>17</v>
      </c>
      <c r="C145" s="1085" t="str">
        <f>$C136</f>
        <v>Semen assay</v>
      </c>
      <c r="D145" s="552" t="s">
        <v>200</v>
      </c>
      <c r="E145" s="710">
        <f>VLOOKUP($B145&amp;"_"&amp;$D145,'App5 - CRUK Inci Rates'!C:H,6,FALSE)</f>
        <v>6.782309267126819</v>
      </c>
      <c r="F145" s="711">
        <f>VLOOKUP($B145&amp;"_"&amp;$D145,'App5 - CRUK Inci Rates'!C:H,3,FALSE)</f>
        <v>0</v>
      </c>
      <c r="G145" s="712">
        <f>VLOOKUP($B145&amp;"_"&amp;$D145,'App5 - CRUK Inci Rates'!C:J,8,FALSE)</f>
        <v>12090277.333333334</v>
      </c>
      <c r="H145" s="713">
        <f>VLOOKUP($B145&amp;"_"&amp;$D145,'App5 - CRUK Inci Rates'!C:J,7,FALSE)</f>
        <v>12090277.333333334</v>
      </c>
      <c r="I145" s="713">
        <f>VLOOKUP($B145&amp;"_"&amp;$D145,'App5 - CRUK Inci Rates'!C:J,4,FALSE)</f>
        <v>0</v>
      </c>
      <c r="J145" s="709">
        <f>VLOOKUP($B145&amp;"_"&amp;$D145,'App5 - CRUK Inci Rates'!C:K,9,FALSE)</f>
        <v>820</v>
      </c>
      <c r="K145" s="706">
        <f t="shared" si="118"/>
        <v>6045138.666666667</v>
      </c>
      <c r="L145" s="706">
        <f>VLOOKUP("*"&amp;$B145&amp;"*",'S4 - Summ PRS Characteristics'!$C$5:$Q$12,11,FALSE)*$J145</f>
        <v>635.11351776601816</v>
      </c>
      <c r="M145" s="706">
        <f t="shared" si="119"/>
        <v>184.88648223398184</v>
      </c>
      <c r="N145" s="706">
        <f>IF($C145="other",(1-$C$7)*L145,(1-(VLOOKUP($C145,'S3 - Screening Tool Metrics'!$C$3:$G$17,5,FALSE)/100))*L145)</f>
        <v>209.58746086278597</v>
      </c>
      <c r="O145" s="706">
        <f>IF($C145="other",$C$7*L145,(VLOOKUP($C145,'S3 - Screening Tool Metrics'!$C$3:$G$17,5,FALSE)/100)*L145)</f>
        <v>425.52605690323219</v>
      </c>
      <c r="P145" s="706">
        <f t="shared" si="120"/>
        <v>51.8934215735649</v>
      </c>
      <c r="Q145" s="707">
        <f t="shared" si="107"/>
        <v>2418055.4666666668</v>
      </c>
      <c r="R145" s="706">
        <f>VLOOKUP("*"&amp;$B145&amp;"*",'S4 - Summ PRS Characteristics'!$C$5:$Q$12,12,FALSE)*$J145</f>
        <v>381.32217175645206</v>
      </c>
      <c r="S145" s="706">
        <f t="shared" si="115"/>
        <v>438.67782824354794</v>
      </c>
      <c r="T145" s="706">
        <f>IF($C145="other",(1-$C135)*R145,(1-(VLOOKUP($C145,'S3 - Screening Tool Metrics'!$C$3:$G$17,5,FALSE)/100))*R145)</f>
        <v>125.83631667962916</v>
      </c>
      <c r="U145" s="706">
        <f>IF($C145="other",$C135*R145,(VLOOKUP($C145,'S3 - Screening Tool Metrics'!$C$3:$G$17,5,FALSE)/100)*R145)</f>
        <v>255.4858550768229</v>
      </c>
      <c r="V145" s="709">
        <f t="shared" si="108"/>
        <v>31.156811594734503</v>
      </c>
      <c r="W145" s="707">
        <f t="shared" si="109"/>
        <v>1209027.7333333334</v>
      </c>
      <c r="X145" s="706">
        <f>VLOOKUP("*"&amp;$B145&amp;"*",'S4 - Summ PRS Characteristics'!$C$5:$Q$12,13,FALSE)*$J145</f>
        <v>245.05807516540332</v>
      </c>
      <c r="Y145" s="706">
        <f t="shared" si="116"/>
        <v>574.94192483459665</v>
      </c>
      <c r="Z145" s="706">
        <f>IF($C145="other",(1-$C135)*X145,(1-(VLOOKUP($C145,'S3 - Screening Tool Metrics'!$C$3:$G$17,5,FALSE)/100))*X145)</f>
        <v>80.869164804583093</v>
      </c>
      <c r="AA145" s="706">
        <f>IF($C145="other",$C135*X145,(VLOOKUP($C145,'S3 - Screening Tool Metrics'!$C$3:$G$17,5,FALSE)/100)*X145)</f>
        <v>164.18891036082024</v>
      </c>
      <c r="AB145" s="709">
        <f t="shared" si="110"/>
        <v>20.023037848880517</v>
      </c>
      <c r="AC145" s="707">
        <f t="shared" si="111"/>
        <v>604513.8666666667</v>
      </c>
      <c r="AD145" s="706">
        <f>VLOOKUP("*"&amp;$B145&amp;"*",'S4 - Summ PRS Characteristics'!$C$5:$Q$12,14,FALSE)*$J145</f>
        <v>152.89893765874777</v>
      </c>
      <c r="AE145" s="706">
        <f t="shared" si="121"/>
        <v>667.10106234125226</v>
      </c>
      <c r="AF145" s="706">
        <f>IF($C145="other",(1-$C135)*AD145,(1-(VLOOKUP($C145,'S3 - Screening Tool Metrics'!$C$3:$G$17,5,FALSE)/100))*AD145)</f>
        <v>50.456649427386758</v>
      </c>
      <c r="AG145" s="706">
        <f>IF($C145="other",$C135*AD145,(VLOOKUP($C145,'S3 - Screening Tool Metrics'!$C$3:$G$17,5,FALSE)/100)*AD145)</f>
        <v>102.442288231361</v>
      </c>
      <c r="AH145" s="709">
        <f t="shared" si="112"/>
        <v>12.49296197943427</v>
      </c>
      <c r="AI145" s="707">
        <f t="shared" si="113"/>
        <v>120902.77333333335</v>
      </c>
      <c r="AJ145" s="706">
        <f>VLOOKUP("*"&amp;$B145&amp;"*",'S4 - Summ PRS Characteristics'!$C$5:$Q$12,15,FALSE)*$J145</f>
        <v>47.491875172846292</v>
      </c>
      <c r="AK145" s="706">
        <f t="shared" si="117"/>
        <v>772.50812482715367</v>
      </c>
      <c r="AL145" s="706">
        <f>IF($C145="other",(1-$C135)*AJ145,(1-(VLOOKUP($C145,'S3 - Screening Tool Metrics'!$C$3:$G$17,5,FALSE)/100))*AJ145)</f>
        <v>15.672318807039275</v>
      </c>
      <c r="AM145" s="706">
        <f>IF($C145="other",$C135*AJ145,(VLOOKUP($C145,'S3 - Screening Tool Metrics'!$C$3:$G$17,5,FALSE)/100)*AJ145)</f>
        <v>31.819556365807017</v>
      </c>
      <c r="AN145" s="709">
        <f t="shared" si="114"/>
        <v>3.8804337031471974</v>
      </c>
    </row>
    <row r="146" spans="2:40" ht="11" customHeight="1" x14ac:dyDescent="0.15">
      <c r="B146" s="700" t="s">
        <v>17</v>
      </c>
      <c r="C146" s="1085" t="str">
        <f>$C136</f>
        <v>Semen assay</v>
      </c>
      <c r="D146" s="552" t="s">
        <v>201</v>
      </c>
      <c r="E146" s="710">
        <f>VLOOKUP($B146&amp;"_"&amp;$D146,'App5 - CRUK Inci Rates'!C:H,6,FALSE)</f>
        <v>10.741704977707645</v>
      </c>
      <c r="F146" s="711">
        <f>VLOOKUP($B146&amp;"_"&amp;$D146,'App5 - CRUK Inci Rates'!C:H,3,FALSE)</f>
        <v>0</v>
      </c>
      <c r="G146" s="712">
        <f>VLOOKUP($B146&amp;"_"&amp;$D146,'App5 - CRUK Inci Rates'!C:J,8,FALSE)</f>
        <v>4273064.666666667</v>
      </c>
      <c r="H146" s="713">
        <f>VLOOKUP($B146&amp;"_"&amp;$D146,'App5 - CRUK Inci Rates'!C:J,7,FALSE)</f>
        <v>4273064.666666667</v>
      </c>
      <c r="I146" s="713">
        <f>VLOOKUP($B146&amp;"_"&amp;$D146,'App5 - CRUK Inci Rates'!C:J,4,FALSE)</f>
        <v>0</v>
      </c>
      <c r="J146" s="709">
        <f>VLOOKUP($B146&amp;"_"&amp;$D146,'App5 - CRUK Inci Rates'!C:K,9,FALSE)</f>
        <v>459</v>
      </c>
      <c r="K146" s="706">
        <f t="shared" si="118"/>
        <v>2136532.3333333335</v>
      </c>
      <c r="L146" s="706">
        <f>VLOOKUP("*"&amp;$B146&amp;"*",'S4 - Summ PRS Characteristics'!$C$5:$Q$12,11,FALSE)*$J146</f>
        <v>355.50866421292966</v>
      </c>
      <c r="M146" s="706">
        <f t="shared" si="119"/>
        <v>103.49133578707034</v>
      </c>
      <c r="N146" s="706">
        <f>IF($C146="other",(1-$C$7)*L146,(1-(VLOOKUP($C146,'S3 - Screening Tool Metrics'!$C$3:$G$17,5,FALSE)/100))*L146)</f>
        <v>117.31785919026677</v>
      </c>
      <c r="O146" s="706">
        <f>IF($C146="other",$C$7*L146,(VLOOKUP($C146,'S3 - Screening Tool Metrics'!$C$3:$G$17,5,FALSE)/100)*L146)</f>
        <v>238.19080502266289</v>
      </c>
      <c r="P146" s="706">
        <f t="shared" si="120"/>
        <v>51.8934215735649</v>
      </c>
      <c r="Q146" s="707">
        <f t="shared" si="107"/>
        <v>854612.93333333347</v>
      </c>
      <c r="R146" s="706">
        <f>VLOOKUP("*"&amp;$B146&amp;"*",'S4 - Summ PRS Characteristics'!$C$5:$Q$12,12,FALSE)*$J146</f>
        <v>213.44741077586767</v>
      </c>
      <c r="S146" s="706">
        <f t="shared" si="115"/>
        <v>245.55258922413233</v>
      </c>
      <c r="T146" s="706">
        <f>IF($C146="other",(1-$C135)*R146,(1-(VLOOKUP($C146,'S3 - Screening Tool Metrics'!$C$3:$G$17,5,FALSE)/100))*R146)</f>
        <v>70.437645556036315</v>
      </c>
      <c r="U146" s="706">
        <f>IF($C146="other",$C135*R146,(VLOOKUP($C146,'S3 - Screening Tool Metrics'!$C$3:$G$17,5,FALSE)/100)*R146)</f>
        <v>143.00976521983134</v>
      </c>
      <c r="V146" s="709">
        <f t="shared" si="108"/>
        <v>31.156811594734496</v>
      </c>
      <c r="W146" s="707">
        <f t="shared" si="109"/>
        <v>427306.46666666673</v>
      </c>
      <c r="X146" s="706">
        <f>VLOOKUP("*"&amp;$B146&amp;"*",'S4 - Summ PRS Characteristics'!$C$5:$Q$12,13,FALSE)*$J146</f>
        <v>137.17275183039038</v>
      </c>
      <c r="Y146" s="706">
        <f t="shared" si="116"/>
        <v>321.82724816960962</v>
      </c>
      <c r="Z146" s="706">
        <f>IF($C146="other",(1-$C135)*X146,(1-(VLOOKUP($C146,'S3 - Screening Tool Metrics'!$C$3:$G$17,5,FALSE)/100))*X146)</f>
        <v>45.267008104028818</v>
      </c>
      <c r="AA146" s="706">
        <f>IF($C146="other",$C135*X146,(VLOOKUP($C146,'S3 - Screening Tool Metrics'!$C$3:$G$17,5,FALSE)/100)*X146)</f>
        <v>91.905743726361564</v>
      </c>
      <c r="AB146" s="709">
        <f t="shared" si="110"/>
        <v>20.023037848880517</v>
      </c>
      <c r="AC146" s="707">
        <f t="shared" si="111"/>
        <v>213653.23333333337</v>
      </c>
      <c r="AD146" s="706">
        <f>VLOOKUP("*"&amp;$B146&amp;"*",'S4 - Summ PRS Characteristics'!$C$5:$Q$12,14,FALSE)*$J146</f>
        <v>85.58611266507954</v>
      </c>
      <c r="AE146" s="706">
        <f t="shared" si="121"/>
        <v>373.41388733492045</v>
      </c>
      <c r="AF146" s="706">
        <f>IF($C146="other",(1-$C135)*AD146,(1-(VLOOKUP($C146,'S3 - Screening Tool Metrics'!$C$3:$G$17,5,FALSE)/100))*AD146)</f>
        <v>28.243417179476246</v>
      </c>
      <c r="AG146" s="706">
        <f>IF($C146="other",$C135*AD146,(VLOOKUP($C146,'S3 - Screening Tool Metrics'!$C$3:$G$17,5,FALSE)/100)*AD146)</f>
        <v>57.342695485603294</v>
      </c>
      <c r="AH146" s="709">
        <f t="shared" si="112"/>
        <v>12.492961979434268</v>
      </c>
      <c r="AI146" s="707">
        <f t="shared" si="113"/>
        <v>42730.646666666667</v>
      </c>
      <c r="AJ146" s="706">
        <f>VLOOKUP("*"&amp;$B146&amp;"*",'S4 - Summ PRS Characteristics'!$C$5:$Q$12,15,FALSE)*$J146</f>
        <v>26.583866712605424</v>
      </c>
      <c r="AK146" s="706">
        <f t="shared" si="117"/>
        <v>432.41613328739459</v>
      </c>
      <c r="AL146" s="706">
        <f>IF($C146="other",(1-$C135)*AJ146,(1-(VLOOKUP($C146,'S3 - Screening Tool Metrics'!$C$3:$G$17,5,FALSE)/100))*AJ146)</f>
        <v>8.7726760151597887</v>
      </c>
      <c r="AM146" s="706">
        <f>IF($C146="other",$C135*AJ146,(VLOOKUP($C146,'S3 - Screening Tool Metrics'!$C$3:$G$17,5,FALSE)/100)*AJ146)</f>
        <v>17.811190697445635</v>
      </c>
      <c r="AN146" s="709">
        <f t="shared" si="114"/>
        <v>3.8804337031471974</v>
      </c>
    </row>
    <row r="147" spans="2:40" ht="11" customHeight="1" x14ac:dyDescent="0.15">
      <c r="B147" s="700" t="s">
        <v>17</v>
      </c>
      <c r="C147" s="1085" t="str">
        <f>$C136</f>
        <v>Semen assay</v>
      </c>
      <c r="D147" s="552" t="s">
        <v>202</v>
      </c>
      <c r="E147" s="710">
        <f>VLOOKUP($B147&amp;"_"&amp;$D147,'App5 - CRUK Inci Rates'!C:H,6,FALSE)</f>
        <v>6.1532932287600035</v>
      </c>
      <c r="F147" s="711">
        <f>VLOOKUP($B147&amp;"_"&amp;$D147,'App5 - CRUK Inci Rates'!C:H,3,FALSE)</f>
        <v>0</v>
      </c>
      <c r="G147" s="712">
        <f>VLOOKUP($B147&amp;"_"&amp;$D147,'App5 - CRUK Inci Rates'!C:J,8,FALSE)</f>
        <v>4355391.333333333</v>
      </c>
      <c r="H147" s="713">
        <f>VLOOKUP($B147&amp;"_"&amp;$D147,'App5 - CRUK Inci Rates'!C:J,7,FALSE)</f>
        <v>4355391.333333333</v>
      </c>
      <c r="I147" s="713">
        <f>VLOOKUP($B147&amp;"_"&amp;$D147,'App5 - CRUK Inci Rates'!C:J,4,FALSE)</f>
        <v>0</v>
      </c>
      <c r="J147" s="709">
        <f>VLOOKUP($B147&amp;"_"&amp;$D147,'App5 - CRUK Inci Rates'!C:K,9,FALSE)</f>
        <v>268</v>
      </c>
      <c r="K147" s="706">
        <f t="shared" si="118"/>
        <v>2177695.6666666665</v>
      </c>
      <c r="L147" s="706">
        <f>VLOOKUP("*"&amp;$B147&amp;"*",'S4 - Summ PRS Characteristics'!$C$5:$Q$12,11,FALSE)*$J147</f>
        <v>207.57368629425957</v>
      </c>
      <c r="M147" s="706">
        <f t="shared" si="119"/>
        <v>60.426313705740426</v>
      </c>
      <c r="N147" s="706">
        <f>IF($C147="other",(1-$C$7)*L147,(1-(VLOOKUP($C147,'S3 - Screening Tool Metrics'!$C$3:$G$17,5,FALSE)/100))*L147)</f>
        <v>68.499316477105651</v>
      </c>
      <c r="O147" s="706">
        <f>IF($C147="other",$C$7*L147,(VLOOKUP($C147,'S3 - Screening Tool Metrics'!$C$3:$G$17,5,FALSE)/100)*L147)</f>
        <v>139.07436981715392</v>
      </c>
      <c r="P147" s="706">
        <f t="shared" si="120"/>
        <v>51.8934215735649</v>
      </c>
      <c r="Q147" s="707">
        <f t="shared" si="107"/>
        <v>871078.2666666666</v>
      </c>
      <c r="R147" s="706">
        <f>VLOOKUP("*"&amp;$B147&amp;"*",'S4 - Summ PRS Characteristics'!$C$5:$Q$12,12,FALSE)*$J147</f>
        <v>124.62724637893798</v>
      </c>
      <c r="S147" s="706">
        <f t="shared" si="115"/>
        <v>143.37275362106203</v>
      </c>
      <c r="T147" s="706">
        <f>IF($C147="other",(1-$C135)*R147,(1-(VLOOKUP($C147,'S3 - Screening Tool Metrics'!$C$3:$G$17,5,FALSE)/100))*R147)</f>
        <v>41.126991305049529</v>
      </c>
      <c r="U147" s="706">
        <f>IF($C147="other",$C135*R147,(VLOOKUP($C147,'S3 - Screening Tool Metrics'!$C$3:$G$17,5,FALSE)/100)*R147)</f>
        <v>83.500255073888454</v>
      </c>
      <c r="V147" s="709">
        <f t="shared" si="108"/>
        <v>31.156811594734496</v>
      </c>
      <c r="W147" s="707">
        <f t="shared" si="109"/>
        <v>435539.1333333333</v>
      </c>
      <c r="X147" s="706">
        <f>VLOOKUP("*"&amp;$B147&amp;"*",'S4 - Summ PRS Characteristics'!$C$5:$Q$12,13,FALSE)*$J147</f>
        <v>80.092151395522052</v>
      </c>
      <c r="Y147" s="706">
        <f t="shared" si="116"/>
        <v>187.90784860447795</v>
      </c>
      <c r="Z147" s="706">
        <f>IF($C147="other",(1-$C135)*X147,(1-(VLOOKUP($C147,'S3 - Screening Tool Metrics'!$C$3:$G$17,5,FALSE)/100))*X147)</f>
        <v>26.430409960522272</v>
      </c>
      <c r="AA147" s="706">
        <f>IF($C147="other",$C135*X147,(VLOOKUP($C147,'S3 - Screening Tool Metrics'!$C$3:$G$17,5,FALSE)/100)*X147)</f>
        <v>53.661741434999776</v>
      </c>
      <c r="AB147" s="709">
        <f t="shared" si="110"/>
        <v>20.023037848880513</v>
      </c>
      <c r="AC147" s="707">
        <f t="shared" si="111"/>
        <v>217769.56666666665</v>
      </c>
      <c r="AD147" s="706">
        <f>VLOOKUP("*"&amp;$B147&amp;"*",'S4 - Summ PRS Characteristics'!$C$5:$Q$12,14,FALSE)*$J147</f>
        <v>49.971847917737072</v>
      </c>
      <c r="AE147" s="706">
        <f t="shared" si="121"/>
        <v>218.02815208226292</v>
      </c>
      <c r="AF147" s="706">
        <f>IF($C147="other",(1-$C135)*AD147,(1-(VLOOKUP($C147,'S3 - Screening Tool Metrics'!$C$3:$G$17,5,FALSE)/100))*AD147)</f>
        <v>16.490709812853233</v>
      </c>
      <c r="AG147" s="706">
        <f>IF($C147="other",$C135*AD147,(VLOOKUP($C147,'S3 - Screening Tool Metrics'!$C$3:$G$17,5,FALSE)/100)*AD147)</f>
        <v>33.48113810488384</v>
      </c>
      <c r="AH147" s="709">
        <f t="shared" si="112"/>
        <v>12.492961979434268</v>
      </c>
      <c r="AI147" s="707">
        <f t="shared" si="113"/>
        <v>43553.91333333333</v>
      </c>
      <c r="AJ147" s="706">
        <f>VLOOKUP("*"&amp;$B147&amp;"*",'S4 - Summ PRS Characteristics'!$C$5:$Q$12,15,FALSE)*$J147</f>
        <v>15.521734812588788</v>
      </c>
      <c r="AK147" s="706">
        <f t="shared" si="117"/>
        <v>252.47826518741121</v>
      </c>
      <c r="AL147" s="706">
        <f>IF($C147="other",(1-$C135)*AJ147,(1-(VLOOKUP($C147,'S3 - Screening Tool Metrics'!$C$3:$G$17,5,FALSE)/100))*AJ147)</f>
        <v>5.1221724881542992</v>
      </c>
      <c r="AM147" s="706">
        <f>IF($C147="other",$C135*AJ147,(VLOOKUP($C147,'S3 - Screening Tool Metrics'!$C$3:$G$17,5,FALSE)/100)*AJ147)</f>
        <v>10.399562324434488</v>
      </c>
      <c r="AN147" s="709">
        <f t="shared" si="114"/>
        <v>3.8804337031471974</v>
      </c>
    </row>
    <row r="148" spans="2:40" ht="11" customHeight="1" x14ac:dyDescent="0.15">
      <c r="B148" s="700" t="s">
        <v>17</v>
      </c>
      <c r="C148" s="1085" t="str">
        <f t="shared" ref="C148:C151" si="122">$C137</f>
        <v>Semen assay</v>
      </c>
      <c r="D148" s="552" t="s">
        <v>203</v>
      </c>
      <c r="E148" s="710">
        <f>VLOOKUP($B148&amp;"_"&amp;$D148,'App5 - CRUK Inci Rates'!C:H,6,FALSE)</f>
        <v>4.6180143152474038</v>
      </c>
      <c r="F148" s="711">
        <f>VLOOKUP($B148&amp;"_"&amp;$D148,'App5 - CRUK Inci Rates'!C:H,3,FALSE)</f>
        <v>0</v>
      </c>
      <c r="G148" s="712">
        <f>VLOOKUP($B148&amp;"_"&amp;$D148,'App5 - CRUK Inci Rates'!C:J,8,FALSE)</f>
        <v>7817212.666666666</v>
      </c>
      <c r="H148" s="713">
        <f>VLOOKUP($B148&amp;"_"&amp;$D148,'App5 - CRUK Inci Rates'!C:J,7,FALSE)</f>
        <v>7817212.666666666</v>
      </c>
      <c r="I148" s="713">
        <f>VLOOKUP($B148&amp;"_"&amp;$D148,'App5 - CRUK Inci Rates'!C:J,4,FALSE)</f>
        <v>0</v>
      </c>
      <c r="J148" s="709">
        <f>VLOOKUP($B148&amp;"_"&amp;$D148,'App5 - CRUK Inci Rates'!C:K,9,FALSE)</f>
        <v>361</v>
      </c>
      <c r="K148" s="706">
        <f t="shared" si="118"/>
        <v>3908606.333333333</v>
      </c>
      <c r="L148" s="706">
        <f>VLOOKUP("*"&amp;$B148&amp;"*",'S4 - Summ PRS Characteristics'!$C$5:$Q$12,11,FALSE)*$J148</f>
        <v>279.60485355308845</v>
      </c>
      <c r="M148" s="706">
        <f t="shared" si="119"/>
        <v>81.395146446911554</v>
      </c>
      <c r="N148" s="706">
        <f>IF($C148="other",(1-$C$7)*L148,(1-(VLOOKUP($C148,'S3 - Screening Tool Metrics'!$C$3:$G$17,5,FALSE)/100))*L148)</f>
        <v>92.269601672519173</v>
      </c>
      <c r="O148" s="706">
        <f>IF($C148="other",$C$7*L148,(VLOOKUP($C148,'S3 - Screening Tool Metrics'!$C$3:$G$17,5,FALSE)/100)*L148)</f>
        <v>187.33525188056927</v>
      </c>
      <c r="P148" s="706">
        <f t="shared" si="120"/>
        <v>51.893421573564893</v>
      </c>
      <c r="Q148" s="707">
        <f t="shared" si="107"/>
        <v>1563442.5333333332</v>
      </c>
      <c r="R148" s="706">
        <f>VLOOKUP("*"&amp;$B148&amp;"*",'S4 - Summ PRS Characteristics'!$C$5:$Q$12,12,FALSE)*$J148</f>
        <v>167.87476098058437</v>
      </c>
      <c r="S148" s="706">
        <f t="shared" si="115"/>
        <v>193.12523901941563</v>
      </c>
      <c r="T148" s="706">
        <f>IF($C148="other",(1-$C136)*R148,(1-(VLOOKUP($C148,'S3 - Screening Tool Metrics'!$C$3:$G$17,5,FALSE)/100))*R148)</f>
        <v>55.398671123592834</v>
      </c>
      <c r="U148" s="706">
        <f>IF($C148="other",$C136*R148,(VLOOKUP($C148,'S3 - Screening Tool Metrics'!$C$3:$G$17,5,FALSE)/100)*R148)</f>
        <v>112.47608985699154</v>
      </c>
      <c r="V148" s="709">
        <f t="shared" si="108"/>
        <v>31.156811594734496</v>
      </c>
      <c r="W148" s="707">
        <f t="shared" si="109"/>
        <v>781721.2666666666</v>
      </c>
      <c r="X148" s="706">
        <f>VLOOKUP("*"&amp;$B148&amp;"*",'S4 - Summ PRS Characteristics'!$C$5:$Q$12,13,FALSE)*$J148</f>
        <v>107.88532333501293</v>
      </c>
      <c r="Y148" s="706">
        <f t="shared" si="116"/>
        <v>253.11467666498709</v>
      </c>
      <c r="Z148" s="706">
        <f>IF($C148="other",(1-$C136)*X148,(1-(VLOOKUP($C148,'S3 - Screening Tool Metrics'!$C$3:$G$17,5,FALSE)/100))*X148)</f>
        <v>35.602156700554261</v>
      </c>
      <c r="AA148" s="706">
        <f>IF($C148="other",$C136*X148,(VLOOKUP($C148,'S3 - Screening Tool Metrics'!$C$3:$G$17,5,FALSE)/100)*X148)</f>
        <v>72.283166634458667</v>
      </c>
      <c r="AB148" s="709">
        <f t="shared" si="110"/>
        <v>20.023037848880517</v>
      </c>
      <c r="AC148" s="707">
        <f t="shared" si="111"/>
        <v>390860.6333333333</v>
      </c>
      <c r="AD148" s="706">
        <f>VLOOKUP("*"&amp;$B148&amp;"*",'S4 - Summ PRS Characteristics'!$C$5:$Q$12,14,FALSE)*$J148</f>
        <v>67.312824993668229</v>
      </c>
      <c r="AE148" s="706">
        <f t="shared" si="121"/>
        <v>293.68717500633176</v>
      </c>
      <c r="AF148" s="706">
        <f>IF($C148="other",(1-$C136)*AD148,(1-(VLOOKUP($C148,'S3 - Screening Tool Metrics'!$C$3:$G$17,5,FALSE)/100))*AD148)</f>
        <v>22.213232247910511</v>
      </c>
      <c r="AG148" s="706">
        <f>IF($C148="other",$C136*AD148,(VLOOKUP($C148,'S3 - Screening Tool Metrics'!$C$3:$G$17,5,FALSE)/100)*AD148)</f>
        <v>45.099592745757718</v>
      </c>
      <c r="AH148" s="709">
        <f t="shared" si="112"/>
        <v>12.492961979434272</v>
      </c>
      <c r="AI148" s="707">
        <f t="shared" si="113"/>
        <v>78172.126666666663</v>
      </c>
      <c r="AJ148" s="706">
        <f>VLOOKUP("*"&amp;$B148&amp;"*",'S4 - Summ PRS Characteristics'!$C$5:$Q$12,15,FALSE)*$J148</f>
        <v>20.908008460240865</v>
      </c>
      <c r="AK148" s="706">
        <f t="shared" si="117"/>
        <v>340.09199153975914</v>
      </c>
      <c r="AL148" s="706">
        <f>IF($C148="other",(1-$C136)*AJ148,(1-(VLOOKUP($C148,'S3 - Screening Tool Metrics'!$C$3:$G$17,5,FALSE)/100))*AJ148)</f>
        <v>6.8996427918794847</v>
      </c>
      <c r="AM148" s="706">
        <f>IF($C148="other",$C136*AJ148,(VLOOKUP($C148,'S3 - Screening Tool Metrics'!$C$3:$G$17,5,FALSE)/100)*AJ148)</f>
        <v>14.00836566836138</v>
      </c>
      <c r="AN148" s="709">
        <f t="shared" si="114"/>
        <v>3.8804337031471965</v>
      </c>
    </row>
    <row r="149" spans="2:40" ht="11" customHeight="1" x14ac:dyDescent="0.15">
      <c r="B149" s="700" t="s">
        <v>17</v>
      </c>
      <c r="C149" s="1085" t="str">
        <f t="shared" si="122"/>
        <v>Semen assay</v>
      </c>
      <c r="D149" s="552" t="s">
        <v>292</v>
      </c>
      <c r="E149" s="710">
        <f>VLOOKUP($B149&amp;"_"&amp;$D149,'App5 - CRUK Inci Rates'!C:H,6,FALSE)</f>
        <v>2.5964614152648537</v>
      </c>
      <c r="F149" s="711">
        <f>VLOOKUP($B149&amp;"_"&amp;$D149,'App5 - CRUK Inci Rates'!C:H,3,FALSE)</f>
        <v>0</v>
      </c>
      <c r="G149" s="712">
        <f>VLOOKUP($B149&amp;"_"&amp;$D149,'App5 - CRUK Inci Rates'!C:J,8,FALSE)</f>
        <v>4929786.333333333</v>
      </c>
      <c r="H149" s="713">
        <f>VLOOKUP($B149&amp;"_"&amp;$D149,'App5 - CRUK Inci Rates'!C:J,7,FALSE)</f>
        <v>4929786.333333333</v>
      </c>
      <c r="I149" s="713">
        <f>VLOOKUP($B149&amp;"_"&amp;$D149,'App5 - CRUK Inci Rates'!C:J,4,FALSE)</f>
        <v>0</v>
      </c>
      <c r="J149" s="709">
        <f>VLOOKUP($B149&amp;"_"&amp;$D149,'App5 - CRUK Inci Rates'!C:K,9,FALSE)</f>
        <v>128</v>
      </c>
      <c r="K149" s="706">
        <f t="shared" si="118"/>
        <v>2464893.1666666665</v>
      </c>
      <c r="L149" s="706">
        <f>VLOOKUP("*"&amp;$B149&amp;"*",'S4 - Summ PRS Characteristics'!$C$5:$Q$12,11,FALSE)*$J149</f>
        <v>99.139671065915024</v>
      </c>
      <c r="M149" s="706">
        <f t="shared" si="119"/>
        <v>28.860328934084976</v>
      </c>
      <c r="N149" s="706">
        <f>IF($C149="other",(1-$C$7)*L149,(1-(VLOOKUP($C149,'S3 - Screening Tool Metrics'!$C$3:$G$17,5,FALSE)/100))*L149)</f>
        <v>32.716091451751957</v>
      </c>
      <c r="O149" s="706">
        <f>IF($C149="other",$C$7*L149,(VLOOKUP($C149,'S3 - Screening Tool Metrics'!$C$3:$G$17,5,FALSE)/100)*L149)</f>
        <v>66.423579614163074</v>
      </c>
      <c r="P149" s="706">
        <f t="shared" si="120"/>
        <v>51.8934215735649</v>
      </c>
      <c r="Q149" s="707">
        <f>$G149*Q$3</f>
        <v>985957.2666666666</v>
      </c>
      <c r="R149" s="706">
        <f>VLOOKUP("*"&amp;$B149&amp;"*",'S4 - Summ PRS Characteristics'!$C$5:$Q$12,12,FALSE)*$J149</f>
        <v>59.52346095710471</v>
      </c>
      <c r="S149" s="706">
        <f>$J149-R149</f>
        <v>68.476539042895297</v>
      </c>
      <c r="T149" s="706">
        <f>IF($C149="other",(1-$C137)*R149,(1-(VLOOKUP($C149,'S3 - Screening Tool Metrics'!$C$3:$G$17,5,FALSE)/100))*R149)</f>
        <v>19.642742115844552</v>
      </c>
      <c r="U149" s="706">
        <f>IF($C149="other",$C137*R149,(VLOOKUP($C149,'S3 - Screening Tool Metrics'!$C$3:$G$17,5,FALSE)/100)*R149)</f>
        <v>39.880718841260155</v>
      </c>
      <c r="V149" s="709">
        <f t="shared" si="108"/>
        <v>31.156811594734496</v>
      </c>
      <c r="W149" s="707">
        <f>$G149*W$3</f>
        <v>492978.6333333333</v>
      </c>
      <c r="X149" s="706">
        <f>VLOOKUP("*"&amp;$B149&amp;"*",'S4 - Summ PRS Characteristics'!$C$5:$Q$12,13,FALSE)*$J149</f>
        <v>38.252967830697102</v>
      </c>
      <c r="Y149" s="706">
        <f t="shared" si="116"/>
        <v>89.747032169302898</v>
      </c>
      <c r="Z149" s="706">
        <f>IF($C149="other",(1-$C137)*X149,(1-(VLOOKUP($C149,'S3 - Screening Tool Metrics'!$C$3:$G$17,5,FALSE)/100))*X149)</f>
        <v>12.623479384130043</v>
      </c>
      <c r="AA149" s="706">
        <f>IF($C149="other",$C137*X149,(VLOOKUP($C149,'S3 - Screening Tool Metrics'!$C$3:$G$17,5,FALSE)/100)*X149)</f>
        <v>25.629488446567059</v>
      </c>
      <c r="AB149" s="709">
        <f t="shared" si="110"/>
        <v>20.023037848880517</v>
      </c>
      <c r="AC149" s="707">
        <f t="shared" si="111"/>
        <v>246489.31666666665</v>
      </c>
      <c r="AD149" s="706">
        <f>VLOOKUP("*"&amp;$B149&amp;"*",'S4 - Summ PRS Characteristics'!$C$5:$Q$12,14,FALSE)*$J149</f>
        <v>23.867151244292334</v>
      </c>
      <c r="AE149" s="706">
        <f t="shared" si="121"/>
        <v>104.13284875570767</v>
      </c>
      <c r="AF149" s="706">
        <f>IF($C149="other",(1-$C137)*AD149,(1-(VLOOKUP($C149,'S3 - Screening Tool Metrics'!$C$3:$G$17,5,FALSE)/100))*AD149)</f>
        <v>7.8761599106164688</v>
      </c>
      <c r="AG149" s="706">
        <f>IF($C149="other",$C137*AD149,(VLOOKUP($C149,'S3 - Screening Tool Metrics'!$C$3:$G$17,5,FALSE)/100)*AD149)</f>
        <v>15.990991333675865</v>
      </c>
      <c r="AH149" s="709">
        <f t="shared" si="112"/>
        <v>12.49296197943427</v>
      </c>
      <c r="AI149" s="707">
        <f t="shared" si="113"/>
        <v>49297.863333333335</v>
      </c>
      <c r="AJ149" s="706">
        <f>VLOOKUP("*"&amp;$B149&amp;"*",'S4 - Summ PRS Characteristics'!$C$5:$Q$12,15,FALSE)*$J149</f>
        <v>7.4133658806394207</v>
      </c>
      <c r="AK149" s="706">
        <f t="shared" si="117"/>
        <v>120.58663411936058</v>
      </c>
      <c r="AL149" s="706">
        <f>IF($C149="other",(1-$C137)*AJ149,(1-(VLOOKUP($C149,'S3 - Screening Tool Metrics'!$C$3:$G$17,5,FALSE)/100))*AJ149)</f>
        <v>2.4464107406110087</v>
      </c>
      <c r="AM149" s="706">
        <f>IF($C149="other",$C137*AJ149,(VLOOKUP($C149,'S3 - Screening Tool Metrics'!$C$3:$G$17,5,FALSE)/100)*AJ149)</f>
        <v>4.9669551400284124</v>
      </c>
      <c r="AN149" s="709">
        <f t="shared" si="114"/>
        <v>3.8804337031471974</v>
      </c>
    </row>
    <row r="150" spans="2:40" ht="11" customHeight="1" x14ac:dyDescent="0.15">
      <c r="B150" s="700" t="s">
        <v>17</v>
      </c>
      <c r="C150" s="1085" t="str">
        <f t="shared" si="122"/>
        <v>Semen assay</v>
      </c>
      <c r="D150" s="552" t="s">
        <v>204</v>
      </c>
      <c r="E150" s="710">
        <f>VLOOKUP($B150&amp;"_"&amp;$D150,'App5 - CRUK Inci Rates'!C:H,6,FALSE)</f>
        <v>5.966108794682853</v>
      </c>
      <c r="F150" s="711">
        <f>VLOOKUP($B150&amp;"_"&amp;$D150,'App5 - CRUK Inci Rates'!C:H,3,FALSE)</f>
        <v>0</v>
      </c>
      <c r="G150" s="712">
        <f>VLOOKUP($B150&amp;"_"&amp;$D150,'App5 - CRUK Inci Rates'!C:J,8,FALSE)</f>
        <v>14565607.666666668</v>
      </c>
      <c r="H150" s="713">
        <f>VLOOKUP($B150&amp;"_"&amp;$D150,'App5 - CRUK Inci Rates'!C:J,7,FALSE)</f>
        <v>14565607.666666668</v>
      </c>
      <c r="I150" s="713">
        <f>VLOOKUP($B150&amp;"_"&amp;$D150,'App5 - CRUK Inci Rates'!C:J,4,FALSE)</f>
        <v>0</v>
      </c>
      <c r="J150" s="709">
        <f>VLOOKUP($B150&amp;"_"&amp;$D150,'App5 - CRUK Inci Rates'!C:K,9,FALSE)</f>
        <v>869</v>
      </c>
      <c r="K150" s="706">
        <f t="shared" si="118"/>
        <v>7282803.833333334</v>
      </c>
      <c r="L150" s="706">
        <f>VLOOKUP("*"&amp;$B150&amp;"*",'S4 - Summ PRS Characteristics'!$C$5:$Q$12,11,FALSE)*$J150</f>
        <v>673.06542309593874</v>
      </c>
      <c r="M150" s="706">
        <f t="shared" si="119"/>
        <v>195.93457690406126</v>
      </c>
      <c r="N150" s="706">
        <f>IF($C150="other",(1-$C$7)*L150,(1-(VLOOKUP($C150,'S3 - Screening Tool Metrics'!$C$3:$G$17,5,FALSE)/100))*L150)</f>
        <v>222.11158962165976</v>
      </c>
      <c r="O150" s="706">
        <f>IF($C150="other",$C$7*L150,(VLOOKUP($C150,'S3 - Screening Tool Metrics'!$C$3:$G$17,5,FALSE)/100)*L150)</f>
        <v>450.95383347427901</v>
      </c>
      <c r="P150" s="706">
        <f t="shared" si="120"/>
        <v>51.8934215735649</v>
      </c>
      <c r="Q150" s="707">
        <f t="shared" si="107"/>
        <v>2913121.5333333337</v>
      </c>
      <c r="R150" s="706">
        <f>VLOOKUP("*"&amp;$B150&amp;"*",'S4 - Summ PRS Characteristics'!$C$5:$Q$12,12,FALSE)*$J150</f>
        <v>404.1084966540937</v>
      </c>
      <c r="S150" s="706">
        <f t="shared" si="115"/>
        <v>464.8915033459063</v>
      </c>
      <c r="T150" s="706">
        <f>IF($C150="other",(1-$C135)*R150,(1-(VLOOKUP($C150,'S3 - Screening Tool Metrics'!$C$3:$G$17,5,FALSE)/100))*R150)</f>
        <v>133.3558038958509</v>
      </c>
      <c r="U150" s="706">
        <f>IF($C150="other",$C135*R150,(VLOOKUP($C150,'S3 - Screening Tool Metrics'!$C$3:$G$17,5,FALSE)/100)*R150)</f>
        <v>270.7526927582428</v>
      </c>
      <c r="V150" s="709">
        <f t="shared" si="108"/>
        <v>31.156811594734503</v>
      </c>
      <c r="W150" s="707">
        <f t="shared" si="109"/>
        <v>1456560.7666666668</v>
      </c>
      <c r="X150" s="706">
        <f>VLOOKUP("*"&amp;$B150&amp;"*",'S4 - Summ PRS Characteristics'!$C$5:$Q$12,13,FALSE)*$J150</f>
        <v>259.70178941309206</v>
      </c>
      <c r="Y150" s="706">
        <f t="shared" si="116"/>
        <v>609.298210586908</v>
      </c>
      <c r="Z150" s="706">
        <f>IF($C150="other",(1-$C135)*X150,(1-(VLOOKUP($C150,'S3 - Screening Tool Metrics'!$C$3:$G$17,5,FALSE)/100))*X150)</f>
        <v>85.701590506320372</v>
      </c>
      <c r="AA150" s="706">
        <f>IF($C150="other",$C135*X150,(VLOOKUP($C150,'S3 - Screening Tool Metrics'!$C$3:$G$17,5,FALSE)/100)*X150)</f>
        <v>174.00019890677169</v>
      </c>
      <c r="AB150" s="709">
        <f t="shared" si="110"/>
        <v>20.023037848880517</v>
      </c>
      <c r="AC150" s="707">
        <f t="shared" si="111"/>
        <v>728280.38333333342</v>
      </c>
      <c r="AD150" s="706">
        <f>VLOOKUP("*"&amp;$B150&amp;"*",'S4 - Summ PRS Characteristics'!$C$5:$Q$12,14,FALSE)*$J150</f>
        <v>162.03558149445342</v>
      </c>
      <c r="AE150" s="706">
        <f t="shared" si="121"/>
        <v>706.96441850554652</v>
      </c>
      <c r="AF150" s="706">
        <f>IF($C150="other",(1-$C135)*AD150,(1-(VLOOKUP($C150,'S3 - Screening Tool Metrics'!$C$3:$G$17,5,FALSE)/100))*AD150)</f>
        <v>53.471741893169622</v>
      </c>
      <c r="AG150" s="706">
        <f>IF($C150="other",$C135*AD150,(VLOOKUP($C150,'S3 - Screening Tool Metrics'!$C$3:$G$17,5,FALSE)/100)*AD150)</f>
        <v>108.5638396012838</v>
      </c>
      <c r="AH150" s="709">
        <f t="shared" si="112"/>
        <v>12.49296197943427</v>
      </c>
      <c r="AI150" s="707">
        <f t="shared" si="113"/>
        <v>145656.07666666669</v>
      </c>
      <c r="AJ150" s="706">
        <f>VLOOKUP("*"&amp;$B150&amp;"*",'S4 - Summ PRS Characteristics'!$C$5:$Q$12,15,FALSE)*$J150</f>
        <v>50.329804299028567</v>
      </c>
      <c r="AK150" s="706">
        <f t="shared" si="117"/>
        <v>818.67019570097148</v>
      </c>
      <c r="AL150" s="706">
        <f>IF($C150="other",(1-$C135)*AJ150,(1-(VLOOKUP($C150,'S3 - Screening Tool Metrics'!$C$3:$G$17,5,FALSE)/100))*AJ150)</f>
        <v>16.608835418679426</v>
      </c>
      <c r="AM150" s="706">
        <f>IF($C150="other",$C135*AJ150,(VLOOKUP($C150,'S3 - Screening Tool Metrics'!$C$3:$G$17,5,FALSE)/100)*AJ150)</f>
        <v>33.72096888034914</v>
      </c>
      <c r="AN150" s="709">
        <f t="shared" si="114"/>
        <v>3.8804337031471965</v>
      </c>
    </row>
    <row r="151" spans="2:40" ht="11" customHeight="1" thickBot="1" x14ac:dyDescent="0.2">
      <c r="B151" s="731" t="s">
        <v>17</v>
      </c>
      <c r="C151" s="1086" t="str">
        <f t="shared" si="122"/>
        <v>Semen assay</v>
      </c>
      <c r="D151" s="613" t="s">
        <v>205</v>
      </c>
      <c r="E151" s="722">
        <f>VLOOKUP($B151&amp;"_"&amp;$D151,'App5 - CRUK Inci Rates'!C:H,6,FALSE)</f>
        <v>7.2</v>
      </c>
      <c r="F151" s="723">
        <f>VLOOKUP($B151&amp;"_"&amp;$D151,'App5 - CRUK Inci Rates'!C:H,3,FALSE)</f>
        <v>0</v>
      </c>
      <c r="G151" s="724">
        <f>VLOOKUP($B151&amp;"_"&amp;$D151,'App5 - CRUK Inci Rates'!C:J,8,FALSE)</f>
        <v>32583225.666666668</v>
      </c>
      <c r="H151" s="725">
        <f>VLOOKUP($B151&amp;"_"&amp;$D151,'App5 - CRUK Inci Rates'!C:J,7,FALSE)</f>
        <v>32583225.666666668</v>
      </c>
      <c r="I151" s="725">
        <f>VLOOKUP($B151&amp;"_"&amp;$D151,'App5 - CRUK Inci Rates'!C:J,4,FALSE)</f>
        <v>0</v>
      </c>
      <c r="J151" s="732">
        <f>VLOOKUP($B151&amp;"_"&amp;$D151,'App5 - CRUK Inci Rates'!C:K,9,FALSE)</f>
        <v>2354</v>
      </c>
      <c r="K151" s="733"/>
      <c r="L151" s="733"/>
      <c r="M151" s="733"/>
      <c r="N151" s="733"/>
      <c r="O151" s="733"/>
      <c r="P151" s="733"/>
      <c r="Q151" s="734"/>
      <c r="R151" s="735"/>
      <c r="S151" s="735"/>
      <c r="T151" s="735"/>
      <c r="U151" s="735"/>
      <c r="V151" s="736"/>
      <c r="W151" s="734"/>
      <c r="X151" s="735"/>
      <c r="Y151" s="735"/>
      <c r="Z151" s="735"/>
      <c r="AA151" s="735"/>
      <c r="AB151" s="736"/>
      <c r="AC151" s="734"/>
      <c r="AD151" s="735"/>
      <c r="AE151" s="735"/>
      <c r="AF151" s="735"/>
      <c r="AG151" s="735"/>
      <c r="AH151" s="736"/>
      <c r="AI151" s="734"/>
      <c r="AJ151" s="735"/>
      <c r="AK151" s="735"/>
      <c r="AL151" s="735"/>
      <c r="AM151" s="735"/>
      <c r="AN151" s="736"/>
    </row>
    <row r="152" spans="2:40" x14ac:dyDescent="0.15">
      <c r="J152" s="706"/>
      <c r="K152" s="706"/>
      <c r="L152" s="706"/>
      <c r="M152" s="706"/>
      <c r="N152" s="706"/>
      <c r="O152" s="706"/>
      <c r="P152" s="706"/>
    </row>
    <row r="153" spans="2:40" x14ac:dyDescent="0.15">
      <c r="B153" s="1035" t="s">
        <v>406</v>
      </c>
      <c r="C153" s="1035"/>
      <c r="D153" s="1035"/>
      <c r="E153" s="1035"/>
      <c r="F153" s="1035"/>
      <c r="G153" s="1035"/>
      <c r="H153" s="1035"/>
      <c r="I153" s="1035"/>
      <c r="J153" s="1035"/>
      <c r="K153" s="1035"/>
      <c r="L153" s="1035"/>
      <c r="M153" s="1035"/>
      <c r="N153" s="1035"/>
      <c r="O153" s="1035"/>
      <c r="P153" s="1035"/>
      <c r="Q153" s="1035"/>
      <c r="R153" s="1035"/>
      <c r="S153" s="1035"/>
      <c r="T153" s="1035"/>
      <c r="U153" s="1035"/>
      <c r="V153" s="1035"/>
      <c r="W153" s="1035"/>
      <c r="X153" s="1035"/>
      <c r="Y153" s="1035"/>
      <c r="Z153" s="1035"/>
      <c r="AA153" s="1035"/>
      <c r="AB153" s="1035"/>
      <c r="AC153" s="1035"/>
      <c r="AD153" s="1035"/>
      <c r="AE153" s="1035"/>
      <c r="AF153" s="1035"/>
      <c r="AG153" s="1035"/>
      <c r="AH153" s="1035"/>
      <c r="AI153" s="1035"/>
      <c r="AJ153" s="1035"/>
      <c r="AK153" s="1035"/>
      <c r="AL153" s="1035"/>
    </row>
  </sheetData>
  <mergeCells count="65">
    <mergeCell ref="B153:AL153"/>
    <mergeCell ref="AI2:AN2"/>
    <mergeCell ref="AI3:AN3"/>
    <mergeCell ref="AI4:AN4"/>
    <mergeCell ref="AN5:AN6"/>
    <mergeCell ref="AK5:AK6"/>
    <mergeCell ref="AL5:AL6"/>
    <mergeCell ref="AM5:AM6"/>
    <mergeCell ref="AJ5:AJ6"/>
    <mergeCell ref="AI5:AI6"/>
    <mergeCell ref="AC2:AH2"/>
    <mergeCell ref="AC3:AH3"/>
    <mergeCell ref="AC4:AH4"/>
    <mergeCell ref="AC5:AC6"/>
    <mergeCell ref="AD5:AD6"/>
    <mergeCell ref="AE5:AE6"/>
    <mergeCell ref="AH5:AH6"/>
    <mergeCell ref="AF5:AF6"/>
    <mergeCell ref="AG5:AG6"/>
    <mergeCell ref="S5:S6"/>
    <mergeCell ref="T5:T6"/>
    <mergeCell ref="U5:U6"/>
    <mergeCell ref="B2:B6"/>
    <mergeCell ref="C2:C6"/>
    <mergeCell ref="E2:F4"/>
    <mergeCell ref="G2:J4"/>
    <mergeCell ref="H5:H6"/>
    <mergeCell ref="I5:I6"/>
    <mergeCell ref="D2:D6"/>
    <mergeCell ref="E5:E6"/>
    <mergeCell ref="F5:F6"/>
    <mergeCell ref="G5:G6"/>
    <mergeCell ref="J5:J6"/>
    <mergeCell ref="C57:C71"/>
    <mergeCell ref="W2:AB2"/>
    <mergeCell ref="W3:AB3"/>
    <mergeCell ref="W4:AB4"/>
    <mergeCell ref="Z5:Z6"/>
    <mergeCell ref="AA5:AA6"/>
    <mergeCell ref="AB5:AB6"/>
    <mergeCell ref="W5:W6"/>
    <mergeCell ref="X5:X6"/>
    <mergeCell ref="Y5:Y6"/>
    <mergeCell ref="Q2:V2"/>
    <mergeCell ref="Q3:V3"/>
    <mergeCell ref="Q4:V4"/>
    <mergeCell ref="V5:V6"/>
    <mergeCell ref="Q5:Q6"/>
    <mergeCell ref="R5:R6"/>
    <mergeCell ref="C73:C87"/>
    <mergeCell ref="C89:C103"/>
    <mergeCell ref="C120:C134"/>
    <mergeCell ref="C136:C151"/>
    <mergeCell ref="K2:P2"/>
    <mergeCell ref="K3:P3"/>
    <mergeCell ref="K4:P4"/>
    <mergeCell ref="K5:K6"/>
    <mergeCell ref="L5:L6"/>
    <mergeCell ref="M5:M6"/>
    <mergeCell ref="N5:N6"/>
    <mergeCell ref="O5:O6"/>
    <mergeCell ref="P5:P6"/>
    <mergeCell ref="C8:C22"/>
    <mergeCell ref="C24:C39"/>
    <mergeCell ref="C41:C55"/>
  </mergeCells>
  <dataValidations xWindow="230" yWindow="628" count="18">
    <dataValidation allowBlank="1" showInputMessage="1" showErrorMessage="1" promptTitle="Testis screening sensitivity" prompt="Select 'other' below and input screening sensitivity here. _x000a_" sqref="C135" xr:uid="{15675E5D-4CDA-41E5-B1A5-C9620DE7A881}"/>
    <dataValidation allowBlank="1" showInputMessage="1" showErrorMessage="1" promptTitle="Lung screening sensitivity" prompt="Select 'other' below and input screening sensitivity here. _x000a_" sqref="C119" xr:uid="{C3C6B64B-855F-4477-8D78-336CF876B139}"/>
    <dataValidation allowBlank="1" showInputMessage="1" showErrorMessage="1" promptTitle="Kidney screening sensitivity" prompt="Select 'other' below and input screening sensitivity here. _x000a_" sqref="C88" xr:uid="{E1974E17-4F81-44A5-8C03-8B1B25DB568B}"/>
    <dataValidation allowBlank="1" showInputMessage="1" showErrorMessage="1" promptTitle="Ovary screening sensitivity" prompt="Select 'other' below and input screening sensitivity here. _x000a_" sqref="C72" xr:uid="{755FA9D2-9B79-4DE8-A803-52B2E30534D8}"/>
    <dataValidation allowBlank="1" showInputMessage="1" showErrorMessage="1" promptTitle="Pancreas screening sensitivity" prompt="Select 'other' below and input screening sensitivity here. _x000a_" sqref="C56" xr:uid="{2F3CD9F2-5EEA-4783-A654-6F8C84112779}"/>
    <dataValidation allowBlank="1" showInputMessage="1" showErrorMessage="1" promptTitle="Colorectal screening sensitivity" prompt="Select 'other' below and input screening sensitivity here. _x000a_" sqref="C40" xr:uid="{78FD5341-29B9-4FD0-8D2E-2351C3EFFF93}"/>
    <dataValidation allowBlank="1" showInputMessage="1" showErrorMessage="1" promptTitle="Prostate screening sensitivity" prompt="Select 'other' below and input screening sensitivity here. _x000a_" sqref="C23" xr:uid="{35CC4FCA-7D66-489F-A070-3D6959836F40}"/>
    <dataValidation allowBlank="1" showInputMessage="1" showErrorMessage="1" promptTitle="CLL screening sensitivity" prompt="Select 'other' below and input screening sensitivity here._x000a_" sqref="C104" xr:uid="{F685F0B0-7C03-440D-9928-2D140B8F1645}"/>
    <dataValidation type="list" allowBlank="1" showInputMessage="1" showErrorMessage="1" sqref="C136" xr:uid="{F851D89D-3D11-42D3-BA80-C2DD78D41689}">
      <formula1>Testis_sensitivity</formula1>
    </dataValidation>
    <dataValidation type="list" allowBlank="1" showInputMessage="1" showErrorMessage="1" sqref="C120" xr:uid="{84C78A58-6210-40A8-A2BE-9A553B487AC9}">
      <formula1>Lung_sensitivity</formula1>
    </dataValidation>
    <dataValidation type="list" allowBlank="1" showInputMessage="1" showErrorMessage="1" sqref="C105" xr:uid="{00FAE7C9-8D89-43A3-91C3-642AFB29AF2E}">
      <formula1>CLL_sensitivity</formula1>
    </dataValidation>
    <dataValidation type="list" allowBlank="1" showInputMessage="1" showErrorMessage="1" sqref="C89" xr:uid="{939B2060-16A0-44F5-A034-6BE50C8049AE}">
      <formula1>Kidney_sensitivity</formula1>
    </dataValidation>
    <dataValidation type="list" allowBlank="1" showInputMessage="1" showErrorMessage="1" sqref="C73" xr:uid="{C8D5E7C0-4230-44A6-BADC-8D6F22CDEC1D}">
      <formula1>Ovary_sensitivity</formula1>
    </dataValidation>
    <dataValidation type="list" allowBlank="1" showInputMessage="1" showErrorMessage="1" sqref="C57" xr:uid="{807A516D-5D10-4E3B-B0B8-7616AFC12964}">
      <formula1>Pancreas_Sensitivity</formula1>
    </dataValidation>
    <dataValidation type="list" allowBlank="1" showInputMessage="1" showErrorMessage="1" sqref="C41" xr:uid="{7E131BE7-17FF-4450-9F43-963FE867346C}">
      <formula1>Colorectal_Sensitivity</formula1>
    </dataValidation>
    <dataValidation type="list" allowBlank="1" showInputMessage="1" showErrorMessage="1" sqref="C24" xr:uid="{6E175170-69D8-4745-A0CC-6A472EBFA1BD}">
      <formula1>Prostate_sensitivity</formula1>
    </dataValidation>
    <dataValidation allowBlank="1" showInputMessage="1" showErrorMessage="1" promptTitle="Breast screening sensitivity" prompt="Select 'other' below and input screening sensitivity here. _x000a_" sqref="C7" xr:uid="{2E7ABB92-F7AC-436A-9009-355F0640EB74}"/>
    <dataValidation type="list" allowBlank="1" showInputMessage="1" showErrorMessage="1" sqref="C8" xr:uid="{D84324E9-65EA-4BAA-B1D2-E89782BC6373}">
      <formula1>Breast_sensitivity</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FEDBD-C626-495A-8FB7-8E1D17510872}">
  <dimension ref="B1:AN154"/>
  <sheetViews>
    <sheetView topLeftCell="A103" zoomScale="90" zoomScaleNormal="90" workbookViewId="0">
      <selection activeCell="R8" sqref="R8"/>
    </sheetView>
  </sheetViews>
  <sheetFormatPr baseColWidth="10" defaultColWidth="11.1640625" defaultRowHeight="13" x14ac:dyDescent="0.15"/>
  <cols>
    <col min="1" max="1" width="3.83203125" style="546" customWidth="1"/>
    <col min="2" max="2" width="9.83203125" style="546" customWidth="1"/>
    <col min="3" max="3" width="21.1640625" style="740" customWidth="1"/>
    <col min="4" max="4" width="14.33203125" style="546" customWidth="1"/>
    <col min="5" max="6" width="8.6640625" style="546" customWidth="1"/>
    <col min="7" max="7" width="12.83203125" style="706" customWidth="1"/>
    <col min="8" max="9" width="12.83203125" style="546" hidden="1" customWidth="1"/>
    <col min="10" max="10" width="12.83203125" style="546" customWidth="1"/>
    <col min="11" max="16" width="8.33203125" style="546" customWidth="1"/>
    <col min="17" max="22" width="8.33203125" style="706" customWidth="1"/>
    <col min="23" max="40" width="8.33203125" style="546" customWidth="1"/>
    <col min="41" max="16384" width="11.1640625" style="546"/>
  </cols>
  <sheetData>
    <row r="1" spans="2:40" ht="14" thickBot="1" x14ac:dyDescent="0.2">
      <c r="C1" s="738"/>
    </row>
    <row r="2" spans="2:40" ht="13" customHeight="1" x14ac:dyDescent="0.15">
      <c r="B2" s="1161" t="s">
        <v>181</v>
      </c>
      <c r="C2" s="1116" t="s">
        <v>207</v>
      </c>
      <c r="D2" s="1136" t="s">
        <v>182</v>
      </c>
      <c r="E2" s="1164" t="s">
        <v>183</v>
      </c>
      <c r="F2" s="1164"/>
      <c r="G2" s="1166" t="s">
        <v>184</v>
      </c>
      <c r="H2" s="1167"/>
      <c r="I2" s="1167"/>
      <c r="J2" s="1168"/>
      <c r="K2" s="1087" t="s">
        <v>208</v>
      </c>
      <c r="L2" s="1088"/>
      <c r="M2" s="1088"/>
      <c r="N2" s="1088"/>
      <c r="O2" s="1088"/>
      <c r="P2" s="1089"/>
      <c r="Q2" s="1104" t="s">
        <v>208</v>
      </c>
      <c r="R2" s="1105"/>
      <c r="S2" s="1105"/>
      <c r="T2" s="1105"/>
      <c r="U2" s="1105"/>
      <c r="V2" s="1105"/>
      <c r="W2" s="1087" t="s">
        <v>208</v>
      </c>
      <c r="X2" s="1088"/>
      <c r="Y2" s="1088"/>
      <c r="Z2" s="1088"/>
      <c r="AA2" s="1088"/>
      <c r="AB2" s="1088"/>
      <c r="AC2" s="1104" t="s">
        <v>208</v>
      </c>
      <c r="AD2" s="1105"/>
      <c r="AE2" s="1105"/>
      <c r="AF2" s="1105"/>
      <c r="AG2" s="1105"/>
      <c r="AH2" s="1105"/>
      <c r="AI2" s="1087" t="s">
        <v>208</v>
      </c>
      <c r="AJ2" s="1088"/>
      <c r="AK2" s="1088"/>
      <c r="AL2" s="1088"/>
      <c r="AM2" s="1088"/>
      <c r="AN2" s="1089"/>
    </row>
    <row r="3" spans="2:40" ht="13" customHeight="1" x14ac:dyDescent="0.15">
      <c r="B3" s="1162"/>
      <c r="C3" s="1117"/>
      <c r="D3" s="1137"/>
      <c r="E3" s="1165"/>
      <c r="F3" s="1165"/>
      <c r="G3" s="1169"/>
      <c r="H3" s="1170"/>
      <c r="I3" s="1170"/>
      <c r="J3" s="1171"/>
      <c r="K3" s="1090">
        <v>0.5</v>
      </c>
      <c r="L3" s="1147"/>
      <c r="M3" s="1147"/>
      <c r="N3" s="1147"/>
      <c r="O3" s="1147"/>
      <c r="P3" s="1148"/>
      <c r="Q3" s="1159">
        <v>0.2</v>
      </c>
      <c r="R3" s="1160"/>
      <c r="S3" s="1160"/>
      <c r="T3" s="1160"/>
      <c r="U3" s="1160"/>
      <c r="V3" s="1160"/>
      <c r="W3" s="1157">
        <v>0.1</v>
      </c>
      <c r="X3" s="1158"/>
      <c r="Y3" s="1158"/>
      <c r="Z3" s="1158"/>
      <c r="AA3" s="1158"/>
      <c r="AB3" s="1158"/>
      <c r="AC3" s="1159">
        <v>0.05</v>
      </c>
      <c r="AD3" s="1160"/>
      <c r="AE3" s="1160"/>
      <c r="AF3" s="1160"/>
      <c r="AG3" s="1160"/>
      <c r="AH3" s="1160"/>
      <c r="AI3" s="1157">
        <v>0.01</v>
      </c>
      <c r="AJ3" s="1158"/>
      <c r="AK3" s="1158"/>
      <c r="AL3" s="1158"/>
      <c r="AM3" s="1158"/>
      <c r="AN3" s="1177"/>
    </row>
    <row r="4" spans="2:40" ht="13" customHeight="1" x14ac:dyDescent="0.15">
      <c r="B4" s="1162"/>
      <c r="C4" s="1117"/>
      <c r="D4" s="1137"/>
      <c r="E4" s="1165"/>
      <c r="F4" s="1165"/>
      <c r="G4" s="1169"/>
      <c r="H4" s="1170"/>
      <c r="I4" s="1170"/>
      <c r="J4" s="1171"/>
      <c r="K4" s="1149" t="s">
        <v>185</v>
      </c>
      <c r="L4" s="1150"/>
      <c r="M4" s="1150"/>
      <c r="N4" s="1150"/>
      <c r="O4" s="1150"/>
      <c r="P4" s="1151"/>
      <c r="Q4" s="1155" t="s">
        <v>185</v>
      </c>
      <c r="R4" s="1156"/>
      <c r="S4" s="1156"/>
      <c r="T4" s="1156"/>
      <c r="U4" s="1156"/>
      <c r="V4" s="1156"/>
      <c r="W4" s="1149" t="s">
        <v>185</v>
      </c>
      <c r="X4" s="1150"/>
      <c r="Y4" s="1150"/>
      <c r="Z4" s="1150"/>
      <c r="AA4" s="1150"/>
      <c r="AB4" s="1150"/>
      <c r="AC4" s="1155" t="s">
        <v>185</v>
      </c>
      <c r="AD4" s="1156"/>
      <c r="AE4" s="1156"/>
      <c r="AF4" s="1156"/>
      <c r="AG4" s="1156"/>
      <c r="AH4" s="1156"/>
      <c r="AI4" s="1152" t="s">
        <v>185</v>
      </c>
      <c r="AJ4" s="1153"/>
      <c r="AK4" s="1153"/>
      <c r="AL4" s="1153"/>
      <c r="AM4" s="1153"/>
      <c r="AN4" s="1154"/>
    </row>
    <row r="5" spans="2:40" ht="45" customHeight="1" x14ac:dyDescent="0.15">
      <c r="B5" s="1162"/>
      <c r="C5" s="1117"/>
      <c r="D5" s="1137"/>
      <c r="E5" s="1173" t="s">
        <v>40</v>
      </c>
      <c r="F5" s="1173" t="s">
        <v>41</v>
      </c>
      <c r="G5" s="1175" t="s">
        <v>209</v>
      </c>
      <c r="H5" s="1176" t="s">
        <v>187</v>
      </c>
      <c r="I5" s="1176" t="s">
        <v>188</v>
      </c>
      <c r="J5" s="1172" t="s">
        <v>291</v>
      </c>
      <c r="K5" s="1096" t="s">
        <v>354</v>
      </c>
      <c r="L5" s="1098" t="s">
        <v>346</v>
      </c>
      <c r="M5" s="1100" t="s">
        <v>355</v>
      </c>
      <c r="N5" s="1100" t="s">
        <v>356</v>
      </c>
      <c r="O5" s="1098" t="s">
        <v>357</v>
      </c>
      <c r="P5" s="1102" t="s">
        <v>212</v>
      </c>
      <c r="Q5" s="1112" t="s">
        <v>354</v>
      </c>
      <c r="R5" s="1114" t="s">
        <v>346</v>
      </c>
      <c r="S5" s="1145" t="s">
        <v>355</v>
      </c>
      <c r="T5" s="1145" t="s">
        <v>356</v>
      </c>
      <c r="U5" s="1114" t="s">
        <v>357</v>
      </c>
      <c r="V5" s="1110" t="s">
        <v>212</v>
      </c>
      <c r="W5" s="1096" t="s">
        <v>354</v>
      </c>
      <c r="X5" s="1098" t="s">
        <v>346</v>
      </c>
      <c r="Y5" s="1100" t="s">
        <v>355</v>
      </c>
      <c r="Z5" s="1100" t="s">
        <v>356</v>
      </c>
      <c r="AA5" s="1098" t="s">
        <v>357</v>
      </c>
      <c r="AB5" s="1102" t="s">
        <v>212</v>
      </c>
      <c r="AC5" s="1112" t="s">
        <v>354</v>
      </c>
      <c r="AD5" s="1114" t="s">
        <v>346</v>
      </c>
      <c r="AE5" s="1145" t="s">
        <v>355</v>
      </c>
      <c r="AF5" s="1145" t="s">
        <v>356</v>
      </c>
      <c r="AG5" s="1114" t="s">
        <v>357</v>
      </c>
      <c r="AH5" s="1110" t="s">
        <v>212</v>
      </c>
      <c r="AI5" s="1096" t="s">
        <v>354</v>
      </c>
      <c r="AJ5" s="1098" t="s">
        <v>346</v>
      </c>
      <c r="AK5" s="1100" t="s">
        <v>355</v>
      </c>
      <c r="AL5" s="1100" t="s">
        <v>356</v>
      </c>
      <c r="AM5" s="1098" t="s">
        <v>357</v>
      </c>
      <c r="AN5" s="1102" t="s">
        <v>212</v>
      </c>
    </row>
    <row r="6" spans="2:40" ht="45" customHeight="1" thickBot="1" x14ac:dyDescent="0.2">
      <c r="B6" s="1163"/>
      <c r="C6" s="1118"/>
      <c r="D6" s="1138"/>
      <c r="E6" s="1174"/>
      <c r="F6" s="1174"/>
      <c r="G6" s="1141"/>
      <c r="H6" s="1134"/>
      <c r="I6" s="1134"/>
      <c r="J6" s="1143"/>
      <c r="K6" s="1097"/>
      <c r="L6" s="1099"/>
      <c r="M6" s="1101"/>
      <c r="N6" s="1101"/>
      <c r="O6" s="1099"/>
      <c r="P6" s="1103"/>
      <c r="Q6" s="1113"/>
      <c r="R6" s="1115"/>
      <c r="S6" s="1146"/>
      <c r="T6" s="1146"/>
      <c r="U6" s="1115"/>
      <c r="V6" s="1111"/>
      <c r="W6" s="1097"/>
      <c r="X6" s="1099"/>
      <c r="Y6" s="1101"/>
      <c r="Z6" s="1101"/>
      <c r="AA6" s="1099"/>
      <c r="AB6" s="1103"/>
      <c r="AC6" s="1113"/>
      <c r="AD6" s="1115"/>
      <c r="AE6" s="1146"/>
      <c r="AF6" s="1146"/>
      <c r="AG6" s="1115"/>
      <c r="AH6" s="1111"/>
      <c r="AI6" s="1097"/>
      <c r="AJ6" s="1099"/>
      <c r="AK6" s="1101"/>
      <c r="AL6" s="1101"/>
      <c r="AM6" s="1099"/>
      <c r="AN6" s="1103"/>
    </row>
    <row r="7" spans="2:40" ht="21" customHeight="1" thickBot="1" x14ac:dyDescent="0.2">
      <c r="B7" s="686" t="s">
        <v>8</v>
      </c>
      <c r="C7" s="687"/>
      <c r="D7" s="688"/>
      <c r="E7" s="689"/>
      <c r="F7" s="690"/>
      <c r="G7" s="691"/>
      <c r="H7" s="692"/>
      <c r="I7" s="692"/>
      <c r="J7" s="693"/>
      <c r="K7" s="694"/>
      <c r="L7" s="694"/>
      <c r="M7" s="694"/>
      <c r="N7" s="694"/>
      <c r="O7" s="694"/>
      <c r="P7" s="694"/>
      <c r="Q7" s="695"/>
      <c r="R7" s="696"/>
      <c r="S7" s="696"/>
      <c r="T7" s="696"/>
      <c r="U7" s="696"/>
      <c r="V7" s="697"/>
      <c r="W7" s="695"/>
      <c r="X7" s="696"/>
      <c r="Y7" s="696"/>
      <c r="Z7" s="696"/>
      <c r="AA7" s="696"/>
      <c r="AB7" s="697"/>
      <c r="AC7" s="696"/>
      <c r="AD7" s="696"/>
      <c r="AE7" s="696"/>
      <c r="AF7" s="698"/>
      <c r="AG7" s="696"/>
      <c r="AH7" s="697"/>
      <c r="AI7" s="695"/>
      <c r="AJ7" s="696"/>
      <c r="AK7" s="696"/>
      <c r="AL7" s="696"/>
      <c r="AM7" s="696"/>
      <c r="AN7" s="699"/>
    </row>
    <row r="8" spans="2:40" x14ac:dyDescent="0.15">
      <c r="B8" s="700" t="s">
        <v>8</v>
      </c>
      <c r="C8" s="720" t="s">
        <v>162</v>
      </c>
      <c r="D8" s="593" t="s">
        <v>192</v>
      </c>
      <c r="E8" s="701">
        <f>VLOOKUP($B8&amp;"_"&amp;$D8,'App5 - CRUK Inci Rates'!C:H,6,FALSE)</f>
        <v>0</v>
      </c>
      <c r="F8" s="702">
        <f>VLOOKUP($B8&amp;"_"&amp;$D8,'App5 - CRUK Inci Rates'!C:H,3,FALSE)</f>
        <v>124.6</v>
      </c>
      <c r="G8" s="703">
        <f>VLOOKUP($B8&amp;"_"&amp;$D8,'App5 - CRUK Inci Rates'!C:J,8,FALSE)</f>
        <v>2054223.3333333333</v>
      </c>
      <c r="H8" s="704">
        <f>VLOOKUP($B8&amp;"_"&amp;$D8,'App5 - CRUK Inci Rates'!C:J,7,FALSE)</f>
        <v>0</v>
      </c>
      <c r="I8" s="704">
        <f>VLOOKUP($B8&amp;"_"&amp;$D8,'App5 - CRUK Inci Rates'!C:J,4,FALSE)</f>
        <v>2054223.3333333333</v>
      </c>
      <c r="J8" s="705">
        <f>VLOOKUP($B8&amp;"_"&amp;$D8,'App5 - CRUK Inci Rates'!C:K,9,FALSE)</f>
        <v>2559</v>
      </c>
      <c r="K8" s="706">
        <f>$G8*$K$3</f>
        <v>1027111.6666666666</v>
      </c>
      <c r="L8" s="706">
        <f>VLOOKUP("*"&amp;$B8&amp;"*",'S4 - Summ PRS Characteristics'!$C$13:$Q$20,11,FALSE)*$J8</f>
        <v>1934.3944097516603</v>
      </c>
      <c r="M8" s="706">
        <f>$J8-$L8</f>
        <v>624.60559024833969</v>
      </c>
      <c r="N8" s="706">
        <f>IF($C8="other",(1-$C$7)*L8,(1-(VLOOKUP($C8,'S3 - Screening Tool Metrics'!$C$3:$G$17,5,FALSE)/100))*L8)</f>
        <v>580.31832292549814</v>
      </c>
      <c r="O8" s="706">
        <f>IF($C8="other",$C$7*L8,(VLOOKUP($C8,'S3 - Screening Tool Metrics'!$C$3:$G$17,5,FALSE)/100)*L8)</f>
        <v>1354.0760868261621</v>
      </c>
      <c r="P8" s="706">
        <f>O8/J8*100</f>
        <v>52.914266777106768</v>
      </c>
      <c r="Q8" s="707">
        <f t="shared" ref="Q8:Q21" si="0">$G8*Q$3</f>
        <v>410844.66666666669</v>
      </c>
      <c r="R8" s="706">
        <f>VLOOKUP("*"&amp;$B8&amp;"*",'S4 - Summ PRS Characteristics'!$C$13:$Q$20,12,FALSE)*$J8</f>
        <v>1128.5648077019157</v>
      </c>
      <c r="S8" s="706">
        <f>$J8-R8</f>
        <v>1430.4351922980843</v>
      </c>
      <c r="T8" s="706">
        <f>IF($C8="other",(1-$C7)*R8,(1-(VLOOKUP($C8,'S3 - Screening Tool Metrics'!$C$3:$G$17,5,FALSE)/100))*R8)</f>
        <v>338.56944231057474</v>
      </c>
      <c r="U8" s="706">
        <f>IF($C8="other",$C7*R8,(VLOOKUP($C8,'S3 - Screening Tool Metrics'!$C$3:$G$17,5,FALSE)/100)*R8)</f>
        <v>789.9953653913409</v>
      </c>
      <c r="V8" s="708">
        <f t="shared" ref="V8:V21" si="1">U8/J8*100</f>
        <v>30.871253043819497</v>
      </c>
      <c r="W8" s="707">
        <f>G8*W3</f>
        <v>205422.33333333334</v>
      </c>
      <c r="X8" s="706">
        <f>VLOOKUP("*"&amp;$B8&amp;"*",'S4 - Summ PRS Characteristics'!$C$13:$Q$20,13,FALSE)*$J8</f>
        <v>711.80886756758241</v>
      </c>
      <c r="Y8" s="706">
        <f>$J8-X8</f>
        <v>1847.1911324324176</v>
      </c>
      <c r="Z8" s="706">
        <f>IF($C8="other",(1-$C7)*X8,(1-(VLOOKUP($C8,'S3 - Screening Tool Metrics'!$C$3:$G$17,5,FALSE)/100))*X8)</f>
        <v>213.54266027027475</v>
      </c>
      <c r="AA8" s="706">
        <f>IF($C8="other",$C7*X8,(VLOOKUP($C8,'S3 - Screening Tool Metrics'!$C$3:$G$17,5,FALSE)/100)*X8)</f>
        <v>498.26620729730763</v>
      </c>
      <c r="AB8" s="708">
        <f t="shared" ref="AB8:AB21" si="2">$AA8/$J8*100</f>
        <v>19.471129632563798</v>
      </c>
      <c r="AC8" s="706">
        <f t="shared" ref="AC8:AC21" si="3">$G8*AC$3</f>
        <v>102711.16666666667</v>
      </c>
      <c r="AD8" s="706">
        <f>VLOOKUP("*"&amp;$B8&amp;"*",'S4 - Summ PRS Characteristics'!$C$13:$Q$20,14,FALSE)*$J8</f>
        <v>436.67932799548868</v>
      </c>
      <c r="AE8" s="706">
        <f>$J8-AD8</f>
        <v>2122.3206720045114</v>
      </c>
      <c r="AF8" s="706">
        <f>IF($C8="other",(1-$C7)*AD8,(1-(VLOOKUP($C8,'S3 - Screening Tool Metrics'!$C$3:$G$17,5,FALSE)/100))*AD8)</f>
        <v>131.00379839864661</v>
      </c>
      <c r="AG8" s="706">
        <f>IF($C8="other",$C7*AD8,(VLOOKUP($C8,'S3 - Screening Tool Metrics'!$C$3:$G$17,5,FALSE)/100)*AD8)</f>
        <v>305.67552959684207</v>
      </c>
      <c r="AH8" s="708">
        <f t="shared" ref="AH8:AH21" si="4">$AG8/$J8*100</f>
        <v>11.945116435984451</v>
      </c>
      <c r="AI8" s="707">
        <f t="shared" ref="AI8:AI21" si="5">$G8*AI$3</f>
        <v>20542.233333333334</v>
      </c>
      <c r="AJ8" s="706">
        <f>VLOOKUP("*"&amp;$B8&amp;"*",'S4 - Summ PRS Characteristics'!$C$13:$Q$20,15,FALSE)*$J8</f>
        <v>131.07797215518673</v>
      </c>
      <c r="AK8" s="706">
        <f>$J8-AJ8</f>
        <v>2427.9220278448133</v>
      </c>
      <c r="AL8" s="706">
        <f>IF($C8="other",(1-$C7)*AJ8,(1-(VLOOKUP($C8,'S3 - Screening Tool Metrics'!$C$3:$G$17,5,FALSE)/100))*AJ8)</f>
        <v>39.323391646556026</v>
      </c>
      <c r="AM8" s="706">
        <f>IF($C8="other",$C7*AJ8,(VLOOKUP($C8,'S3 - Screening Tool Metrics'!$C$3:$G$17,5,FALSE)/100)*AJ8)</f>
        <v>91.75458050863071</v>
      </c>
      <c r="AN8" s="709">
        <f t="shared" ref="AN8:AN21" si="6">$AM8/$J8*100</f>
        <v>3.5855639120215206</v>
      </c>
    </row>
    <row r="9" spans="2:40" x14ac:dyDescent="0.15">
      <c r="B9" s="700" t="s">
        <v>8</v>
      </c>
      <c r="C9" s="721" t="str">
        <f>$C8</f>
        <v>Digital mammography</v>
      </c>
      <c r="D9" s="552" t="s">
        <v>193</v>
      </c>
      <c r="E9" s="710">
        <f>VLOOKUP($B9&amp;"_"&amp;$D9,'App5 - CRUK Inci Rates'!C:H,6,FALSE)</f>
        <v>0</v>
      </c>
      <c r="F9" s="711">
        <f>VLOOKUP($B9&amp;"_"&amp;$D9,'App5 - CRUK Inci Rates'!C:H,3,FALSE)</f>
        <v>214.8</v>
      </c>
      <c r="G9" s="712">
        <f>VLOOKUP($B9&amp;"_"&amp;$D9,'App5 - CRUK Inci Rates'!C:J,8,FALSE)</f>
        <v>2315479.3333333335</v>
      </c>
      <c r="H9" s="713">
        <f>VLOOKUP($B9&amp;"_"&amp;$D9,'App5 - CRUK Inci Rates'!C:J,7,FALSE)</f>
        <v>0</v>
      </c>
      <c r="I9" s="713">
        <f>VLOOKUP($B9&amp;"_"&amp;$D9,'App5 - CRUK Inci Rates'!C:J,4,FALSE)</f>
        <v>2315479.3333333335</v>
      </c>
      <c r="J9" s="709">
        <f>VLOOKUP($B9&amp;"_"&amp;$D9,'App5 - CRUK Inci Rates'!C:K,9,FALSE)</f>
        <v>4974</v>
      </c>
      <c r="K9" s="706">
        <f t="shared" ref="K9:K73" si="7">$G9*$K$3</f>
        <v>1157739.6666666667</v>
      </c>
      <c r="L9" s="706">
        <f>VLOOKUP("*"&amp;$B9&amp;"*",'S4 - Summ PRS Characteristics'!$C$13:$Q$20,11,FALSE)*$J9</f>
        <v>3759.9366135618438</v>
      </c>
      <c r="M9" s="706">
        <f t="shared" ref="M9:M73" si="8">$J9-$L9</f>
        <v>1214.0633864381562</v>
      </c>
      <c r="N9" s="706">
        <f>IF($C9="other",(1-$C$7)*L9,(1-(VLOOKUP($C9,'S3 - Screening Tool Metrics'!$C$3:$G$17,5,FALSE)/100))*L9)</f>
        <v>1127.9809840685534</v>
      </c>
      <c r="O9" s="706">
        <f>IF($C9="other",$C$7*L9,(VLOOKUP($C9,'S3 - Screening Tool Metrics'!$C$3:$G$17,5,FALSE)/100)*L9)</f>
        <v>2631.9556294932904</v>
      </c>
      <c r="P9" s="706">
        <f t="shared" ref="P9:P73" si="9">O9/J9*100</f>
        <v>52.914266777106768</v>
      </c>
      <c r="Q9" s="707">
        <f t="shared" si="0"/>
        <v>463095.8666666667</v>
      </c>
      <c r="R9" s="706">
        <f>VLOOKUP("*"&amp;$B9&amp;"*",'S4 - Summ PRS Characteristics'!$C$13:$Q$20,12,FALSE)*$J9</f>
        <v>2193.6230377136885</v>
      </c>
      <c r="S9" s="706">
        <f t="shared" ref="S9:S21" si="10">$J9-R9</f>
        <v>2780.3769622863115</v>
      </c>
      <c r="T9" s="706">
        <f>IF($C9="other",(1-$C7)*R9,(1-(VLOOKUP($C9,'S3 - Screening Tool Metrics'!$C$3:$G$17,5,FALSE)/100))*R9)</f>
        <v>658.0869113141066</v>
      </c>
      <c r="U9" s="706">
        <f>IF($C9="other",$C7*R9,(VLOOKUP($C9,'S3 - Screening Tool Metrics'!$C$3:$G$17,5,FALSE)/100)*R9)</f>
        <v>1535.5361263995819</v>
      </c>
      <c r="V9" s="708">
        <f t="shared" si="1"/>
        <v>30.8712530438195</v>
      </c>
      <c r="W9" s="707">
        <f t="shared" ref="W9:W21" si="11">$G9*W$3</f>
        <v>231547.93333333335</v>
      </c>
      <c r="X9" s="706">
        <f>VLOOKUP("*"&amp;$B9&amp;"*",'S4 - Summ PRS Characteristics'!$C$13:$Q$20,13,FALSE)*$J9</f>
        <v>1383.5628398910335</v>
      </c>
      <c r="Y9" s="706">
        <f t="shared" ref="Y9:Y21" si="12">$J9-X9</f>
        <v>3590.4371601089665</v>
      </c>
      <c r="Z9" s="706">
        <f>IF($C9="other",(1-$C7)*X9,(1-(VLOOKUP($C9,'S3 - Screening Tool Metrics'!$C$3:$G$17,5,FALSE)/100))*X9)</f>
        <v>415.06885196731008</v>
      </c>
      <c r="AA9" s="706">
        <f>IF($C9="other",$C7*X9,(VLOOKUP($C9,'S3 - Screening Tool Metrics'!$C$3:$G$17,5,FALSE)/100)*X9)</f>
        <v>968.49398792372335</v>
      </c>
      <c r="AB9" s="708">
        <f t="shared" si="2"/>
        <v>19.471129632563798</v>
      </c>
      <c r="AC9" s="706">
        <f t="shared" si="3"/>
        <v>115773.96666666667</v>
      </c>
      <c r="AD9" s="706">
        <f>VLOOKUP("*"&amp;$B9&amp;"*",'S4 - Summ PRS Characteristics'!$C$13:$Q$20,14,FALSE)*$J9</f>
        <v>848.7858450369522</v>
      </c>
      <c r="AE9" s="706">
        <f>$J9-AD9</f>
        <v>4125.2141549630478</v>
      </c>
      <c r="AF9" s="706">
        <f>IF($C9="other",(1-$C7)*AD9,(1-(VLOOKUP($C9,'S3 - Screening Tool Metrics'!$C$3:$G$17,5,FALSE)/100))*AD9)</f>
        <v>254.63575351108571</v>
      </c>
      <c r="AG9" s="706">
        <f>IF($C9="other",$C7*AD9,(VLOOKUP($C9,'S3 - Screening Tool Metrics'!$C$3:$G$17,5,FALSE)/100)*AD9)</f>
        <v>594.15009152586651</v>
      </c>
      <c r="AH9" s="708">
        <f t="shared" si="4"/>
        <v>11.945116435984451</v>
      </c>
      <c r="AI9" s="707">
        <f t="shared" si="5"/>
        <v>23154.793333333335</v>
      </c>
      <c r="AJ9" s="706">
        <f>VLOOKUP("*"&amp;$B9&amp;"*",'S4 - Summ PRS Characteristics'!$C$13:$Q$20,15,FALSE)*$J9</f>
        <v>254.77992711992917</v>
      </c>
      <c r="AK9" s="706">
        <f t="shared" ref="AK9:AK21" si="13">$J9-AJ9</f>
        <v>4719.2200728800708</v>
      </c>
      <c r="AL9" s="706">
        <f>IF($C9="other",(1-$C7)*AJ9,(1-(VLOOKUP($C9,'S3 - Screening Tool Metrics'!$C$3:$G$17,5,FALSE)/100))*AJ9)</f>
        <v>76.433978135978762</v>
      </c>
      <c r="AM9" s="706">
        <f>IF($C9="other",$C7*AJ9,(VLOOKUP($C9,'S3 - Screening Tool Metrics'!$C$3:$G$17,5,FALSE)/100)*AJ9)</f>
        <v>178.34594898395042</v>
      </c>
      <c r="AN9" s="709">
        <f t="shared" si="6"/>
        <v>3.5855639120215201</v>
      </c>
    </row>
    <row r="10" spans="2:40" x14ac:dyDescent="0.15">
      <c r="B10" s="700" t="s">
        <v>8</v>
      </c>
      <c r="C10" s="721" t="str">
        <f>$C8</f>
        <v>Digital mammography</v>
      </c>
      <c r="D10" s="552" t="s">
        <v>194</v>
      </c>
      <c r="E10" s="710">
        <f>VLOOKUP($B10&amp;"_"&amp;$D10,'App5 - CRUK Inci Rates'!C:H,6,FALSE)</f>
        <v>0</v>
      </c>
      <c r="F10" s="711">
        <f>VLOOKUP($B10&amp;"_"&amp;$D10,'App5 - CRUK Inci Rates'!C:H,3,FALSE)</f>
        <v>279.8</v>
      </c>
      <c r="G10" s="712">
        <f>VLOOKUP($B10&amp;"_"&amp;$D10,'App5 - CRUK Inci Rates'!C:J,8,FALSE)</f>
        <v>2364638</v>
      </c>
      <c r="H10" s="713">
        <f>VLOOKUP($B10&amp;"_"&amp;$D10,'App5 - CRUK Inci Rates'!C:J,7,FALSE)</f>
        <v>0</v>
      </c>
      <c r="I10" s="713">
        <f>VLOOKUP($B10&amp;"_"&amp;$D10,'App5 - CRUK Inci Rates'!C:J,4,FALSE)</f>
        <v>2364638</v>
      </c>
      <c r="J10" s="709">
        <f>VLOOKUP($B10&amp;"_"&amp;$D10,'App5 - CRUK Inci Rates'!C:K,9,FALSE)</f>
        <v>6616</v>
      </c>
      <c r="K10" s="706">
        <f t="shared" si="7"/>
        <v>1182319</v>
      </c>
      <c r="L10" s="706">
        <f>VLOOKUP("*"&amp;$B10&amp;"*",'S4 - Summ PRS Characteristics'!$C$13:$Q$20,11,FALSE)*$J10</f>
        <v>5001.154128533406</v>
      </c>
      <c r="M10" s="706">
        <f t="shared" si="8"/>
        <v>1614.845871466594</v>
      </c>
      <c r="N10" s="706">
        <f>IF($C10="other",(1-$C$7)*L10,(1-(VLOOKUP($C10,'S3 - Screening Tool Metrics'!$C$3:$G$17,5,FALSE)/100))*L10)</f>
        <v>1500.3462385600221</v>
      </c>
      <c r="O10" s="706">
        <f>IF($C10="other",$C$7*L10,(VLOOKUP($C10,'S3 - Screening Tool Metrics'!$C$3:$G$17,5,FALSE)/100)*L10)</f>
        <v>3500.8078899733841</v>
      </c>
      <c r="P10" s="706">
        <f t="shared" si="9"/>
        <v>52.914266777106775</v>
      </c>
      <c r="Q10" s="707">
        <f t="shared" si="0"/>
        <v>472927.60000000003</v>
      </c>
      <c r="R10" s="706">
        <f>VLOOKUP("*"&amp;$B10&amp;"*",'S4 - Summ PRS Characteristics'!$C$13:$Q$20,12,FALSE)*$J10</f>
        <v>2917.7744305415686</v>
      </c>
      <c r="S10" s="706">
        <f t="shared" si="10"/>
        <v>3698.2255694584314</v>
      </c>
      <c r="T10" s="706">
        <f>IF($C10="other",(1-$C7)*R10,(1-(VLOOKUP($C10,'S3 - Screening Tool Metrics'!$C$3:$G$17,5,FALSE)/100))*R10)</f>
        <v>875.33232916247073</v>
      </c>
      <c r="U10" s="706">
        <f>IF($C10="other",$C7*R10,(VLOOKUP($C10,'S3 - Screening Tool Metrics'!$C$3:$G$17,5,FALSE)/100)*R10)</f>
        <v>2042.4421013790979</v>
      </c>
      <c r="V10" s="708">
        <f t="shared" si="1"/>
        <v>30.871253043819497</v>
      </c>
      <c r="W10" s="707">
        <f t="shared" si="11"/>
        <v>236463.80000000002</v>
      </c>
      <c r="X10" s="706">
        <f>VLOOKUP("*"&amp;$B10&amp;"*",'S4 - Summ PRS Characteristics'!$C$13:$Q$20,13,FALSE)*$J10</f>
        <v>1840.2999092720302</v>
      </c>
      <c r="Y10" s="706">
        <f t="shared" si="12"/>
        <v>4775.7000907279698</v>
      </c>
      <c r="Z10" s="706">
        <f>IF($C10="other",(1-$C7)*X10,(1-(VLOOKUP($C10,'S3 - Screening Tool Metrics'!$C$3:$G$17,5,FALSE)/100))*X10)</f>
        <v>552.08997278160916</v>
      </c>
      <c r="AA10" s="706">
        <f>IF($C10="other",$C7*X10,(VLOOKUP($C10,'S3 - Screening Tool Metrics'!$C$3:$G$17,5,FALSE)/100)*X10)</f>
        <v>1288.2099364904211</v>
      </c>
      <c r="AB10" s="708">
        <f t="shared" si="2"/>
        <v>19.471129632563802</v>
      </c>
      <c r="AC10" s="706">
        <f t="shared" si="3"/>
        <v>118231.90000000001</v>
      </c>
      <c r="AD10" s="706">
        <f>VLOOKUP("*"&amp;$B10&amp;"*",'S4 - Summ PRS Characteristics'!$C$13:$Q$20,14,FALSE)*$J10</f>
        <v>1128.9841477210446</v>
      </c>
      <c r="AE10" s="706">
        <f t="shared" ref="AE10:AE21" si="14">$J10-AD10</f>
        <v>5487.0158522789552</v>
      </c>
      <c r="AF10" s="706">
        <f>IF($C10="other",(1-$C7)*AD10,(1-(VLOOKUP($C10,'S3 - Screening Tool Metrics'!$C$3:$G$17,5,FALSE)/100))*AD10)</f>
        <v>338.69524431631339</v>
      </c>
      <c r="AG10" s="706">
        <f>IF($C10="other",$C7*AD10,(VLOOKUP($C10,'S3 - Screening Tool Metrics'!$C$3:$G$17,5,FALSE)/100)*AD10)</f>
        <v>790.28890340473117</v>
      </c>
      <c r="AH10" s="708">
        <f t="shared" si="4"/>
        <v>11.945116435984451</v>
      </c>
      <c r="AI10" s="707">
        <f t="shared" si="5"/>
        <v>23646.38</v>
      </c>
      <c r="AJ10" s="706">
        <f>VLOOKUP("*"&amp;$B10&amp;"*",'S4 - Summ PRS Characteristics'!$C$13:$Q$20,15,FALSE)*$J10</f>
        <v>338.887012027634</v>
      </c>
      <c r="AK10" s="706">
        <f t="shared" si="13"/>
        <v>6277.1129879723658</v>
      </c>
      <c r="AL10" s="706">
        <f>IF($C10="other",(1-$C7)*AJ10,(1-(VLOOKUP($C10,'S3 - Screening Tool Metrics'!$C$3:$G$17,5,FALSE)/100))*AJ10)</f>
        <v>101.66610360829021</v>
      </c>
      <c r="AM10" s="706">
        <f>IF($C10="other",$C7*AJ10,(VLOOKUP($C10,'S3 - Screening Tool Metrics'!$C$3:$G$17,5,FALSE)/100)*AJ10)</f>
        <v>237.22090841934377</v>
      </c>
      <c r="AN10" s="709">
        <f t="shared" si="6"/>
        <v>3.5855639120215201</v>
      </c>
    </row>
    <row r="11" spans="2:40" x14ac:dyDescent="0.15">
      <c r="B11" s="700" t="s">
        <v>8</v>
      </c>
      <c r="C11" s="721" t="str">
        <f>$C8</f>
        <v>Digital mammography</v>
      </c>
      <c r="D11" s="552" t="s">
        <v>195</v>
      </c>
      <c r="E11" s="710">
        <f>VLOOKUP($B11&amp;"_"&amp;$D11,'App5 - CRUK Inci Rates'!C:H,6,FALSE)</f>
        <v>0</v>
      </c>
      <c r="F11" s="711">
        <f>VLOOKUP($B11&amp;"_"&amp;$D11,'App5 - CRUK Inci Rates'!C:H,3,FALSE)</f>
        <v>285.5</v>
      </c>
      <c r="G11" s="712">
        <f>VLOOKUP($B11&amp;"_"&amp;$D11,'App5 - CRUK Inci Rates'!C:J,8,FALSE)</f>
        <v>2119687.3333333335</v>
      </c>
      <c r="H11" s="713">
        <f>VLOOKUP($B11&amp;"_"&amp;$D11,'App5 - CRUK Inci Rates'!C:J,7,FALSE)</f>
        <v>0</v>
      </c>
      <c r="I11" s="713">
        <f>VLOOKUP($B11&amp;"_"&amp;$D11,'App5 - CRUK Inci Rates'!C:J,4,FALSE)</f>
        <v>2119687.3333333335</v>
      </c>
      <c r="J11" s="709">
        <f>VLOOKUP($B11&amp;"_"&amp;$D11,'App5 - CRUK Inci Rates'!C:K,9,FALSE)</f>
        <v>6052</v>
      </c>
      <c r="K11" s="706">
        <f t="shared" si="7"/>
        <v>1059843.6666666667</v>
      </c>
      <c r="L11" s="706">
        <f>VLOOKUP("*"&amp;$B11&amp;"*",'S4 - Summ PRS Characteristics'!$C$13:$Q$20,11,FALSE)*$J11</f>
        <v>4574.8163219292883</v>
      </c>
      <c r="M11" s="706">
        <f t="shared" si="8"/>
        <v>1477.1836780707117</v>
      </c>
      <c r="N11" s="706">
        <f>IF($C11="other",(1-$C$7)*L11,(1-(VLOOKUP($C11,'S3 - Screening Tool Metrics'!$C$3:$G$17,5,FALSE)/100))*L11)</f>
        <v>1372.4448965787867</v>
      </c>
      <c r="O11" s="706">
        <f>IF($C11="other",$C$7*L11,(VLOOKUP($C11,'S3 - Screening Tool Metrics'!$C$3:$G$17,5,FALSE)/100)*L11)</f>
        <v>3202.3714253505018</v>
      </c>
      <c r="P11" s="706">
        <f t="shared" si="9"/>
        <v>52.914266777106768</v>
      </c>
      <c r="Q11" s="707">
        <f t="shared" si="0"/>
        <v>423937.46666666673</v>
      </c>
      <c r="R11" s="706">
        <f>VLOOKUP("*"&amp;$B11&amp;"*",'S4 - Summ PRS Characteristics'!$C$13:$Q$20,12,FALSE)*$J11</f>
        <v>2669.0403345885088</v>
      </c>
      <c r="S11" s="706">
        <f t="shared" si="10"/>
        <v>3382.9596654114912</v>
      </c>
      <c r="T11" s="706">
        <f>IF($C11="other",(1-$C7)*R11,(1-(VLOOKUP($C11,'S3 - Screening Tool Metrics'!$C$3:$G$17,5,FALSE)/100))*R11)</f>
        <v>800.71210037655271</v>
      </c>
      <c r="U11" s="706">
        <f>IF($C11="other",$C7*R11,(VLOOKUP($C11,'S3 - Screening Tool Metrics'!$C$3:$G$17,5,FALSE)/100)*R11)</f>
        <v>1868.328234211956</v>
      </c>
      <c r="V11" s="708">
        <f t="shared" si="1"/>
        <v>30.871253043819497</v>
      </c>
      <c r="W11" s="707">
        <f t="shared" si="11"/>
        <v>211968.73333333337</v>
      </c>
      <c r="X11" s="706">
        <f>VLOOKUP("*"&amp;$B11&amp;"*",'S4 - Summ PRS Characteristics'!$C$13:$Q$20,13,FALSE)*$J11</f>
        <v>1683.4182362325159</v>
      </c>
      <c r="Y11" s="706">
        <f t="shared" si="12"/>
        <v>4368.5817637674845</v>
      </c>
      <c r="Z11" s="706">
        <f>IF($C11="other",(1-$C7)*X11,(1-(VLOOKUP($C11,'S3 - Screening Tool Metrics'!$C$3:$G$17,5,FALSE)/100))*X11)</f>
        <v>505.02547086975488</v>
      </c>
      <c r="AA11" s="706">
        <f>IF($C11="other",$C7*X11,(VLOOKUP($C11,'S3 - Screening Tool Metrics'!$C$3:$G$17,5,FALSE)/100)*X11)</f>
        <v>1178.3927653627611</v>
      </c>
      <c r="AB11" s="708">
        <f t="shared" si="2"/>
        <v>19.471129632563798</v>
      </c>
      <c r="AC11" s="706">
        <f t="shared" si="3"/>
        <v>105984.36666666668</v>
      </c>
      <c r="AD11" s="706">
        <f>VLOOKUP("*"&amp;$B11&amp;"*",'S4 - Summ PRS Characteristics'!$C$13:$Q$20,14,FALSE)*$J11</f>
        <v>1032.7406381511128</v>
      </c>
      <c r="AE11" s="706">
        <f t="shared" si="14"/>
        <v>5019.2593618488872</v>
      </c>
      <c r="AF11" s="706">
        <f>IF($C11="other",(1-$C7)*AD11,(1-(VLOOKUP($C11,'S3 - Screening Tool Metrics'!$C$3:$G$17,5,FALSE)/100))*AD11)</f>
        <v>309.82219144533389</v>
      </c>
      <c r="AG11" s="706">
        <f>IF($C11="other",$C7*AD11,(VLOOKUP($C11,'S3 - Screening Tool Metrics'!$C$3:$G$17,5,FALSE)/100)*AD11)</f>
        <v>722.91844670577893</v>
      </c>
      <c r="AH11" s="708">
        <f t="shared" si="4"/>
        <v>11.945116435984451</v>
      </c>
      <c r="AI11" s="707">
        <f t="shared" si="5"/>
        <v>21196.873333333337</v>
      </c>
      <c r="AJ11" s="706">
        <f>VLOOKUP("*"&amp;$B11&amp;"*",'S4 - Summ PRS Characteristics'!$C$13:$Q$20,15,FALSE)*$J11</f>
        <v>309.99761136506061</v>
      </c>
      <c r="AK11" s="706">
        <f t="shared" si="13"/>
        <v>5742.0023886349391</v>
      </c>
      <c r="AL11" s="706">
        <f>IF($C11="other",(1-$C7)*AJ11,(1-(VLOOKUP($C11,'S3 - Screening Tool Metrics'!$C$3:$G$17,5,FALSE)/100))*AJ11)</f>
        <v>92.999283409518199</v>
      </c>
      <c r="AM11" s="706">
        <f>IF($C11="other",$C7*AJ11,(VLOOKUP($C11,'S3 - Screening Tool Metrics'!$C$3:$G$17,5,FALSE)/100)*AJ11)</f>
        <v>216.99832795554241</v>
      </c>
      <c r="AN11" s="709">
        <f t="shared" si="6"/>
        <v>3.5855639120215201</v>
      </c>
    </row>
    <row r="12" spans="2:40" x14ac:dyDescent="0.15">
      <c r="B12" s="700" t="s">
        <v>8</v>
      </c>
      <c r="C12" s="721" t="str">
        <f>$C8</f>
        <v>Digital mammography</v>
      </c>
      <c r="D12" s="552" t="s">
        <v>196</v>
      </c>
      <c r="E12" s="710">
        <f>VLOOKUP($B12&amp;"_"&amp;$D12,'App5 - CRUK Inci Rates'!C:H,6,FALSE)</f>
        <v>0</v>
      </c>
      <c r="F12" s="711">
        <f>VLOOKUP($B12&amp;"_"&amp;$D12,'App5 - CRUK Inci Rates'!C:H,3,FALSE)</f>
        <v>337.96472190440318</v>
      </c>
      <c r="G12" s="712">
        <f>VLOOKUP($B12&amp;"_"&amp;$D12,'App5 - CRUK Inci Rates'!C:J,8,FALSE)</f>
        <v>1837174</v>
      </c>
      <c r="H12" s="713">
        <f>VLOOKUP($B12&amp;"_"&amp;$D12,'App5 - CRUK Inci Rates'!C:J,7,FALSE)</f>
        <v>0</v>
      </c>
      <c r="I12" s="713">
        <f>VLOOKUP($B12&amp;"_"&amp;$D12,'App5 - CRUK Inci Rates'!C:J,4,FALSE)</f>
        <v>1837174</v>
      </c>
      <c r="J12" s="709">
        <f>VLOOKUP($B12&amp;"_"&amp;$D12,'App5 - CRUK Inci Rates'!C:K,9,FALSE)</f>
        <v>6209</v>
      </c>
      <c r="K12" s="706">
        <f t="shared" si="7"/>
        <v>918587</v>
      </c>
      <c r="L12" s="706">
        <f>VLOOKUP("*"&amp;$B12&amp;"*",'S4 - Summ PRS Characteristics'!$C$13:$Q$20,11,FALSE)*$J12</f>
        <v>4693.4954631293704</v>
      </c>
      <c r="M12" s="706">
        <f t="shared" si="8"/>
        <v>1515.5045368706296</v>
      </c>
      <c r="N12" s="706">
        <f>IF($C12="other",(1-$C$7)*L12,(1-(VLOOKUP($C12,'S3 - Screening Tool Metrics'!$C$3:$G$17,5,FALSE)/100))*L12)</f>
        <v>1408.0486389388113</v>
      </c>
      <c r="O12" s="706">
        <f>IF($C12="other",$C$7*L12,(VLOOKUP($C12,'S3 - Screening Tool Metrics'!$C$3:$G$17,5,FALSE)/100)*L12)</f>
        <v>3285.4468241905593</v>
      </c>
      <c r="P12" s="706">
        <f t="shared" si="9"/>
        <v>52.914266777106768</v>
      </c>
      <c r="Q12" s="707">
        <f t="shared" si="0"/>
        <v>367434.80000000005</v>
      </c>
      <c r="R12" s="706">
        <f>VLOOKUP("*"&amp;$B12&amp;"*",'S4 - Summ PRS Characteristics'!$C$13:$Q$20,12,FALSE)*$J12</f>
        <v>2738.2801449867893</v>
      </c>
      <c r="S12" s="706">
        <f t="shared" si="10"/>
        <v>3470.7198550132107</v>
      </c>
      <c r="T12" s="706">
        <f>IF($C12="other",(1-$C7)*R12,(1-(VLOOKUP($C12,'S3 - Screening Tool Metrics'!$C$3:$G$17,5,FALSE)/100))*R12)</f>
        <v>821.48404349603686</v>
      </c>
      <c r="U12" s="706">
        <f>IF($C12="other",$C7*R12,(VLOOKUP($C12,'S3 - Screening Tool Metrics'!$C$3:$G$17,5,FALSE)/100)*R12)</f>
        <v>1916.7961014907523</v>
      </c>
      <c r="V12" s="708">
        <f t="shared" si="1"/>
        <v>30.87125304381949</v>
      </c>
      <c r="W12" s="707">
        <f t="shared" si="11"/>
        <v>183717.40000000002</v>
      </c>
      <c r="X12" s="706">
        <f>VLOOKUP("*"&amp;$B12&amp;"*",'S4 - Summ PRS Characteristics'!$C$13:$Q$20,13,FALSE)*$J12</f>
        <v>1727.0891984084092</v>
      </c>
      <c r="Y12" s="706">
        <f t="shared" si="12"/>
        <v>4481.9108015915908</v>
      </c>
      <c r="Z12" s="706">
        <f>IF($C12="other",(1-$C7)*X12,(1-(VLOOKUP($C12,'S3 - Screening Tool Metrics'!$C$3:$G$17,5,FALSE)/100))*X12)</f>
        <v>518.12675952252278</v>
      </c>
      <c r="AA12" s="706">
        <f>IF($C12="other",$C7*X12,(VLOOKUP($C12,'S3 - Screening Tool Metrics'!$C$3:$G$17,5,FALSE)/100)*X12)</f>
        <v>1208.9624388858863</v>
      </c>
      <c r="AB12" s="708">
        <f t="shared" si="2"/>
        <v>19.471129632563798</v>
      </c>
      <c r="AC12" s="706">
        <f t="shared" si="3"/>
        <v>91858.700000000012</v>
      </c>
      <c r="AD12" s="706">
        <f>VLOOKUP("*"&amp;$B12&amp;"*",'S4 - Summ PRS Characteristics'!$C$13:$Q$20,14,FALSE)*$J12</f>
        <v>1059.5318278718207</v>
      </c>
      <c r="AE12" s="706">
        <f t="shared" si="14"/>
        <v>5149.4681721281795</v>
      </c>
      <c r="AF12" s="706">
        <f>IF($C12="other",(1-$C7)*AD12,(1-(VLOOKUP($C12,'S3 - Screening Tool Metrics'!$C$3:$G$17,5,FALSE)/100))*AD12)</f>
        <v>317.85954836154627</v>
      </c>
      <c r="AG12" s="706">
        <f>IF($C12="other",$C7*AD12,(VLOOKUP($C12,'S3 - Screening Tool Metrics'!$C$3:$G$17,5,FALSE)/100)*AD12)</f>
        <v>741.67227951027451</v>
      </c>
      <c r="AH12" s="708">
        <f t="shared" si="4"/>
        <v>11.945116435984451</v>
      </c>
      <c r="AI12" s="707">
        <f t="shared" si="5"/>
        <v>18371.740000000002</v>
      </c>
      <c r="AJ12" s="706">
        <f>VLOOKUP("*"&amp;$B12&amp;"*",'S4 - Summ PRS Characteristics'!$C$13:$Q$20,15,FALSE)*$J12</f>
        <v>318.03951899630886</v>
      </c>
      <c r="AK12" s="706">
        <f t="shared" si="13"/>
        <v>5890.9604810036908</v>
      </c>
      <c r="AL12" s="706">
        <f>IF($C12="other",(1-$C7)*AJ12,(1-(VLOOKUP($C12,'S3 - Screening Tool Metrics'!$C$3:$G$17,5,FALSE)/100))*AJ12)</f>
        <v>95.411855698892666</v>
      </c>
      <c r="AM12" s="706">
        <f>IF($C12="other",$C7*AJ12,(VLOOKUP($C12,'S3 - Screening Tool Metrics'!$C$3:$G$17,5,FALSE)/100)*AJ12)</f>
        <v>222.62766329741618</v>
      </c>
      <c r="AN12" s="709">
        <f t="shared" si="6"/>
        <v>3.5855639120215201</v>
      </c>
    </row>
    <row r="13" spans="2:40" x14ac:dyDescent="0.15">
      <c r="B13" s="700" t="s">
        <v>8</v>
      </c>
      <c r="C13" s="721" t="str">
        <f>$C8</f>
        <v>Digital mammography</v>
      </c>
      <c r="D13" s="552" t="s">
        <v>197</v>
      </c>
      <c r="E13" s="710">
        <f>VLOOKUP($B13&amp;"_"&amp;$D13,'App5 - CRUK Inci Rates'!C:H,6,FALSE)</f>
        <v>0</v>
      </c>
      <c r="F13" s="711">
        <f>VLOOKUP($B13&amp;"_"&amp;$D13,'App5 - CRUK Inci Rates'!C:H,3,FALSE)</f>
        <v>412.3</v>
      </c>
      <c r="G13" s="712">
        <f>VLOOKUP($B13&amp;"_"&amp;$D13,'App5 - CRUK Inci Rates'!C:J,8,FALSE)</f>
        <v>1805190</v>
      </c>
      <c r="H13" s="713">
        <f>VLOOKUP($B13&amp;"_"&amp;$D13,'App5 - CRUK Inci Rates'!C:J,7,FALSE)</f>
        <v>0</v>
      </c>
      <c r="I13" s="713">
        <f>VLOOKUP($B13&amp;"_"&amp;$D13,'App5 - CRUK Inci Rates'!C:J,4,FALSE)</f>
        <v>1805190</v>
      </c>
      <c r="J13" s="709">
        <f>VLOOKUP($B13&amp;"_"&amp;$D13,'App5 - CRUK Inci Rates'!C:K,9,FALSE)</f>
        <v>7443</v>
      </c>
      <c r="K13" s="706">
        <f t="shared" si="7"/>
        <v>902595</v>
      </c>
      <c r="L13" s="706">
        <f>VLOOKUP("*"&amp;$B13&amp;"*",'S4 - Summ PRS Characteristics'!$C$13:$Q$20,11,FALSE)*$J13</f>
        <v>5626.2983946000813</v>
      </c>
      <c r="M13" s="706">
        <f t="shared" si="8"/>
        <v>1816.7016053999187</v>
      </c>
      <c r="N13" s="706">
        <f>IF($C13="other",(1-$C$7)*L13,(1-(VLOOKUP($C13,'S3 - Screening Tool Metrics'!$C$3:$G$17,5,FALSE)/100))*L13)</f>
        <v>1687.8895183800246</v>
      </c>
      <c r="O13" s="706">
        <f>IF($C13="other",$C$7*L13,(VLOOKUP($C13,'S3 - Screening Tool Metrics'!$C$3:$G$17,5,FALSE)/100)*L13)</f>
        <v>3938.4088762200568</v>
      </c>
      <c r="P13" s="706">
        <f t="shared" si="9"/>
        <v>52.914266777106768</v>
      </c>
      <c r="Q13" s="707">
        <f t="shared" si="0"/>
        <v>361038</v>
      </c>
      <c r="R13" s="706">
        <f>VLOOKUP("*"&amp;$B13&amp;"*",'S4 - Summ PRS Characteristics'!$C$13:$Q$20,12,FALSE)*$J13</f>
        <v>3282.4962343592647</v>
      </c>
      <c r="S13" s="706">
        <f t="shared" si="10"/>
        <v>4160.5037656407349</v>
      </c>
      <c r="T13" s="706">
        <f>IF($C13="other",(1-$C7)*R13,(1-(VLOOKUP($C13,'S3 - Screening Tool Metrics'!$C$3:$G$17,5,FALSE)/100))*R13)</f>
        <v>984.7488703077795</v>
      </c>
      <c r="U13" s="706">
        <f>IF($C13="other",$C7*R13,(VLOOKUP($C13,'S3 - Screening Tool Metrics'!$C$3:$G$17,5,FALSE)/100)*R13)</f>
        <v>2297.747364051485</v>
      </c>
      <c r="V13" s="708">
        <f t="shared" si="1"/>
        <v>30.871253043819497</v>
      </c>
      <c r="W13" s="707">
        <f t="shared" si="11"/>
        <v>180519</v>
      </c>
      <c r="X13" s="706">
        <f>VLOOKUP("*"&amp;$B13&amp;"*",'S4 - Summ PRS Characteristics'!$C$13:$Q$20,13,FALSE)*$J13</f>
        <v>2070.337397931034</v>
      </c>
      <c r="Y13" s="706">
        <f t="shared" si="12"/>
        <v>5372.6626020689655</v>
      </c>
      <c r="Z13" s="706">
        <f>IF($C13="other",(1-$C7)*X13,(1-(VLOOKUP($C13,'S3 - Screening Tool Metrics'!$C$3:$G$17,5,FALSE)/100))*X13)</f>
        <v>621.10121937931035</v>
      </c>
      <c r="AA13" s="706">
        <f>IF($C13="other",$C7*X13,(VLOOKUP($C13,'S3 - Screening Tool Metrics'!$C$3:$G$17,5,FALSE)/100)*X13)</f>
        <v>1449.2361785517237</v>
      </c>
      <c r="AB13" s="708">
        <f t="shared" si="2"/>
        <v>19.471129632563798</v>
      </c>
      <c r="AC13" s="706">
        <f t="shared" si="3"/>
        <v>90259.5</v>
      </c>
      <c r="AD13" s="706">
        <f>VLOOKUP("*"&amp;$B13&amp;"*",'S4 - Summ PRS Characteristics'!$C$13:$Q$20,14,FALSE)*$J13</f>
        <v>1270.1071661861752</v>
      </c>
      <c r="AE13" s="706">
        <f t="shared" si="14"/>
        <v>6172.8928338138248</v>
      </c>
      <c r="AF13" s="706">
        <f>IF($C13="other",(1-$C7)*AD13,(1-(VLOOKUP($C13,'S3 - Screening Tool Metrics'!$C$3:$G$17,5,FALSE)/100))*AD13)</f>
        <v>381.03214985585259</v>
      </c>
      <c r="AG13" s="706">
        <f>IF($C13="other",$C7*AD13,(VLOOKUP($C13,'S3 - Screening Tool Metrics'!$C$3:$G$17,5,FALSE)/100)*AD13)</f>
        <v>889.07501633032257</v>
      </c>
      <c r="AH13" s="708">
        <f t="shared" si="4"/>
        <v>11.945116435984451</v>
      </c>
      <c r="AI13" s="707">
        <f t="shared" si="5"/>
        <v>18051.900000000001</v>
      </c>
      <c r="AJ13" s="706">
        <f>VLOOKUP("*"&amp;$B13&amp;"*",'S4 - Summ PRS Characteristics'!$C$13:$Q$20,15,FALSE)*$J13</f>
        <v>381.24788853108822</v>
      </c>
      <c r="AK13" s="706">
        <f t="shared" si="13"/>
        <v>7061.7521114689116</v>
      </c>
      <c r="AL13" s="706">
        <f>IF($C13="other",(1-$C7)*AJ13,(1-(VLOOKUP($C13,'S3 - Screening Tool Metrics'!$C$3:$G$17,5,FALSE)/100))*AJ13)</f>
        <v>114.37436655932649</v>
      </c>
      <c r="AM13" s="706">
        <f>IF($C13="other",$C7*AJ13,(VLOOKUP($C13,'S3 - Screening Tool Metrics'!$C$3:$G$17,5,FALSE)/100)*AJ13)</f>
        <v>266.87352197176176</v>
      </c>
      <c r="AN13" s="709">
        <f t="shared" si="6"/>
        <v>3.5855639120215201</v>
      </c>
    </row>
    <row r="14" spans="2:40" x14ac:dyDescent="0.15">
      <c r="B14" s="700" t="s">
        <v>8</v>
      </c>
      <c r="C14" s="721" t="str">
        <f>$C8</f>
        <v>Digital mammography</v>
      </c>
      <c r="D14" s="552" t="s">
        <v>198</v>
      </c>
      <c r="E14" s="710">
        <f>VLOOKUP($B14&amp;"_"&amp;$D14,'App5 - CRUK Inci Rates'!C:H,6,FALSE)</f>
        <v>0</v>
      </c>
      <c r="F14" s="711">
        <f>VLOOKUP($B14&amp;"_"&amp;$D14,'App5 - CRUK Inci Rates'!C:H,3,FALSE)</f>
        <v>372.7</v>
      </c>
      <c r="G14" s="712">
        <f>VLOOKUP($B14&amp;"_"&amp;$D14,'App5 - CRUK Inci Rates'!C:J,8,FALSE)</f>
        <v>1603609.6666666667</v>
      </c>
      <c r="H14" s="713">
        <f>VLOOKUP($B14&amp;"_"&amp;$D14,'App5 - CRUK Inci Rates'!C:J,7,FALSE)</f>
        <v>0</v>
      </c>
      <c r="I14" s="713">
        <f>VLOOKUP($B14&amp;"_"&amp;$D14,'App5 - CRUK Inci Rates'!C:J,4,FALSE)</f>
        <v>1603609.6666666667</v>
      </c>
      <c r="J14" s="709">
        <f>VLOOKUP($B14&amp;"_"&amp;$D14,'App5 - CRUK Inci Rates'!C:K,9,FALSE)</f>
        <v>5977</v>
      </c>
      <c r="K14" s="706">
        <f t="shared" si="7"/>
        <v>801804.83333333337</v>
      </c>
      <c r="L14" s="706">
        <f>VLOOKUP("*"&amp;$B14&amp;"*",'S4 - Summ PRS Characteristics'!$C$13:$Q$20,11,FALSE)*$J14</f>
        <v>4518.1224646681021</v>
      </c>
      <c r="M14" s="706">
        <f t="shared" si="8"/>
        <v>1458.8775353318979</v>
      </c>
      <c r="N14" s="706">
        <f>IF($C14="other",(1-$C$7)*L14,(1-(VLOOKUP($C14,'S3 - Screening Tool Metrics'!$C$3:$G$17,5,FALSE)/100))*L14)</f>
        <v>1355.4367394004307</v>
      </c>
      <c r="O14" s="706">
        <f>IF($C14="other",$C$7*L14,(VLOOKUP($C14,'S3 - Screening Tool Metrics'!$C$3:$G$17,5,FALSE)/100)*L14)</f>
        <v>3162.6857252676714</v>
      </c>
      <c r="P14" s="706">
        <f t="shared" si="9"/>
        <v>52.914266777106768</v>
      </c>
      <c r="Q14" s="707">
        <f t="shared" si="0"/>
        <v>320721.93333333335</v>
      </c>
      <c r="R14" s="706">
        <f>VLOOKUP("*"&amp;$B14&amp;"*",'S4 - Summ PRS Characteristics'!$C$13:$Q$20,12,FALSE)*$J14</f>
        <v>2635.9639920415593</v>
      </c>
      <c r="S14" s="706">
        <f t="shared" si="10"/>
        <v>3341.0360079584407</v>
      </c>
      <c r="T14" s="706">
        <f>IF($C14="other",(1-$C7)*R14,(1-(VLOOKUP($C14,'S3 - Screening Tool Metrics'!$C$3:$G$17,5,FALSE)/100))*R14)</f>
        <v>790.78919761246789</v>
      </c>
      <c r="U14" s="706">
        <f>IF($C14="other",$C7*R14,(VLOOKUP($C14,'S3 - Screening Tool Metrics'!$C$3:$G$17,5,FALSE)/100)*R14)</f>
        <v>1845.1747944290914</v>
      </c>
      <c r="V14" s="708">
        <f t="shared" si="1"/>
        <v>30.871253043819497</v>
      </c>
      <c r="W14" s="707">
        <f t="shared" si="11"/>
        <v>160360.96666666667</v>
      </c>
      <c r="X14" s="706">
        <f>VLOOKUP("*"&amp;$B14&amp;"*",'S4 - Summ PRS Characteristics'!$C$13:$Q$20,13,FALSE)*$J14</f>
        <v>1662.5563116261976</v>
      </c>
      <c r="Y14" s="706">
        <f t="shared" si="12"/>
        <v>4314.4436883738026</v>
      </c>
      <c r="Z14" s="706">
        <f>IF($C14="other",(1-$C7)*X14,(1-(VLOOKUP($C14,'S3 - Screening Tool Metrics'!$C$3:$G$17,5,FALSE)/100))*X14)</f>
        <v>498.76689348785936</v>
      </c>
      <c r="AA14" s="706">
        <f>IF($C14="other",$C7*X14,(VLOOKUP($C14,'S3 - Screening Tool Metrics'!$C$3:$G$17,5,FALSE)/100)*X14)</f>
        <v>1163.7894181383383</v>
      </c>
      <c r="AB14" s="708">
        <f t="shared" si="2"/>
        <v>19.471129632563798</v>
      </c>
      <c r="AC14" s="706">
        <f t="shared" si="3"/>
        <v>80180.483333333337</v>
      </c>
      <c r="AD14" s="706">
        <f>VLOOKUP("*"&amp;$B14&amp;"*",'S4 - Summ PRS Characteristics'!$C$13:$Q$20,14,FALSE)*$J14</f>
        <v>1019.942299112558</v>
      </c>
      <c r="AE14" s="706">
        <f t="shared" si="14"/>
        <v>4957.0577008874425</v>
      </c>
      <c r="AF14" s="706">
        <f>IF($C14="other",(1-$C7)*AD14,(1-(VLOOKUP($C14,'S3 - Screening Tool Metrics'!$C$3:$G$17,5,FALSE)/100))*AD14)</f>
        <v>305.98268973376742</v>
      </c>
      <c r="AG14" s="706">
        <f>IF($C14="other",$C7*AD14,(VLOOKUP($C14,'S3 - Screening Tool Metrics'!$C$3:$G$17,5,FALSE)/100)*AD14)</f>
        <v>713.95960937879056</v>
      </c>
      <c r="AH14" s="708">
        <f t="shared" si="4"/>
        <v>11.945116435984451</v>
      </c>
      <c r="AI14" s="707">
        <f t="shared" si="5"/>
        <v>16036.096666666668</v>
      </c>
      <c r="AJ14" s="706">
        <f>VLOOKUP("*"&amp;$B14&amp;"*",'S4 - Summ PRS Characteristics'!$C$13:$Q$20,15,FALSE)*$J14</f>
        <v>306.15593574503754</v>
      </c>
      <c r="AK14" s="706">
        <f t="shared" si="13"/>
        <v>5670.8440642549622</v>
      </c>
      <c r="AL14" s="706">
        <f>IF($C14="other",(1-$C7)*AJ14,(1-(VLOOKUP($C14,'S3 - Screening Tool Metrics'!$C$3:$G$17,5,FALSE)/100))*AJ14)</f>
        <v>91.846780723511273</v>
      </c>
      <c r="AM14" s="706">
        <f>IF($C14="other",$C7*AJ14,(VLOOKUP($C14,'S3 - Screening Tool Metrics'!$C$3:$G$17,5,FALSE)/100)*AJ14)</f>
        <v>214.30915502152627</v>
      </c>
      <c r="AN14" s="709">
        <f t="shared" si="6"/>
        <v>3.5855639120215201</v>
      </c>
    </row>
    <row r="15" spans="2:40" x14ac:dyDescent="0.15">
      <c r="B15" s="700" t="s">
        <v>8</v>
      </c>
      <c r="C15" s="721" t="str">
        <f>$C8</f>
        <v>Digital mammography</v>
      </c>
      <c r="D15" s="552" t="s">
        <v>199</v>
      </c>
      <c r="E15" s="710">
        <f>VLOOKUP($B15&amp;"_"&amp;$D15,'App5 - CRUK Inci Rates'!C:H,6,FALSE)</f>
        <v>0</v>
      </c>
      <c r="F15" s="711">
        <f>VLOOKUP($B15&amp;"_"&amp;$D15,'App5 - CRUK Inci Rates'!C:H,3,FALSE)</f>
        <v>403</v>
      </c>
      <c r="G15" s="712">
        <f>VLOOKUP($B15&amp;"_"&amp;$D15,'App5 - CRUK Inci Rates'!C:J,8,FALSE)</f>
        <v>1181645.3333333333</v>
      </c>
      <c r="H15" s="713">
        <f>VLOOKUP($B15&amp;"_"&amp;$D15,'App5 - CRUK Inci Rates'!C:J,7,FALSE)</f>
        <v>0</v>
      </c>
      <c r="I15" s="713">
        <f>VLOOKUP($B15&amp;"_"&amp;$D15,'App5 - CRUK Inci Rates'!C:J,4,FALSE)</f>
        <v>1181645.3333333333</v>
      </c>
      <c r="J15" s="709">
        <f>VLOOKUP($B15&amp;"_"&amp;$D15,'App5 - CRUK Inci Rates'!C:K,9,FALSE)</f>
        <v>4762</v>
      </c>
      <c r="K15" s="706">
        <f t="shared" si="7"/>
        <v>590822.66666666663</v>
      </c>
      <c r="L15" s="706">
        <f>VLOOKUP("*"&amp;$B15&amp;"*",'S4 - Summ PRS Characteristics'!$C$13:$Q$20,11,FALSE)*$J15</f>
        <v>3599.681977036892</v>
      </c>
      <c r="M15" s="706">
        <f t="shared" si="8"/>
        <v>1162.318022963108</v>
      </c>
      <c r="N15" s="706">
        <f>IF($C15="other",(1-$C$7)*L15,(1-(VLOOKUP($C15,'S3 - Screening Tool Metrics'!$C$3:$G$17,5,FALSE)/100))*L15)</f>
        <v>1079.9045931110677</v>
      </c>
      <c r="O15" s="706">
        <f>IF($C15="other",$C$7*L15,(VLOOKUP($C15,'S3 - Screening Tool Metrics'!$C$3:$G$17,5,FALSE)/100)*L15)</f>
        <v>2519.7773839258243</v>
      </c>
      <c r="P15" s="706">
        <f t="shared" si="9"/>
        <v>52.914266777106768</v>
      </c>
      <c r="Q15" s="707">
        <f t="shared" si="0"/>
        <v>236329.06666666665</v>
      </c>
      <c r="R15" s="706">
        <f>VLOOKUP("*"&amp;$B15&amp;"*",'S4 - Summ PRS Characteristics'!$C$13:$Q$20,12,FALSE)*$J15</f>
        <v>2100.1272427809777</v>
      </c>
      <c r="S15" s="706">
        <f t="shared" si="10"/>
        <v>2661.8727572190223</v>
      </c>
      <c r="T15" s="706">
        <f>IF($C15="other",(1-$C7)*R15,(1-(VLOOKUP($C15,'S3 - Screening Tool Metrics'!$C$3:$G$17,5,FALSE)/100))*R15)</f>
        <v>630.03817283429339</v>
      </c>
      <c r="U15" s="706">
        <f>IF($C15="other",$C7*R15,(VLOOKUP($C15,'S3 - Screening Tool Metrics'!$C$3:$G$17,5,FALSE)/100)*R15)</f>
        <v>1470.0890699466843</v>
      </c>
      <c r="V15" s="708">
        <f t="shared" si="1"/>
        <v>30.87125304381949</v>
      </c>
      <c r="W15" s="707">
        <f t="shared" si="11"/>
        <v>118164.53333333333</v>
      </c>
      <c r="X15" s="706">
        <f>VLOOKUP("*"&amp;$B15&amp;"*",'S4 - Summ PRS Characteristics'!$C$13:$Q$20,13,FALSE)*$J15</f>
        <v>1324.5931330038402</v>
      </c>
      <c r="Y15" s="706">
        <f t="shared" si="12"/>
        <v>3437.4068669961598</v>
      </c>
      <c r="Z15" s="706">
        <f>IF($C15="other",(1-$C7)*X15,(1-(VLOOKUP($C15,'S3 - Screening Tool Metrics'!$C$3:$G$17,5,FALSE)/100))*X15)</f>
        <v>397.3779399011521</v>
      </c>
      <c r="AA15" s="706">
        <f>IF($C15="other",$C7*X15,(VLOOKUP($C15,'S3 - Screening Tool Metrics'!$C$3:$G$17,5,FALSE)/100)*X15)</f>
        <v>927.21519310268809</v>
      </c>
      <c r="AB15" s="708">
        <f t="shared" si="2"/>
        <v>19.471129632563798</v>
      </c>
      <c r="AC15" s="706">
        <f t="shared" si="3"/>
        <v>59082.266666666663</v>
      </c>
      <c r="AD15" s="706">
        <f>VLOOKUP("*"&amp;$B15&amp;"*",'S4 - Summ PRS Characteristics'!$C$13:$Q$20,14,FALSE)*$J15</f>
        <v>812.60920668797064</v>
      </c>
      <c r="AE15" s="706">
        <f t="shared" si="14"/>
        <v>3949.3907933120295</v>
      </c>
      <c r="AF15" s="706">
        <f>IF($C15="other",(1-$C7)*AD15,(1-(VLOOKUP($C15,'S3 - Screening Tool Metrics'!$C$3:$G$17,5,FALSE)/100))*AD15)</f>
        <v>243.78276200639124</v>
      </c>
      <c r="AG15" s="706">
        <f>IF($C15="other",$C7*AD15,(VLOOKUP($C15,'S3 - Screening Tool Metrics'!$C$3:$G$17,5,FALSE)/100)*AD15)</f>
        <v>568.82644468157946</v>
      </c>
      <c r="AH15" s="708">
        <f t="shared" si="4"/>
        <v>11.945116435984449</v>
      </c>
      <c r="AI15" s="707">
        <f t="shared" si="5"/>
        <v>11816.453333333333</v>
      </c>
      <c r="AJ15" s="706">
        <f>VLOOKUP("*"&amp;$B15&amp;"*",'S4 - Summ PRS Characteristics'!$C$13:$Q$20,15,FALSE)*$J15</f>
        <v>243.92079070066399</v>
      </c>
      <c r="AK15" s="706">
        <f t="shared" si="13"/>
        <v>4518.0792092993361</v>
      </c>
      <c r="AL15" s="706">
        <f>IF($C15="other",(1-$C7)*AJ15,(1-(VLOOKUP($C15,'S3 - Screening Tool Metrics'!$C$3:$G$17,5,FALSE)/100))*AJ15)</f>
        <v>73.176237210199204</v>
      </c>
      <c r="AM15" s="706">
        <f>IF($C15="other",$C7*AJ15,(VLOOKUP($C15,'S3 - Screening Tool Metrics'!$C$3:$G$17,5,FALSE)/100)*AJ15)</f>
        <v>170.74455349046477</v>
      </c>
      <c r="AN15" s="709">
        <f t="shared" si="6"/>
        <v>3.5855639120215193</v>
      </c>
    </row>
    <row r="16" spans="2:40" x14ac:dyDescent="0.15">
      <c r="B16" s="700" t="s">
        <v>8</v>
      </c>
      <c r="C16" s="721" t="str">
        <f>$C8</f>
        <v>Digital mammography</v>
      </c>
      <c r="D16" s="552" t="s">
        <v>200</v>
      </c>
      <c r="E16" s="710">
        <f>VLOOKUP($B16&amp;"_"&amp;$D16,'App5 - CRUK Inci Rates'!C:H,6,FALSE)</f>
        <v>0</v>
      </c>
      <c r="F16" s="711">
        <f>VLOOKUP($B16&amp;"_"&amp;$D16,'App5 - CRUK Inci Rates'!C:H,3,FALSE)</f>
        <v>270.90219320904782</v>
      </c>
      <c r="G16" s="712">
        <f>VLOOKUP($B16&amp;"_"&amp;$D16,'App5 - CRUK Inci Rates'!C:J,8,FALSE)</f>
        <v>12496392</v>
      </c>
      <c r="H16" s="713">
        <f>VLOOKUP($B16&amp;"_"&amp;$D16,'App5 - CRUK Inci Rates'!C:J,7,FALSE)</f>
        <v>0</v>
      </c>
      <c r="I16" s="713">
        <f>VLOOKUP($B16&amp;"_"&amp;$D16,'App5 - CRUK Inci Rates'!C:J,4,FALSE)</f>
        <v>12496392</v>
      </c>
      <c r="J16" s="709">
        <f>VLOOKUP($B16&amp;"_"&amp;$D16,'App5 - CRUK Inci Rates'!C:K,9,FALSE)</f>
        <v>33853</v>
      </c>
      <c r="K16" s="706">
        <f t="shared" si="7"/>
        <v>6248196</v>
      </c>
      <c r="L16" s="706">
        <f>VLOOKUP("*"&amp;$B16&amp;"*",'S4 - Summ PRS Characteristics'!$C$13:$Q$20,11,FALSE)*$J16</f>
        <v>25590.09533150565</v>
      </c>
      <c r="M16" s="706">
        <f t="shared" si="8"/>
        <v>8262.9046684943496</v>
      </c>
      <c r="N16" s="706">
        <f>IF($C16="other",(1-$C$7)*L16,(1-(VLOOKUP($C16,'S3 - Screening Tool Metrics'!$C$3:$G$17,5,FALSE)/100))*L16)</f>
        <v>7677.0285994516962</v>
      </c>
      <c r="O16" s="706">
        <f>IF($C16="other",$C$7*L16,(VLOOKUP($C16,'S3 - Screening Tool Metrics'!$C$3:$G$17,5,FALSE)/100)*L16)</f>
        <v>17913.066732053954</v>
      </c>
      <c r="P16" s="706">
        <f t="shared" si="9"/>
        <v>52.914266777106768</v>
      </c>
      <c r="Q16" s="707">
        <f t="shared" si="0"/>
        <v>2499278.4</v>
      </c>
      <c r="R16" s="706">
        <f>VLOOKUP("*"&amp;$B16&amp;"*",'S4 - Summ PRS Characteristics'!$C$13:$Q$20,12,FALSE)*$J16</f>
        <v>14929.778989891734</v>
      </c>
      <c r="S16" s="706">
        <f t="shared" si="10"/>
        <v>18923.221010108267</v>
      </c>
      <c r="T16" s="706">
        <f>IF($C16="other",(1-$C7)*R16,(1-(VLOOKUP($C16,'S3 - Screening Tool Metrics'!$C$3:$G$17,5,FALSE)/100))*R16)</f>
        <v>4478.9336969675214</v>
      </c>
      <c r="U16" s="706">
        <f>IF($C16="other",$C7*R16,(VLOOKUP($C16,'S3 - Screening Tool Metrics'!$C$3:$G$17,5,FALSE)/100)*R16)</f>
        <v>10450.845292924214</v>
      </c>
      <c r="V16" s="708">
        <f t="shared" si="1"/>
        <v>30.871253043819497</v>
      </c>
      <c r="W16" s="707">
        <f t="shared" si="11"/>
        <v>1249639.2</v>
      </c>
      <c r="X16" s="706">
        <f>VLOOKUP("*"&amp;$B16&amp;"*",'S4 - Summ PRS Characteristics'!$C$13:$Q$20,13,FALSE)*$J16</f>
        <v>9416.5164493026041</v>
      </c>
      <c r="Y16" s="706">
        <f t="shared" si="12"/>
        <v>24436.483550697398</v>
      </c>
      <c r="Z16" s="706">
        <f>IF($C16="other",(1-$C7)*X16,(1-(VLOOKUP($C16,'S3 - Screening Tool Metrics'!$C$3:$G$17,5,FALSE)/100))*X16)</f>
        <v>2824.9549347907819</v>
      </c>
      <c r="AA16" s="706">
        <f>IF($C16="other",$C7*X16,(VLOOKUP($C16,'S3 - Screening Tool Metrics'!$C$3:$G$17,5,FALSE)/100)*X16)</f>
        <v>6591.5615145118227</v>
      </c>
      <c r="AB16" s="708">
        <f t="shared" si="2"/>
        <v>19.471129632563798</v>
      </c>
      <c r="AC16" s="706">
        <f t="shared" si="3"/>
        <v>624819.6</v>
      </c>
      <c r="AD16" s="706">
        <f>VLOOKUP("*"&amp;$B16&amp;"*",'S4 - Summ PRS Characteristics'!$C$13:$Q$20,14,FALSE)*$J16</f>
        <v>5776.8289529625936</v>
      </c>
      <c r="AE16" s="706">
        <f t="shared" si="14"/>
        <v>28076.171047037406</v>
      </c>
      <c r="AF16" s="706">
        <f>IF($C16="other",(1-$C7)*AD16,(1-(VLOOKUP($C16,'S3 - Screening Tool Metrics'!$C$3:$G$17,5,FALSE)/100))*AD16)</f>
        <v>1733.0486858887784</v>
      </c>
      <c r="AG16" s="706">
        <f>IF($C16="other",$C7*AD16,(VLOOKUP($C16,'S3 - Screening Tool Metrics'!$C$3:$G$17,5,FALSE)/100)*AD16)</f>
        <v>4043.7802670738151</v>
      </c>
      <c r="AH16" s="708">
        <f t="shared" si="4"/>
        <v>11.945116435984447</v>
      </c>
      <c r="AI16" s="707">
        <f t="shared" si="5"/>
        <v>124963.92</v>
      </c>
      <c r="AJ16" s="706">
        <f>VLOOKUP("*"&amp;$B16&amp;"*",'S4 - Summ PRS Characteristics'!$C$13:$Q$20,15,FALSE)*$J16</f>
        <v>1734.0299301952075</v>
      </c>
      <c r="AK16" s="706">
        <f t="shared" si="13"/>
        <v>32118.970069804793</v>
      </c>
      <c r="AL16" s="706">
        <f>IF($C16="other",(1-$C7)*AJ16,(1-(VLOOKUP($C16,'S3 - Screening Tool Metrics'!$C$3:$G$17,5,FALSE)/100))*AJ16)</f>
        <v>520.20897905856236</v>
      </c>
      <c r="AM16" s="706">
        <f>IF($C16="other",$C7*AJ16,(VLOOKUP($C16,'S3 - Screening Tool Metrics'!$C$3:$G$17,5,FALSE)/100)*AJ16)</f>
        <v>1213.8209511366451</v>
      </c>
      <c r="AN16" s="709">
        <f t="shared" si="6"/>
        <v>3.5855639120215201</v>
      </c>
    </row>
    <row r="17" spans="2:40" x14ac:dyDescent="0.15">
      <c r="B17" s="700" t="s">
        <v>8</v>
      </c>
      <c r="C17" s="721" t="str">
        <f>$C8</f>
        <v>Digital mammography</v>
      </c>
      <c r="D17" s="552" t="s">
        <v>201</v>
      </c>
      <c r="E17" s="710">
        <f>VLOOKUP($B17&amp;"_"&amp;$D17,'App5 - CRUK Inci Rates'!C:H,6,FALSE)</f>
        <v>0</v>
      </c>
      <c r="F17" s="711">
        <f>VLOOKUP($B17&amp;"_"&amp;$D17,'App5 - CRUK Inci Rates'!C:H,3,FALSE)</f>
        <v>172.39159216630148</v>
      </c>
      <c r="G17" s="712">
        <f>VLOOKUP($B17&amp;"_"&amp;$D17,'App5 - CRUK Inci Rates'!C:J,8,FALSE)</f>
        <v>4369702.666666667</v>
      </c>
      <c r="H17" s="713">
        <f>VLOOKUP($B17&amp;"_"&amp;$D17,'App5 - CRUK Inci Rates'!C:J,7,FALSE)</f>
        <v>0</v>
      </c>
      <c r="I17" s="713">
        <f>VLOOKUP($B17&amp;"_"&amp;$D17,'App5 - CRUK Inci Rates'!C:J,4,FALSE)</f>
        <v>4369702.666666667</v>
      </c>
      <c r="J17" s="709">
        <f>VLOOKUP($B17&amp;"_"&amp;$D17,'App5 - CRUK Inci Rates'!C:K,9,FALSE)</f>
        <v>7533</v>
      </c>
      <c r="K17" s="706">
        <f t="shared" si="7"/>
        <v>2184851.3333333335</v>
      </c>
      <c r="L17" s="706">
        <f>VLOOKUP("*"&amp;$B17&amp;"*",'S4 - Summ PRS Characteristics'!$C$13:$Q$20,11,FALSE)*$J17</f>
        <v>5694.3310233135044</v>
      </c>
      <c r="M17" s="706">
        <f t="shared" si="8"/>
        <v>1838.6689766864956</v>
      </c>
      <c r="N17" s="706">
        <f>IF($C17="other",(1-$C$7)*L17,(1-(VLOOKUP($C17,'S3 - Screening Tool Metrics'!$C$3:$G$17,5,FALSE)/100))*L17)</f>
        <v>1708.2993069940517</v>
      </c>
      <c r="O17" s="706">
        <f>IF($C17="other",$C$7*L17,(VLOOKUP($C17,'S3 - Screening Tool Metrics'!$C$3:$G$17,5,FALSE)/100)*L17)</f>
        <v>3986.0317163194527</v>
      </c>
      <c r="P17" s="706">
        <f t="shared" si="9"/>
        <v>52.914266777106768</v>
      </c>
      <c r="Q17" s="707">
        <f t="shared" si="0"/>
        <v>873940.53333333344</v>
      </c>
      <c r="R17" s="706">
        <f>VLOOKUP("*"&amp;$B17&amp;"*",'S4 - Summ PRS Characteristics'!$C$13:$Q$20,12,FALSE)*$J17</f>
        <v>3322.187845415604</v>
      </c>
      <c r="S17" s="706">
        <f t="shared" si="10"/>
        <v>4210.812154584396</v>
      </c>
      <c r="T17" s="706">
        <f>IF($C17="other",(1-$C7)*R17,(1-(VLOOKUP($C17,'S3 - Screening Tool Metrics'!$C$3:$G$17,5,FALSE)/100))*R17)</f>
        <v>996.65635362468129</v>
      </c>
      <c r="U17" s="706">
        <f>IF($C17="other",$C7*R17,(VLOOKUP($C17,'S3 - Screening Tool Metrics'!$C$3:$G$17,5,FALSE)/100)*R17)</f>
        <v>2325.5314917909227</v>
      </c>
      <c r="V17" s="708">
        <f t="shared" si="1"/>
        <v>30.871253043819497</v>
      </c>
      <c r="W17" s="707">
        <f t="shared" si="11"/>
        <v>436970.26666666672</v>
      </c>
      <c r="X17" s="706">
        <f>VLOOKUP("*"&amp;$B17&amp;"*",'S4 - Summ PRS Characteristics'!$C$13:$Q$20,13,FALSE)*$J17</f>
        <v>2095.3717074586157</v>
      </c>
      <c r="Y17" s="706">
        <f t="shared" si="12"/>
        <v>5437.6282925413843</v>
      </c>
      <c r="Z17" s="706">
        <f>IF($C17="other",(1-$C7)*X17,(1-(VLOOKUP($C17,'S3 - Screening Tool Metrics'!$C$3:$G$17,5,FALSE)/100))*X17)</f>
        <v>628.61151223758475</v>
      </c>
      <c r="AA17" s="706">
        <f>IF($C17="other",$C7*X17,(VLOOKUP($C17,'S3 - Screening Tool Metrics'!$C$3:$G$17,5,FALSE)/100)*X17)</f>
        <v>1466.7601952210309</v>
      </c>
      <c r="AB17" s="708">
        <f t="shared" si="2"/>
        <v>19.471129632563798</v>
      </c>
      <c r="AC17" s="706">
        <f t="shared" si="3"/>
        <v>218485.13333333336</v>
      </c>
      <c r="AD17" s="706">
        <f>VLOOKUP("*"&amp;$B17&amp;"*",'S4 - Summ PRS Characteristics'!$C$13:$Q$20,14,FALSE)*$J17</f>
        <v>1285.4651730324408</v>
      </c>
      <c r="AE17" s="706">
        <f t="shared" si="14"/>
        <v>6247.5348269675596</v>
      </c>
      <c r="AF17" s="706">
        <f>IF($C17="other",(1-$C7)*AD17,(1-(VLOOKUP($C17,'S3 - Screening Tool Metrics'!$C$3:$G$17,5,FALSE)/100))*AD17)</f>
        <v>385.63955190973229</v>
      </c>
      <c r="AG17" s="706">
        <f>IF($C17="other",$C7*AD17,(VLOOKUP($C17,'S3 - Screening Tool Metrics'!$C$3:$G$17,5,FALSE)/100)*AD17)</f>
        <v>899.82562112270853</v>
      </c>
      <c r="AH17" s="708">
        <f t="shared" si="4"/>
        <v>11.945116435984449</v>
      </c>
      <c r="AI17" s="707">
        <f t="shared" si="5"/>
        <v>43697.026666666672</v>
      </c>
      <c r="AJ17" s="706">
        <f>VLOOKUP("*"&amp;$B17&amp;"*",'S4 - Summ PRS Characteristics'!$C$13:$Q$20,15,FALSE)*$J17</f>
        <v>385.85789927511587</v>
      </c>
      <c r="AK17" s="706">
        <f t="shared" si="13"/>
        <v>7147.1421007248846</v>
      </c>
      <c r="AL17" s="706">
        <f>IF($C17="other",(1-$C7)*AJ17,(1-(VLOOKUP($C17,'S3 - Screening Tool Metrics'!$C$3:$G$17,5,FALSE)/100))*AJ17)</f>
        <v>115.75736978253478</v>
      </c>
      <c r="AM17" s="706">
        <f>IF($C17="other",$C7*AJ17,(VLOOKUP($C17,'S3 - Screening Tool Metrics'!$C$3:$G$17,5,FALSE)/100)*AJ17)</f>
        <v>270.10052949258107</v>
      </c>
      <c r="AN17" s="709">
        <f t="shared" si="6"/>
        <v>3.5855639120215193</v>
      </c>
    </row>
    <row r="18" spans="2:40" x14ac:dyDescent="0.15">
      <c r="B18" s="700" t="s">
        <v>8</v>
      </c>
      <c r="C18" s="721" t="str">
        <f>$C8</f>
        <v>Digital mammography</v>
      </c>
      <c r="D18" s="552" t="s">
        <v>202</v>
      </c>
      <c r="E18" s="710">
        <f>VLOOKUP($B18&amp;"_"&amp;$D18,'App5 - CRUK Inci Rates'!C:H,6,FALSE)</f>
        <v>0</v>
      </c>
      <c r="F18" s="711">
        <f>VLOOKUP($B18&amp;"_"&amp;$D18,'App5 - CRUK Inci Rates'!C:H,3,FALSE)</f>
        <v>282.4951148355575</v>
      </c>
      <c r="G18" s="712">
        <f>VLOOKUP($B18&amp;"_"&amp;$D18,'App5 - CRUK Inci Rates'!C:J,8,FALSE)</f>
        <v>4484325.333333334</v>
      </c>
      <c r="H18" s="713">
        <f>VLOOKUP($B18&amp;"_"&amp;$D18,'App5 - CRUK Inci Rates'!C:J,7,FALSE)</f>
        <v>0</v>
      </c>
      <c r="I18" s="713">
        <f>VLOOKUP($B18&amp;"_"&amp;$D18,'App5 - CRUK Inci Rates'!C:J,4,FALSE)</f>
        <v>4484325.333333334</v>
      </c>
      <c r="J18" s="709">
        <f>VLOOKUP($B18&amp;"_"&amp;$D18,'App5 - CRUK Inci Rates'!C:K,9,FALSE)</f>
        <v>12668</v>
      </c>
      <c r="K18" s="706">
        <f t="shared" si="7"/>
        <v>2242162.666666667</v>
      </c>
      <c r="L18" s="706">
        <f>VLOOKUP("*"&amp;$B18&amp;"*",'S4 - Summ PRS Characteristics'!$C$13:$Q$20,11,FALSE)*$J18</f>
        <v>9575.9704504626934</v>
      </c>
      <c r="M18" s="706">
        <f t="shared" si="8"/>
        <v>3092.0295495373066</v>
      </c>
      <c r="N18" s="706">
        <f>IF($C18="other",(1-$C$7)*L18,(1-(VLOOKUP($C18,'S3 - Screening Tool Metrics'!$C$3:$G$17,5,FALSE)/100))*L18)</f>
        <v>2872.7911351388084</v>
      </c>
      <c r="O18" s="706">
        <f>IF($C18="other",$C$7*L18,(VLOOKUP($C18,'S3 - Screening Tool Metrics'!$C$3:$G$17,5,FALSE)/100)*L18)</f>
        <v>6703.179315323885</v>
      </c>
      <c r="P18" s="706">
        <f t="shared" si="9"/>
        <v>52.914266777106768</v>
      </c>
      <c r="Q18" s="707">
        <f t="shared" si="0"/>
        <v>896865.06666666688</v>
      </c>
      <c r="R18" s="706">
        <f>VLOOKUP("*"&amp;$B18&amp;"*",'S4 - Summ PRS Characteristics'!$C$13:$Q$20,12,FALSE)*$J18</f>
        <v>5586.8147651300769</v>
      </c>
      <c r="S18" s="706">
        <f t="shared" si="10"/>
        <v>7081.1852348699231</v>
      </c>
      <c r="T18" s="706">
        <f>IF($C18="other",(1-$C7)*R18,(1-(VLOOKUP($C18,'S3 - Screening Tool Metrics'!$C$3:$G$17,5,FALSE)/100))*R18)</f>
        <v>1676.0444295390232</v>
      </c>
      <c r="U18" s="706">
        <f>IF($C18="other",$C7*R18,(VLOOKUP($C18,'S3 - Screening Tool Metrics'!$C$3:$G$17,5,FALSE)/100)*R18)</f>
        <v>3910.7703355910535</v>
      </c>
      <c r="V18" s="708">
        <f t="shared" si="1"/>
        <v>30.871253043819497</v>
      </c>
      <c r="W18" s="707">
        <f t="shared" si="11"/>
        <v>448432.53333333344</v>
      </c>
      <c r="X18" s="706">
        <f>VLOOKUP("*"&amp;$B18&amp;"*",'S4 - Summ PRS Characteristics'!$C$13:$Q$20,13,FALSE)*$J18</f>
        <v>3523.7181455045461</v>
      </c>
      <c r="Y18" s="706">
        <f t="shared" si="12"/>
        <v>9144.2818544954534</v>
      </c>
      <c r="Z18" s="706">
        <f>IF($C18="other",(1-$C7)*X18,(1-(VLOOKUP($C18,'S3 - Screening Tool Metrics'!$C$3:$G$17,5,FALSE)/100))*X18)</f>
        <v>1057.1154436513639</v>
      </c>
      <c r="AA18" s="706">
        <f>IF($C18="other",$C7*X18,(VLOOKUP($C18,'S3 - Screening Tool Metrics'!$C$3:$G$17,5,FALSE)/100)*X18)</f>
        <v>2466.6027018531822</v>
      </c>
      <c r="AB18" s="708">
        <f t="shared" si="2"/>
        <v>19.471129632563798</v>
      </c>
      <c r="AC18" s="706">
        <f t="shared" si="3"/>
        <v>224216.26666666672</v>
      </c>
      <c r="AD18" s="706">
        <f>VLOOKUP("*"&amp;$B18&amp;"*",'S4 - Summ PRS Characteristics'!$C$13:$Q$20,14,FALSE)*$J18</f>
        <v>2161.7247858721571</v>
      </c>
      <c r="AE18" s="706">
        <f t="shared" si="14"/>
        <v>10506.275214127843</v>
      </c>
      <c r="AF18" s="706">
        <f>IF($C18="other",(1-$C7)*AD18,(1-(VLOOKUP($C18,'S3 - Screening Tool Metrics'!$C$3:$G$17,5,FALSE)/100))*AD18)</f>
        <v>648.51743576164722</v>
      </c>
      <c r="AG18" s="706">
        <f>IF($C18="other",$C7*AD18,(VLOOKUP($C18,'S3 - Screening Tool Metrics'!$C$3:$G$17,5,FALSE)/100)*AD18)</f>
        <v>1513.2073501105099</v>
      </c>
      <c r="AH18" s="708">
        <f t="shared" si="4"/>
        <v>11.945116435984449</v>
      </c>
      <c r="AI18" s="707">
        <f t="shared" si="5"/>
        <v>44843.253333333341</v>
      </c>
      <c r="AJ18" s="706">
        <f>VLOOKUP("*"&amp;$B18&amp;"*",'S4 - Summ PRS Characteristics'!$C$13:$Q$20,15,FALSE)*$J18</f>
        <v>648.88462339269461</v>
      </c>
      <c r="AK18" s="706">
        <f t="shared" si="13"/>
        <v>12019.115376607306</v>
      </c>
      <c r="AL18" s="706">
        <f>IF($C18="other",(1-$C7)*AJ18,(1-(VLOOKUP($C18,'S3 - Screening Tool Metrics'!$C$3:$G$17,5,FALSE)/100))*AJ18)</f>
        <v>194.6653870178084</v>
      </c>
      <c r="AM18" s="706">
        <f>IF($C18="other",$C7*AJ18,(VLOOKUP($C18,'S3 - Screening Tool Metrics'!$C$3:$G$17,5,FALSE)/100)*AJ18)</f>
        <v>454.21923637488618</v>
      </c>
      <c r="AN18" s="709">
        <f t="shared" si="6"/>
        <v>3.5855639120215201</v>
      </c>
    </row>
    <row r="19" spans="2:40" x14ac:dyDescent="0.15">
      <c r="B19" s="700" t="s">
        <v>8</v>
      </c>
      <c r="C19" s="721" t="str">
        <f>$C8</f>
        <v>Digital mammography</v>
      </c>
      <c r="D19" s="552" t="s">
        <v>203</v>
      </c>
      <c r="E19" s="710">
        <f>VLOOKUP($B19&amp;"_"&amp;$D19,'App5 - CRUK Inci Rates'!C:H,6,FALSE)</f>
        <v>0</v>
      </c>
      <c r="F19" s="711">
        <f>VLOOKUP($B19&amp;"_"&amp;$D19,'App5 - CRUK Inci Rates'!C:H,3,FALSE)</f>
        <v>323.87112291893521</v>
      </c>
      <c r="G19" s="712">
        <f>VLOOKUP($B19&amp;"_"&amp;$D19,'App5 - CRUK Inci Rates'!C:J,8,FALSE)</f>
        <v>8126689.333333334</v>
      </c>
      <c r="H19" s="713">
        <f>VLOOKUP($B19&amp;"_"&amp;$D19,'App5 - CRUK Inci Rates'!C:J,7,FALSE)</f>
        <v>0</v>
      </c>
      <c r="I19" s="713">
        <f>VLOOKUP($B19&amp;"_"&amp;$D19,'App5 - CRUK Inci Rates'!C:J,4,FALSE)</f>
        <v>8126689.333333334</v>
      </c>
      <c r="J19" s="709">
        <f>VLOOKUP($B19&amp;"_"&amp;$D19,'App5 - CRUK Inci Rates'!C:K,9,FALSE)</f>
        <v>26320</v>
      </c>
      <c r="K19" s="706">
        <f t="shared" si="7"/>
        <v>4063344.666666667</v>
      </c>
      <c r="L19" s="706">
        <f>VLOOKUP("*"&amp;$B19&amp;"*",'S4 - Summ PRS Characteristics'!$C$13:$Q$20,11,FALSE)*$J19</f>
        <v>19895.764308192145</v>
      </c>
      <c r="M19" s="706">
        <f t="shared" si="8"/>
        <v>6424.2356918078549</v>
      </c>
      <c r="N19" s="706">
        <f>IF($C19="other",(1-$C$7)*L19,(1-(VLOOKUP($C19,'S3 - Screening Tool Metrics'!$C$3:$G$17,5,FALSE)/100))*L19)</f>
        <v>5968.7292924576441</v>
      </c>
      <c r="O19" s="706">
        <f>IF($C19="other",$C$7*L19,(VLOOKUP($C19,'S3 - Screening Tool Metrics'!$C$3:$G$17,5,FALSE)/100)*L19)</f>
        <v>13927.0350157345</v>
      </c>
      <c r="P19" s="706">
        <f t="shared" si="9"/>
        <v>52.914266777106768</v>
      </c>
      <c r="Q19" s="707">
        <f t="shared" si="0"/>
        <v>1625337.8666666669</v>
      </c>
      <c r="R19" s="706">
        <f>VLOOKUP("*"&amp;$B19&amp;"*",'S4 - Summ PRS Characteristics'!$C$13:$Q$20,12,FALSE)*$J19</f>
        <v>11607.591144476131</v>
      </c>
      <c r="S19" s="706">
        <f t="shared" si="10"/>
        <v>14712.408855523869</v>
      </c>
      <c r="T19" s="706">
        <f>IF($C19="other",(1-$C7)*R19,(1-(VLOOKUP($C19,'S3 - Screening Tool Metrics'!$C$3:$G$17,5,FALSE)/100))*R19)</f>
        <v>3482.2773433428401</v>
      </c>
      <c r="U19" s="706">
        <f>IF($C19="other",$C7*R19,(VLOOKUP($C19,'S3 - Screening Tool Metrics'!$C$3:$G$17,5,FALSE)/100)*R19)</f>
        <v>8125.3138011332912</v>
      </c>
      <c r="V19" s="708">
        <f t="shared" si="1"/>
        <v>30.871253043819497</v>
      </c>
      <c r="W19" s="707">
        <f t="shared" si="11"/>
        <v>812668.93333333347</v>
      </c>
      <c r="X19" s="706">
        <f>VLOOKUP("*"&amp;$B19&amp;"*",'S4 - Summ PRS Characteristics'!$C$13:$Q$20,13,FALSE)*$J19</f>
        <v>7321.1447418439893</v>
      </c>
      <c r="Y19" s="706">
        <f t="shared" si="12"/>
        <v>18998.855258156011</v>
      </c>
      <c r="Z19" s="706">
        <f>IF($C19="other",(1-$C7)*X19,(1-(VLOOKUP($C19,'S3 - Screening Tool Metrics'!$C$3:$G$17,5,FALSE)/100))*X19)</f>
        <v>2196.3434225531973</v>
      </c>
      <c r="AA19" s="706">
        <f>IF($C19="other",$C7*X19,(VLOOKUP($C19,'S3 - Screening Tool Metrics'!$C$3:$G$17,5,FALSE)/100)*X19)</f>
        <v>5124.801319290792</v>
      </c>
      <c r="AB19" s="708">
        <f t="shared" si="2"/>
        <v>19.471129632563798</v>
      </c>
      <c r="AC19" s="706">
        <f t="shared" si="3"/>
        <v>406334.46666666673</v>
      </c>
      <c r="AD19" s="706">
        <f>VLOOKUP("*"&amp;$B19&amp;"*",'S4 - Summ PRS Characteristics'!$C$13:$Q$20,14,FALSE)*$J19</f>
        <v>4491.3637799301532</v>
      </c>
      <c r="AE19" s="706">
        <f t="shared" si="14"/>
        <v>21828.636220069846</v>
      </c>
      <c r="AF19" s="706">
        <f>IF($C19="other",(1-$C7)*AD19,(1-(VLOOKUP($C19,'S3 - Screening Tool Metrics'!$C$3:$G$17,5,FALSE)/100))*AD19)</f>
        <v>1347.4091339790461</v>
      </c>
      <c r="AG19" s="706">
        <f>IF($C19="other",$C7*AD19,(VLOOKUP($C19,'S3 - Screening Tool Metrics'!$C$3:$G$17,5,FALSE)/100)*AD19)</f>
        <v>3143.9546459511071</v>
      </c>
      <c r="AH19" s="708">
        <f t="shared" si="4"/>
        <v>11.945116435984451</v>
      </c>
      <c r="AI19" s="707">
        <f t="shared" si="5"/>
        <v>81266.893333333341</v>
      </c>
      <c r="AJ19" s="706">
        <f>VLOOKUP("*"&amp;$B19&amp;"*",'S4 - Summ PRS Characteristics'!$C$13:$Q$20,15,FALSE)*$J19</f>
        <v>1348.1720309200916</v>
      </c>
      <c r="AK19" s="706">
        <f t="shared" si="13"/>
        <v>24971.82796907991</v>
      </c>
      <c r="AL19" s="706">
        <f>IF($C19="other",(1-$C7)*AJ19,(1-(VLOOKUP($C19,'S3 - Screening Tool Metrics'!$C$3:$G$17,5,FALSE)/100))*AJ19)</f>
        <v>404.45160927602757</v>
      </c>
      <c r="AM19" s="706">
        <f>IF($C19="other",$C7*AJ19,(VLOOKUP($C19,'S3 - Screening Tool Metrics'!$C$3:$G$17,5,FALSE)/100)*AJ19)</f>
        <v>943.72042164406412</v>
      </c>
      <c r="AN19" s="709">
        <f t="shared" si="6"/>
        <v>3.5855639120215201</v>
      </c>
    </row>
    <row r="20" spans="2:40" x14ac:dyDescent="0.15">
      <c r="B20" s="700" t="s">
        <v>8</v>
      </c>
      <c r="C20" s="721" t="str">
        <f>$C9</f>
        <v>Digital mammography</v>
      </c>
      <c r="D20" s="552" t="s">
        <v>292</v>
      </c>
      <c r="E20" s="710">
        <f>VLOOKUP($B20&amp;"_"&amp;$D20,'App5 - CRUK Inci Rates'!C:H,6,FALSE)</f>
        <v>0</v>
      </c>
      <c r="F20" s="711">
        <f>VLOOKUP($B20&amp;"_"&amp;$D20,'App5 - CRUK Inci Rates'!C:H,3,FALSE)</f>
        <v>374.17267503121917</v>
      </c>
      <c r="G20" s="712">
        <f>VLOOKUP($B20&amp;"_"&amp;$D20,'App5 - CRUK Inci Rates'!C:J,8,FALSE)</f>
        <v>5245973.666666667</v>
      </c>
      <c r="H20" s="713">
        <f>VLOOKUP($B20&amp;"_"&amp;$D20,'App5 - CRUK Inci Rates'!C:J,7,FALSE)</f>
        <v>0</v>
      </c>
      <c r="I20" s="713">
        <f>VLOOKUP($B20&amp;"_"&amp;$D20,'App5 - CRUK Inci Rates'!C:J,4,FALSE)</f>
        <v>5245973.666666667</v>
      </c>
      <c r="J20" s="709">
        <f>VLOOKUP($B20&amp;"_"&amp;$D20,'App5 - CRUK Inci Rates'!C:K,9,FALSE)</f>
        <v>19629</v>
      </c>
      <c r="K20" s="706">
        <f t="shared" si="7"/>
        <v>2622986.8333333335</v>
      </c>
      <c r="L20" s="706">
        <f>VLOOKUP("*"&amp;$B20&amp;"*",'S4 - Summ PRS Characteristics'!$C$13:$Q$20,11,FALSE)*$J20</f>
        <v>14837.916322397554</v>
      </c>
      <c r="M20" s="706">
        <f t="shared" si="8"/>
        <v>4791.0836776024462</v>
      </c>
      <c r="N20" s="706">
        <f>IF($C20="other",(1-$C$7)*L20,(1-(VLOOKUP($C20,'S3 - Screening Tool Metrics'!$C$3:$G$17,5,FALSE)/100))*L20)</f>
        <v>4451.3748967192669</v>
      </c>
      <c r="O20" s="706">
        <f>IF($C20="other",$C$7*L20,(VLOOKUP($C20,'S3 - Screening Tool Metrics'!$C$3:$G$17,5,FALSE)/100)*L20)</f>
        <v>10386.541425678288</v>
      </c>
      <c r="P20" s="706">
        <f t="shared" si="9"/>
        <v>52.914266777106768</v>
      </c>
      <c r="Q20" s="707">
        <f t="shared" si="0"/>
        <v>1049194.7333333334</v>
      </c>
      <c r="R20" s="706">
        <f>VLOOKUP("*"&amp;$B20&amp;"*",'S4 - Summ PRS Characteristics'!$C$13:$Q$20,12,FALSE)*$J20</f>
        <v>8656.7403713876138</v>
      </c>
      <c r="S20" s="706">
        <f t="shared" ref="S20" si="15">$J20-R20</f>
        <v>10972.259628612386</v>
      </c>
      <c r="T20" s="706">
        <f>IF($C20="other",(1-$C7)*R20,(1-(VLOOKUP($C20,'S3 - Screening Tool Metrics'!$C$3:$G$17,5,FALSE)/100))*R20)</f>
        <v>2597.0221114162846</v>
      </c>
      <c r="U20" s="706">
        <f>IF($C20="other",$C7*R20,(VLOOKUP($C20,'S3 - Screening Tool Metrics'!$C$3:$G$17,5,FALSE)/100)*R20)</f>
        <v>6059.7182599713296</v>
      </c>
      <c r="V20" s="708">
        <f t="shared" si="1"/>
        <v>30.8712530438195</v>
      </c>
      <c r="W20" s="707">
        <f t="shared" si="11"/>
        <v>524597.3666666667</v>
      </c>
      <c r="X20" s="706">
        <f>VLOOKUP("*"&amp;$B20&amp;"*",'S4 - Summ PRS Characteristics'!$C$13:$Q$20,13,FALSE)*$J20</f>
        <v>5459.9829079656402</v>
      </c>
      <c r="Y20" s="706">
        <f t="shared" ref="Y20" si="16">$J20-X20</f>
        <v>14169.017092034359</v>
      </c>
      <c r="Z20" s="706">
        <f>IF($C20="other",(1-$C7)*X20,(1-(VLOOKUP($C20,'S3 - Screening Tool Metrics'!$C$3:$G$17,5,FALSE)/100))*X20)</f>
        <v>1637.9948723896923</v>
      </c>
      <c r="AA20" s="706">
        <f>IF($C20="other",$C7*X20,(VLOOKUP($C20,'S3 - Screening Tool Metrics'!$C$3:$G$17,5,FALSE)/100)*X20)</f>
        <v>3821.9880355759478</v>
      </c>
      <c r="AB20" s="708">
        <f t="shared" si="2"/>
        <v>19.471129632563798</v>
      </c>
      <c r="AC20" s="706">
        <f t="shared" si="3"/>
        <v>262298.68333333335</v>
      </c>
      <c r="AD20" s="706">
        <f>VLOOKUP("*"&amp;$B20&amp;"*",'S4 - Summ PRS Characteristics'!$C$13:$Q$20,14,FALSE)*$J20</f>
        <v>3349.5812931705536</v>
      </c>
      <c r="AE20" s="706">
        <f t="shared" ref="AE20" si="17">$J20-AD20</f>
        <v>16279.418706829447</v>
      </c>
      <c r="AF20" s="706">
        <f>IF($C20="other",(1-$C7)*AD20,(1-(VLOOKUP($C20,'S3 - Screening Tool Metrics'!$C$3:$G$17,5,FALSE)/100))*AD20)</f>
        <v>1004.8743879511662</v>
      </c>
      <c r="AG20" s="706">
        <f>IF($C20="other",$C7*AD20,(VLOOKUP($C20,'S3 - Screening Tool Metrics'!$C$3:$G$17,5,FALSE)/100)*AD20)</f>
        <v>2344.7069052193874</v>
      </c>
      <c r="AH20" s="708">
        <f t="shared" si="4"/>
        <v>11.945116435984449</v>
      </c>
      <c r="AI20" s="707">
        <f t="shared" si="5"/>
        <v>52459.736666666671</v>
      </c>
      <c r="AJ20" s="706">
        <f>VLOOKUP("*"&amp;$B20&amp;"*",'S4 - Summ PRS Characteristics'!$C$13:$Q$20,15,FALSE)*$J20</f>
        <v>1005.4433432724346</v>
      </c>
      <c r="AK20" s="706">
        <f t="shared" ref="AK20" si="18">$J20-AJ20</f>
        <v>18623.556656727564</v>
      </c>
      <c r="AL20" s="706">
        <f>IF($C20="other",(1-$C7)*AJ20,(1-(VLOOKUP($C20,'S3 - Screening Tool Metrics'!$C$3:$G$17,5,FALSE)/100))*AJ20)</f>
        <v>301.63300298173044</v>
      </c>
      <c r="AM20" s="706">
        <f>IF($C20="other",$C7*AJ20,(VLOOKUP($C20,'S3 - Screening Tool Metrics'!$C$3:$G$17,5,FALSE)/100)*AJ20)</f>
        <v>703.81034029070418</v>
      </c>
      <c r="AN20" s="709">
        <f t="shared" si="6"/>
        <v>3.5855639120215201</v>
      </c>
    </row>
    <row r="21" spans="2:40" x14ac:dyDescent="0.15">
      <c r="B21" s="700" t="s">
        <v>8</v>
      </c>
      <c r="C21" s="721" t="str">
        <f>$C8</f>
        <v>Digital mammography</v>
      </c>
      <c r="D21" s="552" t="s">
        <v>204</v>
      </c>
      <c r="E21" s="710">
        <f>VLOOKUP($B21&amp;"_"&amp;$D21,'App5 - CRUK Inci Rates'!C:H,6,FALSE)</f>
        <v>0</v>
      </c>
      <c r="F21" s="711">
        <f>VLOOKUP($B21&amp;"_"&amp;$D21,'App5 - CRUK Inci Rates'!C:H,3,FALSE)</f>
        <v>291.80100809814547</v>
      </c>
      <c r="G21" s="712">
        <f>VLOOKUP($B21&amp;"_"&amp;$D21,'App5 - CRUK Inci Rates'!C:J,8,FALSE)</f>
        <v>15281647</v>
      </c>
      <c r="H21" s="713">
        <f>VLOOKUP($B21&amp;"_"&amp;$D21,'App5 - CRUK Inci Rates'!C:J,7,FALSE)</f>
        <v>0</v>
      </c>
      <c r="I21" s="713">
        <f>VLOOKUP($B21&amp;"_"&amp;$D21,'App5 - CRUK Inci Rates'!C:J,4,FALSE)</f>
        <v>15281647</v>
      </c>
      <c r="J21" s="709">
        <f>VLOOKUP($B21&amp;"_"&amp;$D21,'App5 - CRUK Inci Rates'!C:K,9,FALSE)</f>
        <v>44592</v>
      </c>
      <c r="K21" s="706">
        <f t="shared" si="7"/>
        <v>7640823.5</v>
      </c>
      <c r="L21" s="706">
        <f>VLOOKUP("*"&amp;$B21&amp;"*",'S4 - Summ PRS Characteristics'!$C$13:$Q$20,11,FALSE)*$J21</f>
        <v>33707.899773210644</v>
      </c>
      <c r="M21" s="706">
        <f t="shared" si="8"/>
        <v>10884.100226789356</v>
      </c>
      <c r="N21" s="706">
        <f>IF($C21="other",(1-$C$7)*L21,(1-(VLOOKUP($C21,'S3 - Screening Tool Metrics'!$C$3:$G$17,5,FALSE)/100))*L21)</f>
        <v>10112.369931963194</v>
      </c>
      <c r="O21" s="706">
        <f>IF($C21="other",$C$7*L21,(VLOOKUP($C21,'S3 - Screening Tool Metrics'!$C$3:$G$17,5,FALSE)/100)*L21)</f>
        <v>23595.529841247448</v>
      </c>
      <c r="P21" s="706">
        <f t="shared" si="9"/>
        <v>52.914266777106768</v>
      </c>
      <c r="Q21" s="707">
        <f t="shared" si="0"/>
        <v>3056329.4000000004</v>
      </c>
      <c r="R21" s="706">
        <f>VLOOKUP("*"&amp;$B21&amp;"*",'S4 - Summ PRS Characteristics'!$C$13:$Q$20,12,FALSE)*$J21</f>
        <v>19665.870224714272</v>
      </c>
      <c r="S21" s="706">
        <f t="shared" si="10"/>
        <v>24926.129775285728</v>
      </c>
      <c r="T21" s="706">
        <f>IF($C21="other",(1-$C7)*R21,(1-(VLOOKUP($C21,'S3 - Screening Tool Metrics'!$C$3:$G$17,5,FALSE)/100))*R21)</f>
        <v>5899.7610674142825</v>
      </c>
      <c r="U21" s="706">
        <f>IF($C21="other",$C7*R21,(VLOOKUP($C21,'S3 - Screening Tool Metrics'!$C$3:$G$17,5,FALSE)/100)*R21)</f>
        <v>13766.10915729999</v>
      </c>
      <c r="V21" s="708">
        <f t="shared" si="1"/>
        <v>30.871253043819497</v>
      </c>
      <c r="W21" s="707">
        <f t="shared" si="11"/>
        <v>1528164.7000000002</v>
      </c>
      <c r="X21" s="706">
        <f>VLOOKUP("*"&amp;$B21&amp;"*",'S4 - Summ PRS Characteristics'!$C$13:$Q$20,13,FALSE)*$J21</f>
        <v>12403.665893932643</v>
      </c>
      <c r="Y21" s="706">
        <f t="shared" si="12"/>
        <v>32188.334106067356</v>
      </c>
      <c r="Z21" s="706">
        <f>IF($C21="other",(1-$C7)*X21,(1-(VLOOKUP($C21,'S3 - Screening Tool Metrics'!$C$3:$G$17,5,FALSE)/100))*X21)</f>
        <v>3721.0997681797935</v>
      </c>
      <c r="AA21" s="706">
        <f>IF($C21="other",$C7*X21,(VLOOKUP($C21,'S3 - Screening Tool Metrics'!$C$3:$G$17,5,FALSE)/100)*X21)</f>
        <v>8682.56612575285</v>
      </c>
      <c r="AB21" s="708">
        <f t="shared" si="2"/>
        <v>19.471129632563798</v>
      </c>
      <c r="AC21" s="706">
        <f t="shared" si="3"/>
        <v>764082.35000000009</v>
      </c>
      <c r="AD21" s="706">
        <f>VLOOKUP("*"&amp;$B21&amp;"*",'S4 - Summ PRS Characteristics'!$C$13:$Q$20,14,FALSE)*$J21</f>
        <v>7609.3804587631221</v>
      </c>
      <c r="AE21" s="706">
        <f t="shared" si="14"/>
        <v>36982.619541236876</v>
      </c>
      <c r="AF21" s="706">
        <f>IF($C21="other",(1-$C7)*AD21,(1-(VLOOKUP($C21,'S3 - Screening Tool Metrics'!$C$3:$G$17,5,FALSE)/100))*AD21)</f>
        <v>2282.8141376289368</v>
      </c>
      <c r="AG21" s="706">
        <f>IF($C21="other",$C7*AD21,(VLOOKUP($C21,'S3 - Screening Tool Metrics'!$C$3:$G$17,5,FALSE)/100)*AD21)</f>
        <v>5326.5663211341853</v>
      </c>
      <c r="AH21" s="708">
        <f t="shared" si="4"/>
        <v>11.945116435984449</v>
      </c>
      <c r="AI21" s="707">
        <f t="shared" si="5"/>
        <v>152816.47</v>
      </c>
      <c r="AJ21" s="706">
        <f>VLOOKUP("*"&amp;$B21&amp;"*",'S4 - Summ PRS Characteristics'!$C$13:$Q$20,15,FALSE)*$J21</f>
        <v>2284.106656640909</v>
      </c>
      <c r="AK21" s="706">
        <f t="shared" si="13"/>
        <v>42307.893343359094</v>
      </c>
      <c r="AL21" s="706">
        <f>IF($C21="other",(1-$C7)*AJ21,(1-(VLOOKUP($C21,'S3 - Screening Tool Metrics'!$C$3:$G$17,5,FALSE)/100))*AJ21)</f>
        <v>685.2319969922728</v>
      </c>
      <c r="AM21" s="706">
        <f>IF($C21="other",$C7*AJ21,(VLOOKUP($C21,'S3 - Screening Tool Metrics'!$C$3:$G$17,5,FALSE)/100)*AJ21)</f>
        <v>1598.8746596486362</v>
      </c>
      <c r="AN21" s="709">
        <f t="shared" si="6"/>
        <v>3.5855639120215201</v>
      </c>
    </row>
    <row r="22" spans="2:40" ht="14" thickBot="1" x14ac:dyDescent="0.2">
      <c r="B22" s="700" t="s">
        <v>8</v>
      </c>
      <c r="C22" s="721" t="str">
        <f>$C9</f>
        <v>Digital mammography</v>
      </c>
      <c r="D22" s="552" t="s">
        <v>205</v>
      </c>
      <c r="E22" s="710">
        <f>VLOOKUP($B22&amp;"_"&amp;$D22,'App5 - CRUK Inci Rates'!C:H,6,FALSE)</f>
        <v>0</v>
      </c>
      <c r="F22" s="711">
        <f>VLOOKUP($B22&amp;"_"&amp;$D22,'App5 - CRUK Inci Rates'!C:H,3,FALSE)</f>
        <v>166.0138492223038</v>
      </c>
      <c r="G22" s="712">
        <f>VLOOKUP($B22&amp;"_"&amp;$D22,'App5 - CRUK Inci Rates'!C:J,8,FALSE)</f>
        <v>33458051.999999996</v>
      </c>
      <c r="H22" s="713">
        <f>VLOOKUP($B22&amp;"_"&amp;$D22,'App5 - CRUK Inci Rates'!C:J,7,FALSE)</f>
        <v>0</v>
      </c>
      <c r="I22" s="713">
        <f>VLOOKUP($B22&amp;"_"&amp;$D22,'App5 - CRUK Inci Rates'!C:J,4,FALSE)</f>
        <v>33458051.999999996</v>
      </c>
      <c r="J22" s="709">
        <f>VLOOKUP($B22&amp;"_"&amp;$D22,'App5 - CRUK Inci Rates'!C:K,9,FALSE)</f>
        <v>55545</v>
      </c>
      <c r="K22" s="716"/>
      <c r="L22" s="716"/>
      <c r="M22" s="716"/>
      <c r="N22" s="716"/>
      <c r="O22" s="716"/>
      <c r="P22" s="716"/>
      <c r="Q22" s="715"/>
      <c r="R22" s="716"/>
      <c r="S22" s="716"/>
      <c r="T22" s="716"/>
      <c r="U22" s="716"/>
      <c r="V22" s="717"/>
      <c r="W22" s="715"/>
      <c r="X22" s="716"/>
      <c r="Y22" s="716"/>
      <c r="Z22" s="716"/>
      <c r="AA22" s="716"/>
      <c r="AB22" s="717"/>
      <c r="AC22" s="716"/>
      <c r="AD22" s="716"/>
      <c r="AE22" s="716"/>
      <c r="AF22" s="716"/>
      <c r="AG22" s="716"/>
      <c r="AH22" s="717"/>
      <c r="AI22" s="715"/>
      <c r="AJ22" s="716"/>
      <c r="AK22" s="716"/>
      <c r="AL22" s="716"/>
      <c r="AM22" s="716"/>
      <c r="AN22" s="718"/>
    </row>
    <row r="23" spans="2:40" ht="21" customHeight="1" thickBot="1" x14ac:dyDescent="0.2">
      <c r="B23" s="686" t="s">
        <v>10</v>
      </c>
      <c r="C23" s="687"/>
      <c r="D23" s="688"/>
      <c r="E23" s="689"/>
      <c r="F23" s="690"/>
      <c r="G23" s="691"/>
      <c r="H23" s="692"/>
      <c r="I23" s="692"/>
      <c r="J23" s="693"/>
      <c r="K23" s="694"/>
      <c r="L23" s="694"/>
      <c r="M23" s="694"/>
      <c r="N23" s="694"/>
      <c r="O23" s="694"/>
      <c r="P23" s="694"/>
      <c r="Q23" s="695"/>
      <c r="R23" s="696"/>
      <c r="S23" s="696"/>
      <c r="T23" s="696"/>
      <c r="U23" s="696"/>
      <c r="V23" s="697"/>
      <c r="W23" s="695"/>
      <c r="X23" s="696"/>
      <c r="Y23" s="696"/>
      <c r="Z23" s="696"/>
      <c r="AA23" s="696"/>
      <c r="AB23" s="697"/>
      <c r="AC23" s="696"/>
      <c r="AD23" s="696"/>
      <c r="AE23" s="696"/>
      <c r="AF23" s="696"/>
      <c r="AG23" s="696"/>
      <c r="AH23" s="697"/>
      <c r="AI23" s="695"/>
      <c r="AJ23" s="696"/>
      <c r="AK23" s="696"/>
      <c r="AL23" s="696"/>
      <c r="AM23" s="696"/>
      <c r="AN23" s="699"/>
    </row>
    <row r="24" spans="2:40" x14ac:dyDescent="0.15">
      <c r="B24" s="700" t="s">
        <v>10</v>
      </c>
      <c r="C24" s="720" t="s">
        <v>172</v>
      </c>
      <c r="D24" s="593" t="s">
        <v>192</v>
      </c>
      <c r="E24" s="701">
        <f>VLOOKUP($B24&amp;"_"&amp;$D24,'App5 - CRUK Inci Rates'!C:H,6,FALSE)</f>
        <v>4.3</v>
      </c>
      <c r="F24" s="702">
        <f>VLOOKUP($B24&amp;"_"&amp;$D24,'App5 - CRUK Inci Rates'!C:H,3,FALSE)</f>
        <v>0</v>
      </c>
      <c r="G24" s="703">
        <f>VLOOKUP($B24&amp;"_"&amp;$D24,'App5 - CRUK Inci Rates'!C:J,8,FALSE)</f>
        <v>2021384.6666666667</v>
      </c>
      <c r="H24" s="704">
        <f>VLOOKUP($B24&amp;"_"&amp;$D24,'App5 - CRUK Inci Rates'!C:J,7,FALSE)</f>
        <v>2021384.6666666667</v>
      </c>
      <c r="I24" s="704">
        <f>VLOOKUP($B24&amp;"_"&amp;$D24,'App5 - CRUK Inci Rates'!C:J,4,FALSE)</f>
        <v>0</v>
      </c>
      <c r="J24" s="705">
        <f>VLOOKUP($B24&amp;"_"&amp;$D24,'App5 - CRUK Inci Rates'!C:K,9,FALSE)</f>
        <v>88</v>
      </c>
      <c r="K24" s="706">
        <f t="shared" si="7"/>
        <v>1010692.3333333334</v>
      </c>
      <c r="L24" s="706">
        <f>VLOOKUP("*"&amp;$B24&amp;"*",'S4 - Summ PRS Characteristics'!$C$13:$Q$20,11,FALSE)*$J24</f>
        <v>69.44191318506131</v>
      </c>
      <c r="M24" s="706">
        <f t="shared" si="8"/>
        <v>18.55808681493869</v>
      </c>
      <c r="N24" s="706">
        <f>IF($C24="other",(1-$C$7)*L24,(1-(VLOOKUP($C24,'S3 - Screening Tool Metrics'!$C$3:$G$17,5,FALSE)/100))*L24)</f>
        <v>47.220500965841687</v>
      </c>
      <c r="O24" s="706">
        <f>IF($C24="other",$C$7*L24,(VLOOKUP($C24,'S3 - Screening Tool Metrics'!$C$3:$G$17,5,FALSE)/100)*L24)</f>
        <v>22.221412219219619</v>
      </c>
      <c r="P24" s="706">
        <f t="shared" si="9"/>
        <v>25.251604794567751</v>
      </c>
      <c r="Q24" s="707">
        <f t="shared" ref="Q24:Q38" si="19">$G24*Q$3</f>
        <v>404276.93333333335</v>
      </c>
      <c r="R24" s="706">
        <f>VLOOKUP("*"&amp;$B24&amp;"*",'S4 - Summ PRS Characteristics'!$C$13:$Q$20,12,FALSE)*$J24</f>
        <v>42.656607099099226</v>
      </c>
      <c r="S24" s="706">
        <f>$J24-R24</f>
        <v>45.343392900900774</v>
      </c>
      <c r="T24" s="706">
        <f>IF($C24="other",(1-$C23)*R24,(1-(VLOOKUP($C24,'S3 - Screening Tool Metrics'!$C$3:$G$17,5,FALSE)/100))*R24)</f>
        <v>29.006492827387472</v>
      </c>
      <c r="U24" s="706">
        <f>IF($C24="other",$C23*R24,(VLOOKUP($C24,'S3 - Screening Tool Metrics'!$C$3:$G$17,5,FALSE)/100)*R24)</f>
        <v>13.650114271711752</v>
      </c>
      <c r="V24" s="708">
        <f t="shared" ref="V24:V38" si="20">U24/J24*100</f>
        <v>15.511493490581538</v>
      </c>
      <c r="W24" s="707">
        <f t="shared" ref="W24:W38" si="21">$G24*W$3</f>
        <v>202138.46666666667</v>
      </c>
      <c r="X24" s="706">
        <f>VLOOKUP("*"&amp;$B24&amp;"*",'S4 - Summ PRS Characteristics'!$C$13:$Q$20,13,FALSE)*$J24</f>
        <v>27.830175839912265</v>
      </c>
      <c r="Y24" s="706">
        <f>$J24-X24</f>
        <v>60.169824160087735</v>
      </c>
      <c r="Z24" s="706">
        <f>IF($C24="other",(1-$C23)*X24,(1-(VLOOKUP($C24,'S3 - Screening Tool Metrics'!$C$3:$G$17,5,FALSE)/100))*X24)</f>
        <v>18.924519571140337</v>
      </c>
      <c r="AA24" s="706">
        <f>IF($C24="other",$C23*X24,(VLOOKUP($C24,'S3 - Screening Tool Metrics'!$C$3:$G$17,5,FALSE)/100)*X24)</f>
        <v>8.9056562687719243</v>
      </c>
      <c r="AB24" s="708">
        <f t="shared" ref="AB24:AB38" si="22">$AA24/$J24*100</f>
        <v>10.120063941786277</v>
      </c>
      <c r="AC24" s="706">
        <f t="shared" ref="AC24:AC38" si="23">$G24*AC$3</f>
        <v>101069.23333333334</v>
      </c>
      <c r="AD24" s="706">
        <f>VLOOKUP("*"&amp;$B24&amp;"*",'S4 - Summ PRS Characteristics'!$C$13:$Q$20,14,FALSE)*$J24</f>
        <v>17.602802299153865</v>
      </c>
      <c r="AE24" s="706">
        <f>$J24-AD24</f>
        <v>70.397197700846135</v>
      </c>
      <c r="AF24" s="706">
        <f>IF($C24="other",(1-$C23)*AD24,(1-(VLOOKUP($C24,'S3 - Screening Tool Metrics'!$C$3:$G$17,5,FALSE)/100))*AD24)</f>
        <v>11.969905563424627</v>
      </c>
      <c r="AG24" s="706">
        <f>IF($C24="other",$C23*AD24,(VLOOKUP($C24,'S3 - Screening Tool Metrics'!$C$3:$G$17,5,FALSE)/100)*AD24)</f>
        <v>5.6328967357292372</v>
      </c>
      <c r="AH24" s="708">
        <f t="shared" ref="AH24:AH38" si="24">$AG24/$J24*100</f>
        <v>6.401019017874134</v>
      </c>
      <c r="AI24" s="707">
        <f t="shared" ref="AI24:AI38" si="25">$G24*AI$3</f>
        <v>20213.846666666668</v>
      </c>
      <c r="AJ24" s="706">
        <f>VLOOKUP("*"&amp;$B24&amp;"*",'S4 - Summ PRS Characteristics'!$C$13:$Q$20,15,FALSE)*$J24</f>
        <v>5.6213638740423919</v>
      </c>
      <c r="AK24" s="706">
        <f>$J24-AJ24</f>
        <v>82.378636125957613</v>
      </c>
      <c r="AL24" s="706">
        <f>IF($C24="other",(1-$C23)*AJ24,(1-(VLOOKUP($C24,'S3 - Screening Tool Metrics'!$C$3:$G$17,5,FALSE)/100))*AJ24)</f>
        <v>3.8225274343488262</v>
      </c>
      <c r="AM24" s="706">
        <f>IF($C24="other",$C23*AJ24,(VLOOKUP($C24,'S3 - Screening Tool Metrics'!$C$3:$G$17,5,FALSE)/100)*AJ24)</f>
        <v>1.7988364396935654</v>
      </c>
      <c r="AN24" s="709">
        <f t="shared" ref="AN24:AN38" si="26">$AM24/$J24*100</f>
        <v>2.0441323178335971</v>
      </c>
    </row>
    <row r="25" spans="2:40" x14ac:dyDescent="0.15">
      <c r="B25" s="700" t="s">
        <v>10</v>
      </c>
      <c r="C25" s="721" t="str">
        <f>$C24</f>
        <v>PSA_3ng/mL cut-off</v>
      </c>
      <c r="D25" s="552" t="s">
        <v>193</v>
      </c>
      <c r="E25" s="710">
        <f>VLOOKUP($B25&amp;"_"&amp;$D25,'App5 - CRUK Inci Rates'!C:H,6,FALSE)</f>
        <v>20.5</v>
      </c>
      <c r="F25" s="711">
        <f>VLOOKUP($B25&amp;"_"&amp;$D25,'App5 - CRUK Inci Rates'!C:H,3,FALSE)</f>
        <v>0</v>
      </c>
      <c r="G25" s="712">
        <f>VLOOKUP($B25&amp;"_"&amp;$D25,'App5 - CRUK Inci Rates'!C:J,8,FALSE)</f>
        <v>2251680</v>
      </c>
      <c r="H25" s="713">
        <f>VLOOKUP($B25&amp;"_"&amp;$D25,'App5 - CRUK Inci Rates'!C:J,7,FALSE)</f>
        <v>2251680</v>
      </c>
      <c r="I25" s="713">
        <f>VLOOKUP($B25&amp;"_"&amp;$D25,'App5 - CRUK Inci Rates'!C:J,4,FALSE)</f>
        <v>0</v>
      </c>
      <c r="J25" s="709">
        <f>VLOOKUP($B25&amp;"_"&amp;$D25,'App5 - CRUK Inci Rates'!C:K,9,FALSE)</f>
        <v>461</v>
      </c>
      <c r="K25" s="706">
        <f t="shared" si="7"/>
        <v>1125840</v>
      </c>
      <c r="L25" s="706">
        <f>VLOOKUP("*"&amp;$B25&amp;"*",'S4 - Summ PRS Characteristics'!$C$13:$Q$20,11,FALSE)*$J25</f>
        <v>363.78093157174163</v>
      </c>
      <c r="M25" s="706">
        <f t="shared" si="8"/>
        <v>97.219068428258367</v>
      </c>
      <c r="N25" s="706">
        <f>IF($C25="other",(1-$C$7)*L25,(1-(VLOOKUP($C25,'S3 - Screening Tool Metrics'!$C$3:$G$17,5,FALSE)/100))*L25)</f>
        <v>247.37103346878428</v>
      </c>
      <c r="O25" s="706">
        <f>IF($C25="other",$C$7*L25,(VLOOKUP($C25,'S3 - Screening Tool Metrics'!$C$3:$G$17,5,FALSE)/100)*L25)</f>
        <v>116.40989810295733</v>
      </c>
      <c r="P25" s="706">
        <f t="shared" si="9"/>
        <v>25.251604794567751</v>
      </c>
      <c r="Q25" s="707">
        <f t="shared" si="19"/>
        <v>450336</v>
      </c>
      <c r="R25" s="706">
        <f>VLOOKUP("*"&amp;$B25&amp;"*",'S4 - Summ PRS Characteristics'!$C$13:$Q$20,12,FALSE)*$J25</f>
        <v>223.46245309869025</v>
      </c>
      <c r="S25" s="706">
        <f t="shared" ref="S25:S38" si="27">$J25-R25</f>
        <v>237.53754690130975</v>
      </c>
      <c r="T25" s="706">
        <f>IF($C25="other",(1-$C23)*R25,(1-(VLOOKUP($C25,'S3 - Screening Tool Metrics'!$C$3:$G$17,5,FALSE)/100))*R25)</f>
        <v>151.95446810710936</v>
      </c>
      <c r="U25" s="706">
        <f>IF($C25="other",$C23*R25,(VLOOKUP($C25,'S3 - Screening Tool Metrics'!$C$3:$G$17,5,FALSE)/100)*R25)</f>
        <v>71.507984991580884</v>
      </c>
      <c r="V25" s="708">
        <f t="shared" si="20"/>
        <v>15.511493490581538</v>
      </c>
      <c r="W25" s="707">
        <f t="shared" si="21"/>
        <v>225168</v>
      </c>
      <c r="X25" s="706">
        <f>VLOOKUP("*"&amp;$B25&amp;"*",'S4 - Summ PRS Characteristics'!$C$13:$Q$20,13,FALSE)*$J25</f>
        <v>145.79217116135857</v>
      </c>
      <c r="Y25" s="706">
        <f t="shared" ref="Y25:Y38" si="28">$J25-X25</f>
        <v>315.20782883864143</v>
      </c>
      <c r="Z25" s="706">
        <f>IF($C25="other",(1-$C23)*X25,(1-(VLOOKUP($C25,'S3 - Screening Tool Metrics'!$C$3:$G$17,5,FALSE)/100))*X25)</f>
        <v>99.138676389723813</v>
      </c>
      <c r="AA25" s="706">
        <f>IF($C25="other",$C23*X25,(VLOOKUP($C25,'S3 - Screening Tool Metrics'!$C$3:$G$17,5,FALSE)/100)*X25)</f>
        <v>46.65349477163474</v>
      </c>
      <c r="AB25" s="708">
        <f t="shared" si="22"/>
        <v>10.120063941786277</v>
      </c>
      <c r="AC25" s="706">
        <f t="shared" si="23"/>
        <v>112584</v>
      </c>
      <c r="AD25" s="706">
        <f>VLOOKUP("*"&amp;$B25&amp;"*",'S4 - Summ PRS Characteristics'!$C$13:$Q$20,14,FALSE)*$J25</f>
        <v>92.214680226249214</v>
      </c>
      <c r="AE25" s="706">
        <f>$J25-AD25</f>
        <v>368.78531977375076</v>
      </c>
      <c r="AF25" s="706">
        <f>IF($C25="other",(1-$C23)*AD25,(1-(VLOOKUP($C25,'S3 - Screening Tool Metrics'!$C$3:$G$17,5,FALSE)/100))*AD25)</f>
        <v>62.705982553849459</v>
      </c>
      <c r="AG25" s="706">
        <f>IF($C25="other",$C23*AD25,(VLOOKUP($C25,'S3 - Screening Tool Metrics'!$C$3:$G$17,5,FALSE)/100)*AD25)</f>
        <v>29.508697672399748</v>
      </c>
      <c r="AH25" s="708">
        <f t="shared" si="24"/>
        <v>6.4010190178741322</v>
      </c>
      <c r="AI25" s="707">
        <f t="shared" si="25"/>
        <v>22516.799999999999</v>
      </c>
      <c r="AJ25" s="706">
        <f>VLOOKUP("*"&amp;$B25&amp;"*",'S4 - Summ PRS Characteristics'!$C$13:$Q$20,15,FALSE)*$J25</f>
        <v>29.448281203790259</v>
      </c>
      <c r="AK25" s="706">
        <f t="shared" ref="AK25:AK38" si="29">$J25-AJ25</f>
        <v>431.55171879620974</v>
      </c>
      <c r="AL25" s="706">
        <f>IF($C25="other",(1-$C23)*AJ25,(1-(VLOOKUP($C25,'S3 - Screening Tool Metrics'!$C$3:$G$17,5,FALSE)/100))*AJ25)</f>
        <v>20.024831218577376</v>
      </c>
      <c r="AM25" s="706">
        <f>IF($C25="other",$C23*AJ25,(VLOOKUP($C25,'S3 - Screening Tool Metrics'!$C$3:$G$17,5,FALSE)/100)*AJ25)</f>
        <v>9.4234499852128835</v>
      </c>
      <c r="AN25" s="709">
        <f t="shared" si="26"/>
        <v>2.0441323178335971</v>
      </c>
    </row>
    <row r="26" spans="2:40" x14ac:dyDescent="0.15">
      <c r="B26" s="700" t="s">
        <v>10</v>
      </c>
      <c r="C26" s="721" t="str">
        <f>$C24</f>
        <v>PSA_3ng/mL cut-off</v>
      </c>
      <c r="D26" s="552" t="s">
        <v>194</v>
      </c>
      <c r="E26" s="710">
        <f>VLOOKUP($B26&amp;"_"&amp;$D26,'App5 - CRUK Inci Rates'!C:H,6,FALSE)</f>
        <v>75.7</v>
      </c>
      <c r="F26" s="711">
        <f>VLOOKUP($B26&amp;"_"&amp;$D26,'App5 - CRUK Inci Rates'!C:H,3,FALSE)</f>
        <v>0</v>
      </c>
      <c r="G26" s="712">
        <f>VLOOKUP($B26&amp;"_"&amp;$D26,'App5 - CRUK Inci Rates'!C:J,8,FALSE)</f>
        <v>2293472.6666666665</v>
      </c>
      <c r="H26" s="713">
        <f>VLOOKUP($B26&amp;"_"&amp;$D26,'App5 - CRUK Inci Rates'!C:J,7,FALSE)</f>
        <v>2293472.6666666665</v>
      </c>
      <c r="I26" s="713">
        <f>VLOOKUP($B26&amp;"_"&amp;$D26,'App5 - CRUK Inci Rates'!C:J,4,FALSE)</f>
        <v>0</v>
      </c>
      <c r="J26" s="709">
        <f>VLOOKUP($B26&amp;"_"&amp;$D26,'App5 - CRUK Inci Rates'!C:K,9,FALSE)</f>
        <v>1737</v>
      </c>
      <c r="K26" s="706">
        <f t="shared" si="7"/>
        <v>1146736.3333333333</v>
      </c>
      <c r="L26" s="706">
        <f>VLOOKUP("*"&amp;$B26&amp;"*",'S4 - Summ PRS Characteristics'!$C$13:$Q$20,11,FALSE)*$J26</f>
        <v>1370.6886727551307</v>
      </c>
      <c r="M26" s="706">
        <f t="shared" si="8"/>
        <v>366.31132724486929</v>
      </c>
      <c r="N26" s="706">
        <f>IF($C26="other",(1-$C$7)*L26,(1-(VLOOKUP($C26,'S3 - Screening Tool Metrics'!$C$3:$G$17,5,FALSE)/100))*L26)</f>
        <v>932.06829747348877</v>
      </c>
      <c r="O26" s="706">
        <f>IF($C26="other",$C$7*L26,(VLOOKUP($C26,'S3 - Screening Tool Metrics'!$C$3:$G$17,5,FALSE)/100)*L26)</f>
        <v>438.62037528164183</v>
      </c>
      <c r="P26" s="706">
        <f t="shared" si="9"/>
        <v>25.251604794567751</v>
      </c>
      <c r="Q26" s="707">
        <f t="shared" si="19"/>
        <v>458694.53333333333</v>
      </c>
      <c r="R26" s="706">
        <f>VLOOKUP("*"&amp;$B26&amp;"*",'S4 - Summ PRS Characteristics'!$C$13:$Q$20,12,FALSE)*$J26</f>
        <v>841.98325603562898</v>
      </c>
      <c r="S26" s="706">
        <f t="shared" si="27"/>
        <v>895.01674396437102</v>
      </c>
      <c r="T26" s="706">
        <f>IF($C26="other",(1-$C23)*R26,(1-(VLOOKUP($C26,'S3 - Screening Tool Metrics'!$C$3:$G$17,5,FALSE)/100))*R26)</f>
        <v>572.54861410422768</v>
      </c>
      <c r="U26" s="706">
        <f>IF($C26="other",$C23*R26,(VLOOKUP($C26,'S3 - Screening Tool Metrics'!$C$3:$G$17,5,FALSE)/100)*R26)</f>
        <v>269.4346419314013</v>
      </c>
      <c r="V26" s="708">
        <f t="shared" si="20"/>
        <v>15.511493490581538</v>
      </c>
      <c r="W26" s="707">
        <f t="shared" si="21"/>
        <v>229347.26666666666</v>
      </c>
      <c r="X26" s="706">
        <f>VLOOKUP("*"&amp;$B26&amp;"*",'S4 - Summ PRS Characteristics'!$C$13:$Q$20,13,FALSE)*$J26</f>
        <v>549.32972084008634</v>
      </c>
      <c r="Y26" s="706">
        <f t="shared" si="28"/>
        <v>1187.6702791599137</v>
      </c>
      <c r="Z26" s="706">
        <f>IF($C26="other",(1-$C23)*X26,(1-(VLOOKUP($C26,'S3 - Screening Tool Metrics'!$C$3:$G$17,5,FALSE)/100))*X26)</f>
        <v>373.54421017125867</v>
      </c>
      <c r="AA26" s="706">
        <f>IF($C26="other",$C23*X26,(VLOOKUP($C26,'S3 - Screening Tool Metrics'!$C$3:$G$17,5,FALSE)/100)*X26)</f>
        <v>175.78551066882764</v>
      </c>
      <c r="AB26" s="708">
        <f t="shared" si="22"/>
        <v>10.120063941786277</v>
      </c>
      <c r="AC26" s="706">
        <f t="shared" si="23"/>
        <v>114673.63333333333</v>
      </c>
      <c r="AD26" s="706">
        <f>VLOOKUP("*"&amp;$B26&amp;"*",'S4 - Summ PRS Characteristics'!$C$13:$Q$20,14,FALSE)*$J26</f>
        <v>347.45531356398021</v>
      </c>
      <c r="AE26" s="706">
        <f t="shared" ref="AE26:AE38" si="30">$J26-AD26</f>
        <v>1389.5446864360197</v>
      </c>
      <c r="AF26" s="706">
        <f>IF($C26="other",(1-$C23)*AD26,(1-(VLOOKUP($C26,'S3 - Screening Tool Metrics'!$C$3:$G$17,5,FALSE)/100))*AD26)</f>
        <v>236.26961322350652</v>
      </c>
      <c r="AG26" s="706">
        <f>IF($C26="other",$C23*AD26,(VLOOKUP($C26,'S3 - Screening Tool Metrics'!$C$3:$G$17,5,FALSE)/100)*AD26)</f>
        <v>111.18570034047367</v>
      </c>
      <c r="AH26" s="708">
        <f t="shared" si="24"/>
        <v>6.4010190178741322</v>
      </c>
      <c r="AI26" s="707">
        <f t="shared" si="25"/>
        <v>22934.726666666666</v>
      </c>
      <c r="AJ26" s="706">
        <f>VLOOKUP("*"&amp;$B26&amp;"*",'S4 - Summ PRS Characteristics'!$C$13:$Q$20,15,FALSE)*$J26</f>
        <v>110.95805737740494</v>
      </c>
      <c r="AK26" s="706">
        <f t="shared" si="29"/>
        <v>1626.0419426225951</v>
      </c>
      <c r="AL26" s="706">
        <f>IF($C26="other",(1-$C23)*AJ26,(1-(VLOOKUP($C26,'S3 - Screening Tool Metrics'!$C$3:$G$17,5,FALSE)/100))*AJ26)</f>
        <v>75.451479016635346</v>
      </c>
      <c r="AM26" s="706">
        <f>IF($C26="other",$C23*AJ26,(VLOOKUP($C26,'S3 - Screening Tool Metrics'!$C$3:$G$17,5,FALSE)/100)*AJ26)</f>
        <v>35.506578360769581</v>
      </c>
      <c r="AN26" s="709">
        <f t="shared" si="26"/>
        <v>2.0441323178335971</v>
      </c>
    </row>
    <row r="27" spans="2:40" x14ac:dyDescent="0.15">
      <c r="B27" s="700" t="s">
        <v>10</v>
      </c>
      <c r="C27" s="721" t="str">
        <f>$C24</f>
        <v>PSA_3ng/mL cut-off</v>
      </c>
      <c r="D27" s="552" t="s">
        <v>195</v>
      </c>
      <c r="E27" s="710">
        <f>VLOOKUP($B27&amp;"_"&amp;$D27,'App5 - CRUK Inci Rates'!C:H,6,FALSE)</f>
        <v>201.8</v>
      </c>
      <c r="F27" s="711">
        <f>VLOOKUP($B27&amp;"_"&amp;$D27,'App5 - CRUK Inci Rates'!C:H,3,FALSE)</f>
        <v>0</v>
      </c>
      <c r="G27" s="712">
        <f>VLOOKUP($B27&amp;"_"&amp;$D27,'App5 - CRUK Inci Rates'!C:J,8,FALSE)</f>
        <v>2061918.6666666667</v>
      </c>
      <c r="H27" s="713">
        <f>VLOOKUP($B27&amp;"_"&amp;$D27,'App5 - CRUK Inci Rates'!C:J,7,FALSE)</f>
        <v>2061918.6666666667</v>
      </c>
      <c r="I27" s="713">
        <f>VLOOKUP($B27&amp;"_"&amp;$D27,'App5 - CRUK Inci Rates'!C:J,4,FALSE)</f>
        <v>0</v>
      </c>
      <c r="J27" s="709">
        <f>VLOOKUP($B27&amp;"_"&amp;$D27,'App5 - CRUK Inci Rates'!C:K,9,FALSE)</f>
        <v>4160</v>
      </c>
      <c r="K27" s="706">
        <f t="shared" si="7"/>
        <v>1030959.3333333334</v>
      </c>
      <c r="L27" s="706">
        <f>VLOOKUP("*"&amp;$B27&amp;"*",'S4 - Summ PRS Characteristics'!$C$13:$Q$20,11,FALSE)*$J27</f>
        <v>3282.7086232938077</v>
      </c>
      <c r="M27" s="706">
        <f t="shared" si="8"/>
        <v>877.2913767061923</v>
      </c>
      <c r="N27" s="706">
        <f>IF($C27="other",(1-$C$7)*L27,(1-(VLOOKUP($C27,'S3 - Screening Tool Metrics'!$C$3:$G$17,5,FALSE)/100))*L27)</f>
        <v>2232.2418638397889</v>
      </c>
      <c r="O27" s="706">
        <f>IF($C27="other",$C$7*L27,(VLOOKUP($C27,'S3 - Screening Tool Metrics'!$C$3:$G$17,5,FALSE)/100)*L27)</f>
        <v>1050.4667594540185</v>
      </c>
      <c r="P27" s="706">
        <f t="shared" si="9"/>
        <v>25.251604794567754</v>
      </c>
      <c r="Q27" s="707">
        <f t="shared" si="19"/>
        <v>412383.7333333334</v>
      </c>
      <c r="R27" s="706">
        <f>VLOOKUP("*"&amp;$B27&amp;"*",'S4 - Summ PRS Characteristics'!$C$13:$Q$20,12,FALSE)*$J27</f>
        <v>2016.4941537755997</v>
      </c>
      <c r="S27" s="706">
        <f t="shared" si="27"/>
        <v>2143.5058462244006</v>
      </c>
      <c r="T27" s="706">
        <f>IF($C27="other",(1-$C23)*R27,(1-(VLOOKUP($C27,'S3 - Screening Tool Metrics'!$C$3:$G$17,5,FALSE)/100))*R27)</f>
        <v>1371.2160245674077</v>
      </c>
      <c r="U27" s="706">
        <f>IF($C27="other",$C23*R27,(VLOOKUP($C27,'S3 - Screening Tool Metrics'!$C$3:$G$17,5,FALSE)/100)*R27)</f>
        <v>645.2781292081919</v>
      </c>
      <c r="V27" s="708">
        <f t="shared" si="20"/>
        <v>15.511493490581534</v>
      </c>
      <c r="W27" s="707">
        <f t="shared" si="21"/>
        <v>206191.8666666667</v>
      </c>
      <c r="X27" s="706">
        <f>VLOOKUP("*"&amp;$B27&amp;"*",'S4 - Summ PRS Characteristics'!$C$13:$Q$20,13,FALSE)*$J27</f>
        <v>1315.6083124322161</v>
      </c>
      <c r="Y27" s="706">
        <f t="shared" si="28"/>
        <v>2844.3916875677842</v>
      </c>
      <c r="Z27" s="706">
        <f>IF($C27="other",(1-$C23)*X27,(1-(VLOOKUP($C27,'S3 - Screening Tool Metrics'!$C$3:$G$17,5,FALSE)/100))*X27)</f>
        <v>894.61365245390687</v>
      </c>
      <c r="AA27" s="706">
        <f>IF($C27="other",$C23*X27,(VLOOKUP($C27,'S3 - Screening Tool Metrics'!$C$3:$G$17,5,FALSE)/100)*X27)</f>
        <v>420.99465997830913</v>
      </c>
      <c r="AB27" s="708">
        <f t="shared" si="22"/>
        <v>10.120063941786277</v>
      </c>
      <c r="AC27" s="706">
        <f t="shared" si="23"/>
        <v>103095.93333333335</v>
      </c>
      <c r="AD27" s="706">
        <f>VLOOKUP("*"&amp;$B27&amp;"*",'S4 - Summ PRS Characteristics'!$C$13:$Q$20,14,FALSE)*$J27</f>
        <v>832.13247232363722</v>
      </c>
      <c r="AE27" s="706">
        <f t="shared" si="30"/>
        <v>3327.8675276763629</v>
      </c>
      <c r="AF27" s="706">
        <f>IF($C27="other",(1-$C23)*AD27,(1-(VLOOKUP($C27,'S3 - Screening Tool Metrics'!$C$3:$G$17,5,FALSE)/100))*AD27)</f>
        <v>565.85008118007329</v>
      </c>
      <c r="AG27" s="706">
        <f>IF($C27="other",$C23*AD27,(VLOOKUP($C27,'S3 - Screening Tool Metrics'!$C$3:$G$17,5,FALSE)/100)*AD27)</f>
        <v>266.28239114356393</v>
      </c>
      <c r="AH27" s="708">
        <f t="shared" si="24"/>
        <v>6.4010190178741322</v>
      </c>
      <c r="AI27" s="707">
        <f t="shared" si="25"/>
        <v>20619.186666666668</v>
      </c>
      <c r="AJ27" s="706">
        <f>VLOOKUP("*"&amp;$B27&amp;"*",'S4 - Summ PRS Characteristics'!$C$13:$Q$20,15,FALSE)*$J27</f>
        <v>265.73720131836762</v>
      </c>
      <c r="AK27" s="706">
        <f t="shared" si="29"/>
        <v>3894.2627986816324</v>
      </c>
      <c r="AL27" s="706">
        <f>IF($C27="other",(1-$C23)*AJ27,(1-(VLOOKUP($C27,'S3 - Screening Tool Metrics'!$C$3:$G$17,5,FALSE)/100))*AJ27)</f>
        <v>180.70129689648996</v>
      </c>
      <c r="AM27" s="706">
        <f>IF($C27="other",$C23*AJ27,(VLOOKUP($C27,'S3 - Screening Tool Metrics'!$C$3:$G$17,5,FALSE)/100)*AJ27)</f>
        <v>85.035904421877646</v>
      </c>
      <c r="AN27" s="709">
        <f t="shared" si="26"/>
        <v>2.0441323178335971</v>
      </c>
    </row>
    <row r="28" spans="2:40" x14ac:dyDescent="0.15">
      <c r="B28" s="700" t="s">
        <v>10</v>
      </c>
      <c r="C28" s="721" t="str">
        <f>$C24</f>
        <v>PSA_3ng/mL cut-off</v>
      </c>
      <c r="D28" s="552" t="s">
        <v>196</v>
      </c>
      <c r="E28" s="710">
        <f>VLOOKUP($B28&amp;"_"&amp;$D28,'App5 - CRUK Inci Rates'!C:H,6,FALSE)</f>
        <v>356.1</v>
      </c>
      <c r="F28" s="711">
        <f>VLOOKUP($B28&amp;"_"&amp;$D28,'App5 - CRUK Inci Rates'!C:H,3,FALSE)</f>
        <v>0</v>
      </c>
      <c r="G28" s="712">
        <f>VLOOKUP($B28&amp;"_"&amp;$D28,'App5 - CRUK Inci Rates'!C:J,8,FALSE)</f>
        <v>1764828</v>
      </c>
      <c r="H28" s="713">
        <f>VLOOKUP($B28&amp;"_"&amp;$D28,'App5 - CRUK Inci Rates'!C:J,7,FALSE)</f>
        <v>1764828</v>
      </c>
      <c r="I28" s="713">
        <f>VLOOKUP($B28&amp;"_"&amp;$D28,'App5 - CRUK Inci Rates'!C:J,4,FALSE)</f>
        <v>0</v>
      </c>
      <c r="J28" s="709">
        <f>VLOOKUP($B28&amp;"_"&amp;$D28,'App5 - CRUK Inci Rates'!C:K,9,FALSE)</f>
        <v>6285</v>
      </c>
      <c r="K28" s="706">
        <f t="shared" si="7"/>
        <v>882414</v>
      </c>
      <c r="L28" s="706">
        <f>VLOOKUP("*"&amp;$B28&amp;"*",'S4 - Summ PRS Characteristics'!$C$13:$Q$20,11,FALSE)*$J28</f>
        <v>4959.573004183072</v>
      </c>
      <c r="M28" s="706">
        <f t="shared" si="8"/>
        <v>1325.426995816928</v>
      </c>
      <c r="N28" s="706">
        <f>IF($C28="other",(1-$C$7)*L28,(1-(VLOOKUP($C28,'S3 - Screening Tool Metrics'!$C$3:$G$17,5,FALSE)/100))*L28)</f>
        <v>3372.5096428444886</v>
      </c>
      <c r="O28" s="706">
        <f>IF($C28="other",$C$7*L28,(VLOOKUP($C28,'S3 - Screening Tool Metrics'!$C$3:$G$17,5,FALSE)/100)*L28)</f>
        <v>1587.063361338583</v>
      </c>
      <c r="P28" s="706">
        <f t="shared" si="9"/>
        <v>25.251604794567751</v>
      </c>
      <c r="Q28" s="707">
        <f t="shared" si="19"/>
        <v>352965.60000000003</v>
      </c>
      <c r="R28" s="706">
        <f>VLOOKUP("*"&amp;$B28&amp;"*",'S4 - Summ PRS Characteristics'!$C$13:$Q$20,12,FALSE)*$J28</f>
        <v>3046.5542683845297</v>
      </c>
      <c r="S28" s="706">
        <f t="shared" si="27"/>
        <v>3238.4457316154703</v>
      </c>
      <c r="T28" s="706">
        <f>IF($C28="other",(1-$C23)*R28,(1-(VLOOKUP($C28,'S3 - Screening Tool Metrics'!$C$3:$G$17,5,FALSE)/100))*R28)</f>
        <v>2071.6569025014801</v>
      </c>
      <c r="U28" s="706">
        <f>IF($C28="other",$C23*R28,(VLOOKUP($C28,'S3 - Screening Tool Metrics'!$C$3:$G$17,5,FALSE)/100)*R28)</f>
        <v>974.89736588304947</v>
      </c>
      <c r="V28" s="708">
        <f t="shared" si="20"/>
        <v>15.511493490581534</v>
      </c>
      <c r="W28" s="707">
        <f t="shared" si="21"/>
        <v>176482.80000000002</v>
      </c>
      <c r="X28" s="706">
        <f>VLOOKUP("*"&amp;$B28&amp;"*",'S4 - Summ PRS Characteristics'!$C$13:$Q$20,13,FALSE)*$J28</f>
        <v>1987.6438085664611</v>
      </c>
      <c r="Y28" s="706">
        <f t="shared" si="28"/>
        <v>4297.3561914335387</v>
      </c>
      <c r="Z28" s="706">
        <f>IF($C28="other",(1-$C23)*X28,(1-(VLOOKUP($C28,'S3 - Screening Tool Metrics'!$C$3:$G$17,5,FALSE)/100))*X28)</f>
        <v>1351.5977898251933</v>
      </c>
      <c r="AA28" s="706">
        <f>IF($C28="other",$C23*X28,(VLOOKUP($C28,'S3 - Screening Tool Metrics'!$C$3:$G$17,5,FALSE)/100)*X28)</f>
        <v>636.04601874126752</v>
      </c>
      <c r="AB28" s="708">
        <f t="shared" si="22"/>
        <v>10.120063941786277</v>
      </c>
      <c r="AC28" s="706">
        <f t="shared" si="23"/>
        <v>88241.400000000009</v>
      </c>
      <c r="AD28" s="706">
        <f>VLOOKUP("*"&amp;$B28&amp;"*",'S4 - Summ PRS Characteristics'!$C$13:$Q$20,14,FALSE)*$J28</f>
        <v>1257.2001414793413</v>
      </c>
      <c r="AE28" s="706">
        <f t="shared" si="30"/>
        <v>5027.7998585206587</v>
      </c>
      <c r="AF28" s="706">
        <f>IF($C28="other",(1-$C23)*AD28,(1-(VLOOKUP($C28,'S3 - Screening Tool Metrics'!$C$3:$G$17,5,FALSE)/100))*AD28)</f>
        <v>854.89609620595195</v>
      </c>
      <c r="AG28" s="706">
        <f>IF($C28="other",$C23*AD28,(VLOOKUP($C28,'S3 - Screening Tool Metrics'!$C$3:$G$17,5,FALSE)/100)*AD28)</f>
        <v>402.30404527338919</v>
      </c>
      <c r="AH28" s="708">
        <f t="shared" si="24"/>
        <v>6.4010190178741322</v>
      </c>
      <c r="AI28" s="707">
        <f t="shared" si="25"/>
        <v>17648.28</v>
      </c>
      <c r="AJ28" s="706">
        <f>VLOOKUP("*"&amp;$B28&amp;"*",'S4 - Summ PRS Characteristics'!$C$13:$Q$20,15,FALSE)*$J28</f>
        <v>401.48036304950494</v>
      </c>
      <c r="AK28" s="706">
        <f t="shared" si="29"/>
        <v>5883.5196369504947</v>
      </c>
      <c r="AL28" s="706">
        <f>IF($C28="other",(1-$C23)*AJ28,(1-(VLOOKUP($C28,'S3 - Screening Tool Metrics'!$C$3:$G$17,5,FALSE)/100))*AJ28)</f>
        <v>273.00664687366333</v>
      </c>
      <c r="AM28" s="706">
        <f>IF($C28="other",$C23*AJ28,(VLOOKUP($C28,'S3 - Screening Tool Metrics'!$C$3:$G$17,5,FALSE)/100)*AJ28)</f>
        <v>128.47371617584159</v>
      </c>
      <c r="AN28" s="709">
        <f t="shared" si="26"/>
        <v>2.0441323178335971</v>
      </c>
    </row>
    <row r="29" spans="2:40" x14ac:dyDescent="0.15">
      <c r="B29" s="700" t="s">
        <v>10</v>
      </c>
      <c r="C29" s="721" t="str">
        <f>$C24</f>
        <v>PSA_3ng/mL cut-off</v>
      </c>
      <c r="D29" s="552" t="s">
        <v>197</v>
      </c>
      <c r="E29" s="710">
        <f>VLOOKUP($B29&amp;"_"&amp;$D29,'App5 - CRUK Inci Rates'!C:H,6,FALSE)</f>
        <v>622.70000000000005</v>
      </c>
      <c r="F29" s="711">
        <f>VLOOKUP($B29&amp;"_"&amp;$D29,'App5 - CRUK Inci Rates'!C:H,3,FALSE)</f>
        <v>0</v>
      </c>
      <c r="G29" s="712">
        <f>VLOOKUP($B29&amp;"_"&amp;$D29,'App5 - CRUK Inci Rates'!C:J,8,FALSE)</f>
        <v>1696993.3333333333</v>
      </c>
      <c r="H29" s="713">
        <f>VLOOKUP($B29&amp;"_"&amp;$D29,'App5 - CRUK Inci Rates'!C:J,7,FALSE)</f>
        <v>1696993.3333333333</v>
      </c>
      <c r="I29" s="713">
        <f>VLOOKUP($B29&amp;"_"&amp;$D29,'App5 - CRUK Inci Rates'!C:J,4,FALSE)</f>
        <v>0</v>
      </c>
      <c r="J29" s="709">
        <f>VLOOKUP($B29&amp;"_"&amp;$D29,'App5 - CRUK Inci Rates'!C:K,9,FALSE)</f>
        <v>10568</v>
      </c>
      <c r="K29" s="706">
        <f t="shared" si="7"/>
        <v>848496.66666666663</v>
      </c>
      <c r="L29" s="706">
        <f>VLOOKUP("*"&amp;$B29&amp;"*",'S4 - Summ PRS Characteristics'!$C$13:$Q$20,11,FALSE)*$J29</f>
        <v>8339.3424834059988</v>
      </c>
      <c r="M29" s="706">
        <f t="shared" si="8"/>
        <v>2228.6575165940012</v>
      </c>
      <c r="N29" s="706">
        <f>IF($C29="other",(1-$C$7)*L29,(1-(VLOOKUP($C29,'S3 - Screening Tool Metrics'!$C$3:$G$17,5,FALSE)/100))*L29)</f>
        <v>5670.7528887160788</v>
      </c>
      <c r="O29" s="706">
        <f>IF($C29="other",$C$7*L29,(VLOOKUP($C29,'S3 - Screening Tool Metrics'!$C$3:$G$17,5,FALSE)/100)*L29)</f>
        <v>2668.5895946899195</v>
      </c>
      <c r="P29" s="706">
        <f t="shared" si="9"/>
        <v>25.251604794567744</v>
      </c>
      <c r="Q29" s="707">
        <f t="shared" si="19"/>
        <v>339398.66666666669</v>
      </c>
      <c r="R29" s="706">
        <f>VLOOKUP("*"&amp;$B29&amp;"*",'S4 - Summ PRS Characteristics'!$C$13:$Q$20,12,FALSE)*$J29</f>
        <v>5122.6707252645519</v>
      </c>
      <c r="S29" s="706">
        <f t="shared" si="27"/>
        <v>5445.3292747354481</v>
      </c>
      <c r="T29" s="706">
        <f>IF($C29="other",(1-$C23)*R29,(1-(VLOOKUP($C29,'S3 - Screening Tool Metrics'!$C$3:$G$17,5,FALSE)/100))*R29)</f>
        <v>3483.4160931798951</v>
      </c>
      <c r="U29" s="706">
        <f>IF($C29="other",$C23*R29,(VLOOKUP($C29,'S3 - Screening Tool Metrics'!$C$3:$G$17,5,FALSE)/100)*R29)</f>
        <v>1639.2546320846566</v>
      </c>
      <c r="V29" s="708">
        <f t="shared" si="20"/>
        <v>15.511493490581534</v>
      </c>
      <c r="W29" s="707">
        <f t="shared" si="21"/>
        <v>169699.33333333334</v>
      </c>
      <c r="X29" s="706">
        <f>VLOOKUP("*"&amp;$B29&amp;"*",'S4 - Summ PRS Characteristics'!$C$13:$Q$20,13,FALSE)*$J29</f>
        <v>3342.1511167749181</v>
      </c>
      <c r="Y29" s="706">
        <f t="shared" si="28"/>
        <v>7225.8488832250823</v>
      </c>
      <c r="Z29" s="706">
        <f>IF($C29="other",(1-$C23)*X29,(1-(VLOOKUP($C29,'S3 - Screening Tool Metrics'!$C$3:$G$17,5,FALSE)/100))*X29)</f>
        <v>2272.6627594069441</v>
      </c>
      <c r="AA29" s="706">
        <f>IF($C29="other",$C23*X29,(VLOOKUP($C29,'S3 - Screening Tool Metrics'!$C$3:$G$17,5,FALSE)/100)*X29)</f>
        <v>1069.4883573679738</v>
      </c>
      <c r="AB29" s="708">
        <f t="shared" si="22"/>
        <v>10.120063941786277</v>
      </c>
      <c r="AC29" s="706">
        <f t="shared" si="23"/>
        <v>84849.666666666672</v>
      </c>
      <c r="AD29" s="706">
        <f>VLOOKUP("*"&amp;$B29&amp;"*",'S4 - Summ PRS Characteristics'!$C$13:$Q$20,14,FALSE)*$J29</f>
        <v>2113.9365306529321</v>
      </c>
      <c r="AE29" s="706">
        <f t="shared" si="30"/>
        <v>8454.0634693470674</v>
      </c>
      <c r="AF29" s="706">
        <f>IF($C29="other",(1-$C23)*AD29,(1-(VLOOKUP($C29,'S3 - Screening Tool Metrics'!$C$3:$G$17,5,FALSE)/100))*AD29)</f>
        <v>1437.4768408439936</v>
      </c>
      <c r="AG29" s="706">
        <f>IF($C29="other",$C23*AD29,(VLOOKUP($C29,'S3 - Screening Tool Metrics'!$C$3:$G$17,5,FALSE)/100)*AD29)</f>
        <v>676.45968980893826</v>
      </c>
      <c r="AH29" s="708">
        <f t="shared" si="24"/>
        <v>6.4010190178741322</v>
      </c>
      <c r="AI29" s="707">
        <f t="shared" si="25"/>
        <v>16969.933333333334</v>
      </c>
      <c r="AJ29" s="706">
        <f>VLOOKUP("*"&amp;$B29&amp;"*",'S4 - Summ PRS Characteristics'!$C$13:$Q$20,15,FALSE)*$J29</f>
        <v>675.07469796454541</v>
      </c>
      <c r="AK29" s="706">
        <f t="shared" si="29"/>
        <v>9892.9253020354554</v>
      </c>
      <c r="AL29" s="706">
        <f>IF($C29="other",(1-$C23)*AJ29,(1-(VLOOKUP($C29,'S3 - Screening Tool Metrics'!$C$3:$G$17,5,FALSE)/100))*AJ29)</f>
        <v>459.05079461589082</v>
      </c>
      <c r="AM29" s="706">
        <f>IF($C29="other",$C23*AJ29,(VLOOKUP($C29,'S3 - Screening Tool Metrics'!$C$3:$G$17,5,FALSE)/100)*AJ29)</f>
        <v>216.02390334865453</v>
      </c>
      <c r="AN29" s="709">
        <f t="shared" si="26"/>
        <v>2.0441323178335971</v>
      </c>
    </row>
    <row r="30" spans="2:40" x14ac:dyDescent="0.15">
      <c r="B30" s="700" t="s">
        <v>10</v>
      </c>
      <c r="C30" s="721" t="str">
        <f>$C24</f>
        <v>PSA_3ng/mL cut-off</v>
      </c>
      <c r="D30" s="552" t="s">
        <v>198</v>
      </c>
      <c r="E30" s="710">
        <f>VLOOKUP($B30&amp;"_"&amp;$D30,'App5 - CRUK Inci Rates'!C:H,6,FALSE)</f>
        <v>759.8</v>
      </c>
      <c r="F30" s="711">
        <f>VLOOKUP($B30&amp;"_"&amp;$D30,'App5 - CRUK Inci Rates'!C:H,3,FALSE)</f>
        <v>0</v>
      </c>
      <c r="G30" s="712">
        <f>VLOOKUP($B30&amp;"_"&amp;$D30,'App5 - CRUK Inci Rates'!C:J,8,FALSE)</f>
        <v>1467965</v>
      </c>
      <c r="H30" s="713">
        <f>VLOOKUP($B30&amp;"_"&amp;$D30,'App5 - CRUK Inci Rates'!C:J,7,FALSE)</f>
        <v>1467965</v>
      </c>
      <c r="I30" s="713">
        <f>VLOOKUP($B30&amp;"_"&amp;$D30,'App5 - CRUK Inci Rates'!C:J,4,FALSE)</f>
        <v>0</v>
      </c>
      <c r="J30" s="709">
        <f>VLOOKUP($B30&amp;"_"&amp;$D30,'App5 - CRUK Inci Rates'!C:K,9,FALSE)</f>
        <v>11153</v>
      </c>
      <c r="K30" s="706">
        <f t="shared" si="7"/>
        <v>733982.5</v>
      </c>
      <c r="L30" s="706">
        <f>VLOOKUP("*"&amp;$B30&amp;"*",'S4 - Summ PRS Characteristics'!$C$13:$Q$20,11,FALSE)*$J30</f>
        <v>8800.9733835566913</v>
      </c>
      <c r="M30" s="706">
        <f t="shared" si="8"/>
        <v>2352.0266164433087</v>
      </c>
      <c r="N30" s="706">
        <f>IF($C30="other",(1-$C$7)*L30,(1-(VLOOKUP($C30,'S3 - Screening Tool Metrics'!$C$3:$G$17,5,FALSE)/100))*L30)</f>
        <v>5984.6619008185498</v>
      </c>
      <c r="O30" s="706">
        <f>IF($C30="other",$C$7*L30,(VLOOKUP($C30,'S3 - Screening Tool Metrics'!$C$3:$G$17,5,FALSE)/100)*L30)</f>
        <v>2816.3114827381414</v>
      </c>
      <c r="P30" s="706">
        <f t="shared" si="9"/>
        <v>25.251604794567751</v>
      </c>
      <c r="Q30" s="707">
        <f t="shared" si="19"/>
        <v>293593</v>
      </c>
      <c r="R30" s="706">
        <f>VLOOKUP("*"&amp;$B30&amp;"*",'S4 - Summ PRS Characteristics'!$C$13:$Q$20,12,FALSE)*$J30</f>
        <v>5406.2402156392463</v>
      </c>
      <c r="S30" s="706">
        <f t="shared" si="27"/>
        <v>5746.7597843607537</v>
      </c>
      <c r="T30" s="706">
        <f>IF($C30="other",(1-$C23)*R30,(1-(VLOOKUP($C30,'S3 - Screening Tool Metrics'!$C$3:$G$17,5,FALSE)/100))*R30)</f>
        <v>3676.243346634687</v>
      </c>
      <c r="U30" s="706">
        <f>IF($C30="other",$C23*R30,(VLOOKUP($C30,'S3 - Screening Tool Metrics'!$C$3:$G$17,5,FALSE)/100)*R30)</f>
        <v>1729.9968690045589</v>
      </c>
      <c r="V30" s="708">
        <f t="shared" si="20"/>
        <v>15.511493490581538</v>
      </c>
      <c r="W30" s="707">
        <f t="shared" si="21"/>
        <v>146796.5</v>
      </c>
      <c r="X30" s="706">
        <f>VLOOKUP("*"&amp;$B30&amp;"*",'S4 - Summ PRS Characteristics'!$C$13:$Q$20,13,FALSE)*$J30</f>
        <v>3527.1585357106983</v>
      </c>
      <c r="Y30" s="706">
        <f t="shared" si="28"/>
        <v>7625.8414642893022</v>
      </c>
      <c r="Z30" s="706">
        <f>IF($C30="other",(1-$C23)*X30,(1-(VLOOKUP($C30,'S3 - Screening Tool Metrics'!$C$3:$G$17,5,FALSE)/100))*X30)</f>
        <v>2398.4678042832747</v>
      </c>
      <c r="AA30" s="706">
        <f>IF($C30="other",$C23*X30,(VLOOKUP($C30,'S3 - Screening Tool Metrics'!$C$3:$G$17,5,FALSE)/100)*X30)</f>
        <v>1128.6907314274235</v>
      </c>
      <c r="AB30" s="708">
        <f t="shared" si="22"/>
        <v>10.120063941786277</v>
      </c>
      <c r="AC30" s="706">
        <f t="shared" si="23"/>
        <v>73398.25</v>
      </c>
      <c r="AD30" s="706">
        <f>VLOOKUP("*"&amp;$B30&amp;"*",'S4 - Summ PRS Characteristics'!$C$13:$Q$20,14,FALSE)*$J30</f>
        <v>2230.9551595734438</v>
      </c>
      <c r="AE30" s="706">
        <f t="shared" si="30"/>
        <v>8922.0448404265553</v>
      </c>
      <c r="AF30" s="706">
        <f>IF($C30="other",(1-$C23)*AD30,(1-(VLOOKUP($C30,'S3 - Screening Tool Metrics'!$C$3:$G$17,5,FALSE)/100))*AD30)</f>
        <v>1517.0495085099417</v>
      </c>
      <c r="AG30" s="706">
        <f>IF($C30="other",$C23*AD30,(VLOOKUP($C30,'S3 - Screening Tool Metrics'!$C$3:$G$17,5,FALSE)/100)*AD30)</f>
        <v>713.90565106350198</v>
      </c>
      <c r="AH30" s="708">
        <f t="shared" si="24"/>
        <v>6.4010190178741322</v>
      </c>
      <c r="AI30" s="707">
        <f t="shared" si="25"/>
        <v>14679.65</v>
      </c>
      <c r="AJ30" s="706">
        <f>VLOOKUP("*"&amp;$B30&amp;"*",'S4 - Summ PRS Characteristics'!$C$13:$Q$20,15,FALSE)*$J30</f>
        <v>712.4439918999409</v>
      </c>
      <c r="AK30" s="706">
        <f t="shared" si="29"/>
        <v>10440.556008100059</v>
      </c>
      <c r="AL30" s="706">
        <f>IF($C30="other",(1-$C23)*AJ30,(1-(VLOOKUP($C30,'S3 - Screening Tool Metrics'!$C$3:$G$17,5,FALSE)/100))*AJ30)</f>
        <v>484.46191449195976</v>
      </c>
      <c r="AM30" s="706">
        <f>IF($C30="other",$C23*AJ30,(VLOOKUP($C30,'S3 - Screening Tool Metrics'!$C$3:$G$17,5,FALSE)/100)*AJ30)</f>
        <v>227.98207740798108</v>
      </c>
      <c r="AN30" s="709">
        <f t="shared" si="26"/>
        <v>2.0441323178335971</v>
      </c>
    </row>
    <row r="31" spans="2:40" x14ac:dyDescent="0.15">
      <c r="B31" s="700" t="s">
        <v>10</v>
      </c>
      <c r="C31" s="721" t="str">
        <f>$C24</f>
        <v>PSA_3ng/mL cut-off</v>
      </c>
      <c r="D31" s="552" t="s">
        <v>199</v>
      </c>
      <c r="E31" s="710">
        <f>VLOOKUP($B31&amp;"_"&amp;$D31,'App5 - CRUK Inci Rates'!C:H,6,FALSE)</f>
        <v>867.2</v>
      </c>
      <c r="F31" s="711">
        <f>VLOOKUP($B31&amp;"_"&amp;$D31,'App5 - CRUK Inci Rates'!C:H,3,FALSE)</f>
        <v>0</v>
      </c>
      <c r="G31" s="712">
        <f>VLOOKUP($B31&amp;"_"&amp;$D31,'App5 - CRUK Inci Rates'!C:J,8,FALSE)</f>
        <v>1007365.3333333334</v>
      </c>
      <c r="H31" s="713">
        <f>VLOOKUP($B31&amp;"_"&amp;$D31,'App5 - CRUK Inci Rates'!C:J,7,FALSE)</f>
        <v>1007365.3333333334</v>
      </c>
      <c r="I31" s="713">
        <f>VLOOKUP($B31&amp;"_"&amp;$D31,'App5 - CRUK Inci Rates'!C:J,4,FALSE)</f>
        <v>0</v>
      </c>
      <c r="J31" s="709">
        <f>VLOOKUP($B31&amp;"_"&amp;$D31,'App5 - CRUK Inci Rates'!C:K,9,FALSE)</f>
        <v>8736</v>
      </c>
      <c r="K31" s="706">
        <f t="shared" si="7"/>
        <v>503682.66666666669</v>
      </c>
      <c r="L31" s="706">
        <f>VLOOKUP("*"&amp;$B31&amp;"*",'S4 - Summ PRS Characteristics'!$C$13:$Q$20,11,FALSE)*$J31</f>
        <v>6893.6881089169956</v>
      </c>
      <c r="M31" s="706">
        <f t="shared" si="8"/>
        <v>1842.3118910830044</v>
      </c>
      <c r="N31" s="706">
        <f>IF($C31="other",(1-$C$7)*L31,(1-(VLOOKUP($C31,'S3 - Screening Tool Metrics'!$C$3:$G$17,5,FALSE)/100))*L31)</f>
        <v>4687.7079140635569</v>
      </c>
      <c r="O31" s="706">
        <f>IF($C31="other",$C$7*L31,(VLOOKUP($C31,'S3 - Screening Tool Metrics'!$C$3:$G$17,5,FALSE)/100)*L31)</f>
        <v>2205.9801948534387</v>
      </c>
      <c r="P31" s="706">
        <f t="shared" si="9"/>
        <v>25.251604794567751</v>
      </c>
      <c r="Q31" s="707">
        <f t="shared" si="19"/>
        <v>201473.06666666668</v>
      </c>
      <c r="R31" s="706">
        <f>VLOOKUP("*"&amp;$B31&amp;"*",'S4 - Summ PRS Characteristics'!$C$13:$Q$20,12,FALSE)*$J31</f>
        <v>4234.6377229287591</v>
      </c>
      <c r="S31" s="706">
        <f t="shared" si="27"/>
        <v>4501.3622770712409</v>
      </c>
      <c r="T31" s="706">
        <f>IF($C31="other",(1-$C23)*R31,(1-(VLOOKUP($C31,'S3 - Screening Tool Metrics'!$C$3:$G$17,5,FALSE)/100))*R31)</f>
        <v>2879.553651591556</v>
      </c>
      <c r="U31" s="706">
        <f>IF($C31="other",$C23*R31,(VLOOKUP($C31,'S3 - Screening Tool Metrics'!$C$3:$G$17,5,FALSE)/100)*R31)</f>
        <v>1355.0840713372029</v>
      </c>
      <c r="V31" s="708">
        <f t="shared" si="20"/>
        <v>15.511493490581534</v>
      </c>
      <c r="W31" s="707">
        <f t="shared" si="21"/>
        <v>100736.53333333334</v>
      </c>
      <c r="X31" s="706">
        <f>VLOOKUP("*"&amp;$B31&amp;"*",'S4 - Summ PRS Characteristics'!$C$13:$Q$20,13,FALSE)*$J31</f>
        <v>2762.777456107654</v>
      </c>
      <c r="Y31" s="706">
        <f t="shared" si="28"/>
        <v>5973.222543892346</v>
      </c>
      <c r="Z31" s="706">
        <f>IF($C31="other",(1-$C23)*X31,(1-(VLOOKUP($C31,'S3 - Screening Tool Metrics'!$C$3:$G$17,5,FALSE)/100))*X31)</f>
        <v>1878.6886701532046</v>
      </c>
      <c r="AA31" s="706">
        <f>IF($C31="other",$C23*X31,(VLOOKUP($C31,'S3 - Screening Tool Metrics'!$C$3:$G$17,5,FALSE)/100)*X31)</f>
        <v>884.08878595444924</v>
      </c>
      <c r="AB31" s="708">
        <f t="shared" si="22"/>
        <v>10.120063941786277</v>
      </c>
      <c r="AC31" s="706">
        <f t="shared" si="23"/>
        <v>50368.26666666667</v>
      </c>
      <c r="AD31" s="706">
        <f>VLOOKUP("*"&amp;$B31&amp;"*",'S4 - Summ PRS Characteristics'!$C$13:$Q$20,14,FALSE)*$J31</f>
        <v>1747.4781918796382</v>
      </c>
      <c r="AE31" s="706">
        <f t="shared" si="30"/>
        <v>6988.521808120362</v>
      </c>
      <c r="AF31" s="706">
        <f>IF($C31="other",(1-$C23)*AD31,(1-(VLOOKUP($C31,'S3 - Screening Tool Metrics'!$C$3:$G$17,5,FALSE)/100))*AD31)</f>
        <v>1188.2851704781538</v>
      </c>
      <c r="AG31" s="706">
        <f>IF($C31="other",$C23*AD31,(VLOOKUP($C31,'S3 - Screening Tool Metrics'!$C$3:$G$17,5,FALSE)/100)*AD31)</f>
        <v>559.1930214014842</v>
      </c>
      <c r="AH31" s="708">
        <f t="shared" si="24"/>
        <v>6.4010190178741322</v>
      </c>
      <c r="AI31" s="707">
        <f t="shared" si="25"/>
        <v>10073.653333333334</v>
      </c>
      <c r="AJ31" s="706">
        <f>VLOOKUP("*"&amp;$B31&amp;"*",'S4 - Summ PRS Characteristics'!$C$13:$Q$20,15,FALSE)*$J31</f>
        <v>558.04812276857194</v>
      </c>
      <c r="AK31" s="706">
        <f t="shared" si="29"/>
        <v>8177.9518772314277</v>
      </c>
      <c r="AL31" s="706">
        <f>IF($C31="other",(1-$C23)*AJ31,(1-(VLOOKUP($C31,'S3 - Screening Tool Metrics'!$C$3:$G$17,5,FALSE)/100))*AJ31)</f>
        <v>379.47272348262891</v>
      </c>
      <c r="AM31" s="706">
        <f>IF($C31="other",$C23*AJ31,(VLOOKUP($C31,'S3 - Screening Tool Metrics'!$C$3:$G$17,5,FALSE)/100)*AJ31)</f>
        <v>178.57539928594304</v>
      </c>
      <c r="AN31" s="709">
        <f t="shared" si="26"/>
        <v>2.0441323178335971</v>
      </c>
    </row>
    <row r="32" spans="2:40" x14ac:dyDescent="0.15">
      <c r="B32" s="700" t="s">
        <v>10</v>
      </c>
      <c r="C32" s="721" t="str">
        <f>$C24</f>
        <v>PSA_3ng/mL cut-off</v>
      </c>
      <c r="D32" s="552" t="s">
        <v>200</v>
      </c>
      <c r="E32" s="710">
        <f>VLOOKUP($B32&amp;"_"&amp;$D32,'App5 - CRUK Inci Rates'!C:H,6,FALSE)</f>
        <v>192.70856538388753</v>
      </c>
      <c r="F32" s="711">
        <f>VLOOKUP($B32&amp;"_"&amp;$D32,'App5 - CRUK Inci Rates'!C:H,3,FALSE)</f>
        <v>0</v>
      </c>
      <c r="G32" s="712">
        <f>VLOOKUP($B32&amp;"_"&amp;$D32,'App5 - CRUK Inci Rates'!C:J,8,FALSE)</f>
        <v>12090277.333333334</v>
      </c>
      <c r="H32" s="713">
        <f>VLOOKUP($B32&amp;"_"&amp;$D32,'App5 - CRUK Inci Rates'!C:J,7,FALSE)</f>
        <v>12090277.333333334</v>
      </c>
      <c r="I32" s="713">
        <f>VLOOKUP($B32&amp;"_"&amp;$D32,'App5 - CRUK Inci Rates'!C:J,4,FALSE)</f>
        <v>0</v>
      </c>
      <c r="J32" s="709">
        <f>VLOOKUP($B32&amp;"_"&amp;$D32,'App5 - CRUK Inci Rates'!C:K,9,FALSE)</f>
        <v>23299</v>
      </c>
      <c r="K32" s="706">
        <f t="shared" si="7"/>
        <v>6045138.666666667</v>
      </c>
      <c r="L32" s="706">
        <f>VLOOKUP("*"&amp;$B32&amp;"*",'S4 - Summ PRS Characteristics'!$C$13:$Q$20,11,FALSE)*$J32</f>
        <v>18385.535628394813</v>
      </c>
      <c r="M32" s="706">
        <f t="shared" si="8"/>
        <v>4913.4643716051869</v>
      </c>
      <c r="N32" s="706">
        <f>IF($C32="other",(1-$C$7)*L32,(1-(VLOOKUP($C32,'S3 - Screening Tool Metrics'!$C$3:$G$17,5,FALSE)/100))*L32)</f>
        <v>12502.164227308473</v>
      </c>
      <c r="O32" s="706">
        <f>IF($C32="other",$C$7*L32,(VLOOKUP($C32,'S3 - Screening Tool Metrics'!$C$3:$G$17,5,FALSE)/100)*L32)</f>
        <v>5883.3714010863405</v>
      </c>
      <c r="P32" s="706">
        <f t="shared" si="9"/>
        <v>25.251604794567751</v>
      </c>
      <c r="Q32" s="707">
        <f t="shared" si="19"/>
        <v>2418055.4666666668</v>
      </c>
      <c r="R32" s="706">
        <f>VLOOKUP("*"&amp;$B32&amp;"*",'S4 - Summ PRS Characteristics'!$C$13:$Q$20,12,FALSE)*$J32</f>
        <v>11293.8214636581</v>
      </c>
      <c r="S32" s="706">
        <f t="shared" si="27"/>
        <v>12005.1785363419</v>
      </c>
      <c r="T32" s="706">
        <f>IF($C32="other",(1-$C23)*R32,(1-(VLOOKUP($C32,'S3 - Screening Tool Metrics'!$C$3:$G$17,5,FALSE)/100))*R32)</f>
        <v>7679.7985952875069</v>
      </c>
      <c r="U32" s="706">
        <f>IF($C32="other",$C23*R32,(VLOOKUP($C32,'S3 - Screening Tool Metrics'!$C$3:$G$17,5,FALSE)/100)*R32)</f>
        <v>3614.0228683705918</v>
      </c>
      <c r="V32" s="708">
        <f t="shared" si="20"/>
        <v>15.511493490581534</v>
      </c>
      <c r="W32" s="707">
        <f t="shared" si="21"/>
        <v>1209027.7333333334</v>
      </c>
      <c r="X32" s="706">
        <f>VLOOKUP("*"&amp;$B32&amp;"*",'S4 - Summ PRS Characteristics'!$C$13:$Q$20,13,FALSE)*$J32</f>
        <v>7368.3553056149522</v>
      </c>
      <c r="Y32" s="706">
        <f t="shared" si="28"/>
        <v>15930.644694385048</v>
      </c>
      <c r="Z32" s="706">
        <f>IF($C32="other",(1-$C23)*X32,(1-(VLOOKUP($C32,'S3 - Screening Tool Metrics'!$C$3:$G$17,5,FALSE)/100))*X32)</f>
        <v>5010.4816078181666</v>
      </c>
      <c r="AA32" s="706">
        <f>IF($C32="other",$C23*X32,(VLOOKUP($C32,'S3 - Screening Tool Metrics'!$C$3:$G$17,5,FALSE)/100)*X32)</f>
        <v>2357.8736977967847</v>
      </c>
      <c r="AB32" s="708">
        <f t="shared" si="22"/>
        <v>10.120063941786277</v>
      </c>
      <c r="AC32" s="706">
        <f t="shared" si="23"/>
        <v>604513.8666666667</v>
      </c>
      <c r="AD32" s="706">
        <f>VLOOKUP("*"&amp;$B32&amp;"*",'S4 - Summ PRS Characteristics'!$C$13:$Q$20,14,FALSE)*$J32</f>
        <v>4660.541940545294</v>
      </c>
      <c r="AE32" s="706">
        <f t="shared" si="30"/>
        <v>18638.458059454708</v>
      </c>
      <c r="AF32" s="706">
        <f>IF($C32="other",(1-$C23)*AD32,(1-(VLOOKUP($C32,'S3 - Screening Tool Metrics'!$C$3:$G$17,5,FALSE)/100))*AD32)</f>
        <v>3169.1685195707996</v>
      </c>
      <c r="AG32" s="706">
        <f>IF($C32="other",$C23*AD32,(VLOOKUP($C32,'S3 - Screening Tool Metrics'!$C$3:$G$17,5,FALSE)/100)*AD32)</f>
        <v>1491.3734209744941</v>
      </c>
      <c r="AH32" s="708">
        <f t="shared" si="24"/>
        <v>6.4010190178741322</v>
      </c>
      <c r="AI32" s="707">
        <f t="shared" si="25"/>
        <v>120902.77333333335</v>
      </c>
      <c r="AJ32" s="706">
        <f>VLOOKUP("*"&amp;$B32&amp;"*",'S4 - Summ PRS Characteristics'!$C$13:$Q$20,15,FALSE)*$J32</f>
        <v>1488.3199647876556</v>
      </c>
      <c r="AK32" s="706">
        <f t="shared" si="29"/>
        <v>21810.680035212343</v>
      </c>
      <c r="AL32" s="706">
        <f>IF($C32="other",(1-$C23)*AJ32,(1-(VLOOKUP($C32,'S3 - Screening Tool Metrics'!$C$3:$G$17,5,FALSE)/100))*AJ32)</f>
        <v>1012.0575760556058</v>
      </c>
      <c r="AM32" s="706">
        <f>IF($C32="other",$C23*AJ32,(VLOOKUP($C32,'S3 - Screening Tool Metrics'!$C$3:$G$17,5,FALSE)/100)*AJ32)</f>
        <v>476.26238873204983</v>
      </c>
      <c r="AN32" s="709">
        <f t="shared" si="26"/>
        <v>2.0441323178335971</v>
      </c>
    </row>
    <row r="33" spans="2:40" x14ac:dyDescent="0.15">
      <c r="B33" s="700" t="s">
        <v>10</v>
      </c>
      <c r="C33" s="721" t="str">
        <f>$C24</f>
        <v>PSA_3ng/mL cut-off</v>
      </c>
      <c r="D33" s="552" t="s">
        <v>201</v>
      </c>
      <c r="E33" s="710">
        <f>VLOOKUP($B33&amp;"_"&amp;$D33,'App5 - CRUK Inci Rates'!C:H,6,FALSE)</f>
        <v>12.847921640003264</v>
      </c>
      <c r="F33" s="711">
        <f>VLOOKUP($B33&amp;"_"&amp;$D33,'App5 - CRUK Inci Rates'!C:H,3,FALSE)</f>
        <v>0</v>
      </c>
      <c r="G33" s="712">
        <f>VLOOKUP($B33&amp;"_"&amp;$D33,'App5 - CRUK Inci Rates'!C:J,8,FALSE)</f>
        <v>4273064.666666667</v>
      </c>
      <c r="H33" s="713">
        <f>VLOOKUP($B33&amp;"_"&amp;$D33,'App5 - CRUK Inci Rates'!C:J,7,FALSE)</f>
        <v>4273064.666666667</v>
      </c>
      <c r="I33" s="713">
        <f>VLOOKUP($B33&amp;"_"&amp;$D33,'App5 - CRUK Inci Rates'!C:J,4,FALSE)</f>
        <v>0</v>
      </c>
      <c r="J33" s="709">
        <f>VLOOKUP($B33&amp;"_"&amp;$D33,'App5 - CRUK Inci Rates'!C:K,9,FALSE)</f>
        <v>549</v>
      </c>
      <c r="K33" s="706">
        <f t="shared" si="7"/>
        <v>2136532.3333333335</v>
      </c>
      <c r="L33" s="706">
        <f>VLOOKUP("*"&amp;$B33&amp;"*",'S4 - Summ PRS Characteristics'!$C$13:$Q$20,11,FALSE)*$J33</f>
        <v>433.222844756803</v>
      </c>
      <c r="M33" s="706">
        <f t="shared" si="8"/>
        <v>115.777155243197</v>
      </c>
      <c r="N33" s="706">
        <f>IF($C33="other",(1-$C$7)*L33,(1-(VLOOKUP($C33,'S3 - Screening Tool Metrics'!$C$3:$G$17,5,FALSE)/100))*L33)</f>
        <v>294.591534434626</v>
      </c>
      <c r="O33" s="706">
        <f>IF($C33="other",$C$7*L33,(VLOOKUP($C33,'S3 - Screening Tool Metrics'!$C$3:$G$17,5,FALSE)/100)*L33)</f>
        <v>138.63131032217697</v>
      </c>
      <c r="P33" s="706">
        <f t="shared" si="9"/>
        <v>25.251604794567754</v>
      </c>
      <c r="Q33" s="707">
        <f t="shared" si="19"/>
        <v>854612.93333333347</v>
      </c>
      <c r="R33" s="706">
        <f>VLOOKUP("*"&amp;$B33&amp;"*",'S4 - Summ PRS Characteristics'!$C$13:$Q$20,12,FALSE)*$J33</f>
        <v>266.11906019778945</v>
      </c>
      <c r="S33" s="706">
        <f t="shared" si="27"/>
        <v>282.88093980221055</v>
      </c>
      <c r="T33" s="706">
        <f>IF($C33="other",(1-$C23)*R33,(1-(VLOOKUP($C33,'S3 - Screening Tool Metrics'!$C$3:$G$17,5,FALSE)/100))*R33)</f>
        <v>180.9609609344968</v>
      </c>
      <c r="U33" s="706">
        <f>IF($C33="other",$C23*R33,(VLOOKUP($C33,'S3 - Screening Tool Metrics'!$C$3:$G$17,5,FALSE)/100)*R33)</f>
        <v>85.158099263292627</v>
      </c>
      <c r="V33" s="708">
        <f t="shared" si="20"/>
        <v>15.511493490581534</v>
      </c>
      <c r="W33" s="707">
        <f t="shared" si="21"/>
        <v>427306.46666666673</v>
      </c>
      <c r="X33" s="706">
        <f>VLOOKUP("*"&amp;$B33&amp;"*",'S4 - Summ PRS Characteristics'!$C$13:$Q$20,13,FALSE)*$J33</f>
        <v>173.62234700127081</v>
      </c>
      <c r="Y33" s="706">
        <f t="shared" si="28"/>
        <v>375.37765299872922</v>
      </c>
      <c r="Z33" s="706">
        <f>IF($C33="other",(1-$C23)*X33,(1-(VLOOKUP($C33,'S3 - Screening Tool Metrics'!$C$3:$G$17,5,FALSE)/100))*X33)</f>
        <v>118.06319596086414</v>
      </c>
      <c r="AA33" s="706">
        <f>IF($C33="other",$C23*X33,(VLOOKUP($C33,'S3 - Screening Tool Metrics'!$C$3:$G$17,5,FALSE)/100)*X33)</f>
        <v>55.559151040406661</v>
      </c>
      <c r="AB33" s="708">
        <f t="shared" si="22"/>
        <v>10.120063941786277</v>
      </c>
      <c r="AC33" s="706">
        <f t="shared" si="23"/>
        <v>213653.23333333337</v>
      </c>
      <c r="AD33" s="706">
        <f>VLOOKUP("*"&amp;$B33&amp;"*",'S4 - Summ PRS Characteristics'!$C$13:$Q$20,14,FALSE)*$J33</f>
        <v>109.81748252540308</v>
      </c>
      <c r="AE33" s="706">
        <f t="shared" si="30"/>
        <v>439.18251747459692</v>
      </c>
      <c r="AF33" s="706">
        <f>IF($C33="other",(1-$C23)*AD33,(1-(VLOOKUP($C33,'S3 - Screening Tool Metrics'!$C$3:$G$17,5,FALSE)/100))*AD33)</f>
        <v>74.675888117274084</v>
      </c>
      <c r="AG33" s="706">
        <f>IF($C33="other",$C23*AD33,(VLOOKUP($C33,'S3 - Screening Tool Metrics'!$C$3:$G$17,5,FALSE)/100)*AD33)</f>
        <v>35.141594408128988</v>
      </c>
      <c r="AH33" s="708">
        <f t="shared" si="24"/>
        <v>6.4010190178741322</v>
      </c>
      <c r="AI33" s="707">
        <f t="shared" si="25"/>
        <v>42730.646666666667</v>
      </c>
      <c r="AJ33" s="706">
        <f>VLOOKUP("*"&amp;$B33&amp;"*",'S4 - Summ PRS Characteristics'!$C$13:$Q$20,15,FALSE)*$J33</f>
        <v>35.069645077832647</v>
      </c>
      <c r="AK33" s="706">
        <f t="shared" si="29"/>
        <v>513.93035492216734</v>
      </c>
      <c r="AL33" s="706">
        <f>IF($C33="other",(1-$C23)*AJ33,(1-(VLOOKUP($C33,'S3 - Screening Tool Metrics'!$C$3:$G$17,5,FALSE)/100))*AJ33)</f>
        <v>23.847358652926196</v>
      </c>
      <c r="AM33" s="706">
        <f>IF($C33="other",$C23*AJ33,(VLOOKUP($C33,'S3 - Screening Tool Metrics'!$C$3:$G$17,5,FALSE)/100)*AJ33)</f>
        <v>11.222286424906446</v>
      </c>
      <c r="AN33" s="709">
        <f t="shared" si="26"/>
        <v>2.0441323178335971</v>
      </c>
    </row>
    <row r="34" spans="2:40" x14ac:dyDescent="0.15">
      <c r="B34" s="700" t="s">
        <v>10</v>
      </c>
      <c r="C34" s="721" t="str">
        <f>$C24</f>
        <v>PSA_3ng/mL cut-off</v>
      </c>
      <c r="D34" s="552" t="s">
        <v>202</v>
      </c>
      <c r="E34" s="710">
        <f>VLOOKUP($B34&amp;"_"&amp;$D34,'App5 - CRUK Inci Rates'!C:H,6,FALSE)</f>
        <v>135.39541108208113</v>
      </c>
      <c r="F34" s="711">
        <f>VLOOKUP($B34&amp;"_"&amp;$D34,'App5 - CRUK Inci Rates'!C:H,3,FALSE)</f>
        <v>0</v>
      </c>
      <c r="G34" s="712">
        <f>VLOOKUP($B34&amp;"_"&amp;$D34,'App5 - CRUK Inci Rates'!C:J,8,FALSE)</f>
        <v>4355391.333333333</v>
      </c>
      <c r="H34" s="713">
        <f>VLOOKUP($B34&amp;"_"&amp;$D34,'App5 - CRUK Inci Rates'!C:J,7,FALSE)</f>
        <v>4355391.333333333</v>
      </c>
      <c r="I34" s="713">
        <f>VLOOKUP($B34&amp;"_"&amp;$D34,'App5 - CRUK Inci Rates'!C:J,4,FALSE)</f>
        <v>0</v>
      </c>
      <c r="J34" s="709">
        <f>VLOOKUP($B34&amp;"_"&amp;$D34,'App5 - CRUK Inci Rates'!C:K,9,FALSE)</f>
        <v>5897</v>
      </c>
      <c r="K34" s="706">
        <f t="shared" si="7"/>
        <v>2177695.6666666665</v>
      </c>
      <c r="L34" s="706">
        <f>VLOOKUP("*"&amp;$B34&amp;"*",'S4 - Summ PRS Characteristics'!$C$13:$Q$20,11,FALSE)*$J34</f>
        <v>4653.3972960489382</v>
      </c>
      <c r="M34" s="706">
        <f t="shared" si="8"/>
        <v>1243.6027039510618</v>
      </c>
      <c r="N34" s="706">
        <f>IF($C34="other",(1-$C$7)*L34,(1-(VLOOKUP($C34,'S3 - Screening Tool Metrics'!$C$3:$G$17,5,FALSE)/100))*L34)</f>
        <v>3164.3101613132776</v>
      </c>
      <c r="O34" s="706">
        <f>IF($C34="other",$C$7*L34,(VLOOKUP($C34,'S3 - Screening Tool Metrics'!$C$3:$G$17,5,FALSE)/100)*L34)</f>
        <v>1489.0871347356604</v>
      </c>
      <c r="P34" s="706">
        <f t="shared" si="9"/>
        <v>25.251604794567751</v>
      </c>
      <c r="Q34" s="707">
        <f t="shared" si="19"/>
        <v>871078.2666666666</v>
      </c>
      <c r="R34" s="706">
        <f>VLOOKUP("*"&amp;$B34&amp;"*",'S4 - Summ PRS Characteristics'!$C$13:$Q$20,12,FALSE)*$J34</f>
        <v>2858.4774098112289</v>
      </c>
      <c r="S34" s="706">
        <f t="shared" si="27"/>
        <v>3038.5225901887711</v>
      </c>
      <c r="T34" s="706">
        <f>IF($C34="other",(1-$C23)*R34,(1-(VLOOKUP($C34,'S3 - Screening Tool Metrics'!$C$3:$G$17,5,FALSE)/100))*R34)</f>
        <v>1943.7646386716356</v>
      </c>
      <c r="U34" s="706">
        <f>IF($C34="other",$C23*R34,(VLOOKUP($C34,'S3 - Screening Tool Metrics'!$C$3:$G$17,5,FALSE)/100)*R34)</f>
        <v>914.71277113959331</v>
      </c>
      <c r="V34" s="708">
        <f t="shared" si="20"/>
        <v>15.511493490581538</v>
      </c>
      <c r="W34" s="707">
        <f t="shared" si="21"/>
        <v>435539.1333333333</v>
      </c>
      <c r="X34" s="706">
        <f>VLOOKUP("*"&amp;$B34&amp;"*",'S4 - Summ PRS Characteristics'!$C$13:$Q$20,13,FALSE)*$J34</f>
        <v>1864.9380332723024</v>
      </c>
      <c r="Y34" s="706">
        <f t="shared" si="28"/>
        <v>4032.0619667276978</v>
      </c>
      <c r="Z34" s="706">
        <f>IF($C34="other",(1-$C23)*X34,(1-(VLOOKUP($C34,'S3 - Screening Tool Metrics'!$C$3:$G$17,5,FALSE)/100))*X34)</f>
        <v>1268.1578626251655</v>
      </c>
      <c r="AA34" s="706">
        <f>IF($C34="other",$C23*X34,(VLOOKUP($C34,'S3 - Screening Tool Metrics'!$C$3:$G$17,5,FALSE)/100)*X34)</f>
        <v>596.78017064713674</v>
      </c>
      <c r="AB34" s="708">
        <f t="shared" si="22"/>
        <v>10.120063941786277</v>
      </c>
      <c r="AC34" s="706">
        <f t="shared" si="23"/>
        <v>217769.56666666665</v>
      </c>
      <c r="AD34" s="706">
        <f>VLOOKUP("*"&amp;$B34&amp;"*",'S4 - Summ PRS Characteristics'!$C$13:$Q$20,14,FALSE)*$J34</f>
        <v>1179.5877858876174</v>
      </c>
      <c r="AE34" s="706">
        <f t="shared" si="30"/>
        <v>4717.4122141123826</v>
      </c>
      <c r="AF34" s="706">
        <f>IF($C34="other",(1-$C23)*AD34,(1-(VLOOKUP($C34,'S3 - Screening Tool Metrics'!$C$3:$G$17,5,FALSE)/100))*AD34)</f>
        <v>802.11969440357973</v>
      </c>
      <c r="AG34" s="706">
        <f>IF($C34="other",$C23*AD34,(VLOOKUP($C34,'S3 - Screening Tool Metrics'!$C$3:$G$17,5,FALSE)/100)*AD34)</f>
        <v>377.46809148403759</v>
      </c>
      <c r="AH34" s="708">
        <f t="shared" si="24"/>
        <v>6.4010190178741322</v>
      </c>
      <c r="AI34" s="707">
        <f t="shared" si="25"/>
        <v>43553.91333333333</v>
      </c>
      <c r="AJ34" s="706">
        <f>VLOOKUP("*"&amp;$B34&amp;"*",'S4 - Summ PRS Characteristics'!$C$13:$Q$20,15,FALSE)*$J34</f>
        <v>376.69525869577257</v>
      </c>
      <c r="AK34" s="706">
        <f t="shared" si="29"/>
        <v>5520.3047413042277</v>
      </c>
      <c r="AL34" s="706">
        <f>IF($C34="other",(1-$C23)*AJ34,(1-(VLOOKUP($C34,'S3 - Screening Tool Metrics'!$C$3:$G$17,5,FALSE)/100))*AJ34)</f>
        <v>256.15277591312531</v>
      </c>
      <c r="AM34" s="706">
        <f>IF($C34="other",$C23*AJ34,(VLOOKUP($C34,'S3 - Screening Tool Metrics'!$C$3:$G$17,5,FALSE)/100)*AJ34)</f>
        <v>120.54248278264723</v>
      </c>
      <c r="AN34" s="709">
        <f t="shared" si="26"/>
        <v>2.0441323178335971</v>
      </c>
    </row>
    <row r="35" spans="2:40" x14ac:dyDescent="0.15">
      <c r="B35" s="700" t="s">
        <v>10</v>
      </c>
      <c r="C35" s="721" t="str">
        <f>$C25</f>
        <v>PSA_3ng/mL cut-off</v>
      </c>
      <c r="D35" s="552" t="s">
        <v>272</v>
      </c>
      <c r="E35" s="710">
        <f>VLOOKUP($B35&amp;"_"&amp;$D35,'App5 - CRUK Inci Rates'!C:H,6,FALSE)</f>
        <v>486.82466185429951</v>
      </c>
      <c r="F35" s="711">
        <f>VLOOKUP($B35&amp;"_"&amp;$D35,'App5 - CRUK Inci Rates'!C:H,3,FALSE)</f>
        <v>0</v>
      </c>
      <c r="G35" s="712">
        <f>VLOOKUP($B35&amp;"_"&amp;$D35,'App5 - CRUK Inci Rates'!C:J,8,FALSE)</f>
        <v>3461821.333333333</v>
      </c>
      <c r="H35" s="713">
        <f>VLOOKUP($B35&amp;"_"&amp;$D35,'App5 - CRUK Inci Rates'!C:J,7,FALSE)</f>
        <v>3461821.333333333</v>
      </c>
      <c r="I35" s="713">
        <f>VLOOKUP($B35&amp;"_"&amp;$D35,'App5 - CRUK Inci Rates'!C:J,4,FALSE)</f>
        <v>0</v>
      </c>
      <c r="J35" s="709">
        <f>VLOOKUP($B35&amp;"_"&amp;$D35,'App5 - CRUK Inci Rates'!C:K,9,FALSE)</f>
        <v>16853</v>
      </c>
      <c r="K35" s="706">
        <f t="shared" si="7"/>
        <v>1730910.6666666665</v>
      </c>
      <c r="L35" s="706">
        <f>VLOOKUP("*"&amp;$B35&amp;"*",'S4 - Summ PRS Characteristics'!$C$13:$Q$20,11,FALSE)*$J35</f>
        <v>13298.915487589073</v>
      </c>
      <c r="M35" s="706">
        <f t="shared" si="8"/>
        <v>3554.0845124109273</v>
      </c>
      <c r="N35" s="706">
        <f>IF($C35="other",(1-$C$7)*L35,(1-(VLOOKUP($C35,'S3 - Screening Tool Metrics'!$C$3:$G$17,5,FALSE)/100))*L35)</f>
        <v>9043.2625315605692</v>
      </c>
      <c r="O35" s="706">
        <f>IF($C35="other",$C$7*L35,(VLOOKUP($C35,'S3 - Screening Tool Metrics'!$C$3:$G$17,5,FALSE)/100)*L35)</f>
        <v>4255.6529560285035</v>
      </c>
      <c r="P35" s="706">
        <f t="shared" ref="P35:P36" si="31">O35/J35*100</f>
        <v>25.251604794567754</v>
      </c>
      <c r="Q35" s="707">
        <f t="shared" si="19"/>
        <v>692364.2666666666</v>
      </c>
      <c r="R35" s="706">
        <f>VLOOKUP("*"&amp;$B35&amp;"*",'S4 - Summ PRS Characteristics'!$C$13:$Q$20,12,FALSE)*$J35</f>
        <v>8169.2249936490825</v>
      </c>
      <c r="S35" s="706">
        <f t="shared" ref="S35:S36" si="32">$J35-R35</f>
        <v>8683.7750063509175</v>
      </c>
      <c r="T35" s="706">
        <f>IF($C35="other",(1-$C24)*R35,(1-(VLOOKUP($C35,'S3 - Screening Tool Metrics'!$C$3:$G$17,5,FALSE)/100))*R35)</f>
        <v>5555.0729956813757</v>
      </c>
      <c r="U35" s="706">
        <f>IF($C35="other",$C24*R35,(VLOOKUP($C35,'S3 - Screening Tool Metrics'!$C$3:$G$17,5,FALSE)/100)*R35)</f>
        <v>2614.1519979677064</v>
      </c>
      <c r="V35" s="708">
        <f t="shared" ref="V35:V36" si="33">U35/J35*100</f>
        <v>15.511493490581538</v>
      </c>
      <c r="W35" s="707">
        <f t="shared" si="21"/>
        <v>346182.1333333333</v>
      </c>
      <c r="X35" s="706">
        <f>VLOOKUP("*"&amp;$B35&amp;"*",'S4 - Summ PRS Characteristics'!$C$13:$Q$20,13,FALSE)*$J35</f>
        <v>5329.794925341379</v>
      </c>
      <c r="Y35" s="706">
        <f t="shared" ref="Y35:Y36" si="34">$J35-X35</f>
        <v>11523.205074658621</v>
      </c>
      <c r="Z35" s="706">
        <f>IF($C35="other",(1-$C24)*X35,(1-(VLOOKUP($C35,'S3 - Screening Tool Metrics'!$C$3:$G$17,5,FALSE)/100))*X35)</f>
        <v>3624.2605492321372</v>
      </c>
      <c r="AA35" s="706">
        <f>IF($C35="other",$C24*X35,(VLOOKUP($C35,'S3 - Screening Tool Metrics'!$C$3:$G$17,5,FALSE)/100)*X35)</f>
        <v>1705.5343761092413</v>
      </c>
      <c r="AB35" s="708">
        <f t="shared" si="22"/>
        <v>10.120063941786277</v>
      </c>
      <c r="AC35" s="706">
        <f t="shared" si="23"/>
        <v>173091.06666666665</v>
      </c>
      <c r="AD35" s="706">
        <f>VLOOKUP("*"&amp;$B35&amp;"*",'S4 - Summ PRS Characteristics'!$C$13:$Q$20,14,FALSE)*$J35</f>
        <v>3371.1366721322734</v>
      </c>
      <c r="AE35" s="706">
        <f t="shared" ref="AE35:AE36" si="35">$J35-AD35</f>
        <v>13481.863327867726</v>
      </c>
      <c r="AF35" s="706">
        <f>IF($C35="other",(1-$C24)*AD35,(1-(VLOOKUP($C35,'S3 - Screening Tool Metrics'!$C$3:$G$17,5,FALSE)/100))*AD35)</f>
        <v>2292.3729370499454</v>
      </c>
      <c r="AG35" s="706">
        <f>IF($C35="other",$C24*AD35,(VLOOKUP($C35,'S3 - Screening Tool Metrics'!$C$3:$G$17,5,FALSE)/100)*AD35)</f>
        <v>1078.7637350823275</v>
      </c>
      <c r="AH35" s="708">
        <f t="shared" si="24"/>
        <v>6.4010190178741322</v>
      </c>
      <c r="AI35" s="707">
        <f t="shared" si="25"/>
        <v>34618.213333333333</v>
      </c>
      <c r="AJ35" s="706">
        <f>VLOOKUP("*"&amp;$B35&amp;"*",'S4 - Summ PRS Characteristics'!$C$13:$Q$20,15,FALSE)*$J35</f>
        <v>1076.5550610140504</v>
      </c>
      <c r="AK35" s="706">
        <f t="shared" ref="AK35:AK36" si="36">$J35-AJ35</f>
        <v>15776.444938985949</v>
      </c>
      <c r="AL35" s="706">
        <f>IF($C35="other",(1-$C24)*AJ35,(1-(VLOOKUP($C35,'S3 - Screening Tool Metrics'!$C$3:$G$17,5,FALSE)/100))*AJ35)</f>
        <v>732.05744148955421</v>
      </c>
      <c r="AM35" s="706">
        <f>IF($C35="other",$C24*AJ35,(VLOOKUP($C35,'S3 - Screening Tool Metrics'!$C$3:$G$17,5,FALSE)/100)*AJ35)</f>
        <v>344.49761952449614</v>
      </c>
      <c r="AN35" s="709">
        <f t="shared" si="26"/>
        <v>2.0441323178335971</v>
      </c>
    </row>
    <row r="36" spans="2:40" x14ac:dyDescent="0.15">
      <c r="B36" s="700" t="s">
        <v>10</v>
      </c>
      <c r="C36" s="721" t="str">
        <f>$C24</f>
        <v>PSA_3ng/mL cut-off</v>
      </c>
      <c r="D36" s="552" t="s">
        <v>203</v>
      </c>
      <c r="E36" s="710">
        <f>VLOOKUP($B36&amp;"_"&amp;$D36,'App5 - CRUK Inci Rates'!C:H,6,FALSE)</f>
        <v>291.02444784453866</v>
      </c>
      <c r="F36" s="711">
        <f>VLOOKUP($B36&amp;"_"&amp;$D36,'App5 - CRUK Inci Rates'!C:H,3,FALSE)</f>
        <v>0</v>
      </c>
      <c r="G36" s="712">
        <f>VLOOKUP($B36&amp;"_"&amp;$D36,'App5 - CRUK Inci Rates'!C:J,8,FALSE)</f>
        <v>7817212.666666666</v>
      </c>
      <c r="H36" s="713">
        <f>VLOOKUP($B36&amp;"_"&amp;$D36,'App5 - CRUK Inci Rates'!C:J,7,FALSE)</f>
        <v>7817212.666666666</v>
      </c>
      <c r="I36" s="713">
        <f>VLOOKUP($B36&amp;"_"&amp;$D36,'App5 - CRUK Inci Rates'!C:J,4,FALSE)</f>
        <v>0</v>
      </c>
      <c r="J36" s="709">
        <f>VLOOKUP($B36&amp;"_"&amp;$D36,'App5 - CRUK Inci Rates'!C:K,9,FALSE)</f>
        <v>22750</v>
      </c>
      <c r="K36" s="706">
        <f t="shared" si="7"/>
        <v>3908606.333333333</v>
      </c>
      <c r="L36" s="706">
        <f>VLOOKUP("*"&amp;$B36&amp;"*",'S4 - Summ PRS Characteristics'!$C$13:$Q$20,11,FALSE)*$J36</f>
        <v>17952.312783638012</v>
      </c>
      <c r="M36" s="706">
        <f t="shared" si="8"/>
        <v>4797.6872163619882</v>
      </c>
      <c r="N36" s="706">
        <f>IF($C36="other",(1-$C$7)*L36,(1-(VLOOKUP($C36,'S3 - Screening Tool Metrics'!$C$3:$G$17,5,FALSE)/100))*L36)</f>
        <v>12207.572692873848</v>
      </c>
      <c r="O36" s="706">
        <f>IF($C36="other",$C$7*L36,(VLOOKUP($C36,'S3 - Screening Tool Metrics'!$C$3:$G$17,5,FALSE)/100)*L36)</f>
        <v>5744.7400907641641</v>
      </c>
      <c r="P36" s="706">
        <f t="shared" si="31"/>
        <v>25.251604794567754</v>
      </c>
      <c r="Q36" s="707">
        <f t="shared" si="19"/>
        <v>1563442.5333333332</v>
      </c>
      <c r="R36" s="706">
        <f>VLOOKUP("*"&amp;$B36&amp;"*",'S4 - Summ PRS Characteristics'!$C$13:$Q$20,12,FALSE)*$J36</f>
        <v>11027.702403460311</v>
      </c>
      <c r="S36" s="706">
        <f t="shared" si="32"/>
        <v>11722.297596539689</v>
      </c>
      <c r="T36" s="706">
        <f>IF($C36="other",(1-$C25)*R36,(1-(VLOOKUP($C36,'S3 - Screening Tool Metrics'!$C$3:$G$17,5,FALSE)/100))*R36)</f>
        <v>7498.8376343530108</v>
      </c>
      <c r="U36" s="706">
        <f>IF($C36="other",$C25*R36,(VLOOKUP($C36,'S3 - Screening Tool Metrics'!$C$3:$G$17,5,FALSE)/100)*R36)</f>
        <v>3528.8647691072997</v>
      </c>
      <c r="V36" s="708">
        <f t="shared" si="33"/>
        <v>15.511493490581538</v>
      </c>
      <c r="W36" s="707">
        <f t="shared" si="21"/>
        <v>781721.2666666666</v>
      </c>
      <c r="X36" s="706">
        <f>VLOOKUP("*"&amp;$B36&amp;"*",'S4 - Summ PRS Characteristics'!$C$13:$Q$20,13,FALSE)*$J36</f>
        <v>7194.7329586136821</v>
      </c>
      <c r="Y36" s="706">
        <f t="shared" si="34"/>
        <v>15555.267041386318</v>
      </c>
      <c r="Z36" s="706">
        <f>IF($C36="other",(1-$C25)*X36,(1-(VLOOKUP($C36,'S3 - Screening Tool Metrics'!$C$3:$G$17,5,FALSE)/100))*X36)</f>
        <v>4892.418411857303</v>
      </c>
      <c r="AA36" s="706">
        <f>IF($C36="other",$C25*X36,(VLOOKUP($C36,'S3 - Screening Tool Metrics'!$C$3:$G$17,5,FALSE)/100)*X36)</f>
        <v>2302.3145467563781</v>
      </c>
      <c r="AB36" s="708">
        <f t="shared" si="22"/>
        <v>10.120063941786277</v>
      </c>
      <c r="AC36" s="706">
        <f t="shared" si="23"/>
        <v>390860.6333333333</v>
      </c>
      <c r="AD36" s="706">
        <f>VLOOKUP("*"&amp;$B36&amp;"*",'S4 - Summ PRS Characteristics'!$C$13:$Q$20,14,FALSE)*$J36</f>
        <v>4550.7244580198912</v>
      </c>
      <c r="AE36" s="706">
        <f t="shared" si="35"/>
        <v>18199.275541980111</v>
      </c>
      <c r="AF36" s="706">
        <f>IF($C36="other",(1-$C25)*AD36,(1-(VLOOKUP($C36,'S3 - Screening Tool Metrics'!$C$3:$G$17,5,FALSE)/100))*AD36)</f>
        <v>3094.492631453526</v>
      </c>
      <c r="AG36" s="706">
        <f>IF($C36="other",$C25*AD36,(VLOOKUP($C36,'S3 - Screening Tool Metrics'!$C$3:$G$17,5,FALSE)/100)*AD36)</f>
        <v>1456.2318265663653</v>
      </c>
      <c r="AH36" s="708">
        <f t="shared" si="24"/>
        <v>6.401019017874134</v>
      </c>
      <c r="AI36" s="707">
        <f t="shared" si="25"/>
        <v>78172.126666666663</v>
      </c>
      <c r="AJ36" s="706">
        <f>VLOOKUP("*"&amp;$B36&amp;"*",'S4 - Summ PRS Characteristics'!$C$13:$Q$20,15,FALSE)*$J36</f>
        <v>1453.2503197098229</v>
      </c>
      <c r="AK36" s="706">
        <f t="shared" si="36"/>
        <v>21296.749680290177</v>
      </c>
      <c r="AL36" s="706">
        <f>IF($C36="other",(1-$C25)*AJ36,(1-(VLOOKUP($C36,'S3 - Screening Tool Metrics'!$C$3:$G$17,5,FALSE)/100))*AJ36)</f>
        <v>988.2102174026794</v>
      </c>
      <c r="AM36" s="706">
        <f>IF($C36="other",$C25*AJ36,(VLOOKUP($C36,'S3 - Screening Tool Metrics'!$C$3:$G$17,5,FALSE)/100)*AJ36)</f>
        <v>465.04010230714334</v>
      </c>
      <c r="AN36" s="709">
        <f t="shared" si="26"/>
        <v>2.0441323178335971</v>
      </c>
    </row>
    <row r="37" spans="2:40" x14ac:dyDescent="0.15">
      <c r="B37" s="700" t="s">
        <v>10</v>
      </c>
      <c r="C37" s="721" t="str">
        <f>$C25</f>
        <v>PSA_3ng/mL cut-off</v>
      </c>
      <c r="D37" s="552" t="s">
        <v>292</v>
      </c>
      <c r="E37" s="710">
        <f>VLOOKUP($B37&amp;"_"&amp;$D37,'App5 - CRUK Inci Rates'!C:H,6,FALSE)</f>
        <v>568.09764371802726</v>
      </c>
      <c r="F37" s="711">
        <f>VLOOKUP($B37&amp;"_"&amp;$D37,'App5 - CRUK Inci Rates'!C:H,3,FALSE)</f>
        <v>0</v>
      </c>
      <c r="G37" s="712">
        <f>VLOOKUP($B37&amp;"_"&amp;$D37,'App5 - CRUK Inci Rates'!C:J,8,FALSE)</f>
        <v>4929786.333333333</v>
      </c>
      <c r="H37" s="713">
        <f>VLOOKUP($B37&amp;"_"&amp;$D37,'App5 - CRUK Inci Rates'!C:J,7,FALSE)</f>
        <v>4929786.333333333</v>
      </c>
      <c r="I37" s="713">
        <f>VLOOKUP($B37&amp;"_"&amp;$D37,'App5 - CRUK Inci Rates'!C:J,4,FALSE)</f>
        <v>0</v>
      </c>
      <c r="J37" s="709">
        <f>VLOOKUP($B37&amp;"_"&amp;$D37,'App5 - CRUK Inci Rates'!C:K,9,FALSE)</f>
        <v>28006</v>
      </c>
      <c r="K37" s="706">
        <f t="shared" si="7"/>
        <v>2464893.1666666665</v>
      </c>
      <c r="L37" s="706">
        <f>VLOOKUP("*"&amp;$B37&amp;"*",'S4 - Summ PRS Characteristics'!$C$13:$Q$20,11,FALSE)*$J37</f>
        <v>22099.888871145762</v>
      </c>
      <c r="M37" s="706">
        <f t="shared" si="8"/>
        <v>5906.1111288542379</v>
      </c>
      <c r="N37" s="706">
        <f>IF($C37="other",(1-$C$7)*L37,(1-(VLOOKUP($C37,'S3 - Screening Tool Metrics'!$C$3:$G$17,5,FALSE)/100))*L37)</f>
        <v>15027.924432379117</v>
      </c>
      <c r="O37" s="706">
        <f>IF($C37="other",$C$7*L37,(VLOOKUP($C37,'S3 - Screening Tool Metrics'!$C$3:$G$17,5,FALSE)/100)*L37)</f>
        <v>7071.964438766644</v>
      </c>
      <c r="P37" s="706">
        <f t="shared" si="9"/>
        <v>25.251604794567751</v>
      </c>
      <c r="Q37" s="707">
        <f t="shared" si="19"/>
        <v>985957.2666666666</v>
      </c>
      <c r="R37" s="706">
        <f>VLOOKUP("*"&amp;$B37&amp;"*",'S4 - Summ PRS Characteristics'!$C$13:$Q$20,12,FALSE)*$J37</f>
        <v>13575.465209288328</v>
      </c>
      <c r="S37" s="706">
        <f t="shared" si="27"/>
        <v>14430.534790711672</v>
      </c>
      <c r="T37" s="706">
        <f>IF($C37="other",(1-$C23)*R37,(1-(VLOOKUP($C37,'S3 - Screening Tool Metrics'!$C$3:$G$17,5,FALSE)/100))*R37)</f>
        <v>9231.3163423160622</v>
      </c>
      <c r="U37" s="706">
        <f>IF($C37="other",$C23*R37,(VLOOKUP($C37,'S3 - Screening Tool Metrics'!$C$3:$G$17,5,FALSE)/100)*R37)</f>
        <v>4344.1488669722648</v>
      </c>
      <c r="V37" s="708">
        <f t="shared" si="20"/>
        <v>15.511493490581534</v>
      </c>
      <c r="W37" s="707">
        <f t="shared" si="21"/>
        <v>492978.6333333333</v>
      </c>
      <c r="X37" s="706">
        <f>VLOOKUP("*"&amp;$B37&amp;"*",'S4 - Summ PRS Characteristics'!$C$13:$Q$20,13,FALSE)*$J37</f>
        <v>8856.9534610520768</v>
      </c>
      <c r="Y37" s="706">
        <f t="shared" si="28"/>
        <v>19149.046538947921</v>
      </c>
      <c r="Z37" s="706">
        <f>IF($C37="other",(1-$C23)*X37,(1-(VLOOKUP($C37,'S3 - Screening Tool Metrics'!$C$3:$G$17,5,FALSE)/100))*X37)</f>
        <v>6022.728353515412</v>
      </c>
      <c r="AA37" s="706">
        <f>IF($C37="other",$C23*X37,(VLOOKUP($C37,'S3 - Screening Tool Metrics'!$C$3:$G$17,5,FALSE)/100)*X37)</f>
        <v>2834.2251075366648</v>
      </c>
      <c r="AB37" s="708">
        <f t="shared" si="22"/>
        <v>10.120063941786277</v>
      </c>
      <c r="AC37" s="706">
        <f t="shared" si="23"/>
        <v>246489.31666666665</v>
      </c>
      <c r="AD37" s="706">
        <f>VLOOKUP("*"&amp;$B37&amp;"*",'S4 - Summ PRS Characteristics'!$C$13:$Q$20,14,FALSE)*$J37</f>
        <v>5602.0918317057167</v>
      </c>
      <c r="AE37" s="706">
        <f t="shared" si="30"/>
        <v>22403.908168294285</v>
      </c>
      <c r="AF37" s="706">
        <f>IF($C37="other",(1-$C23)*AD37,(1-(VLOOKUP($C37,'S3 - Screening Tool Metrics'!$C$3:$G$17,5,FALSE)/100))*AD37)</f>
        <v>3809.4224455598869</v>
      </c>
      <c r="AG37" s="706">
        <f>IF($C37="other",$C23*AD37,(VLOOKUP($C37,'S3 - Screening Tool Metrics'!$C$3:$G$17,5,FALSE)/100)*AD37)</f>
        <v>1792.6693861458293</v>
      </c>
      <c r="AH37" s="708">
        <f t="shared" si="24"/>
        <v>6.4010190178741322</v>
      </c>
      <c r="AI37" s="707">
        <f t="shared" si="25"/>
        <v>49297.863333333335</v>
      </c>
      <c r="AJ37" s="706">
        <f>VLOOKUP("*"&amp;$B37&amp;"*",'S4 - Summ PRS Characteristics'!$C$13:$Q$20,15,FALSE)*$J37</f>
        <v>1788.9990529139911</v>
      </c>
      <c r="AK37" s="706">
        <f t="shared" si="29"/>
        <v>26217.00094708601</v>
      </c>
      <c r="AL37" s="706">
        <f>IF($C37="other",(1-$C23)*AJ37,(1-(VLOOKUP($C37,'S3 - Screening Tool Metrics'!$C$3:$G$17,5,FALSE)/100))*AJ37)</f>
        <v>1216.5193559815139</v>
      </c>
      <c r="AM37" s="706">
        <f>IF($C37="other",$C23*AJ37,(VLOOKUP($C37,'S3 - Screening Tool Metrics'!$C$3:$G$17,5,FALSE)/100)*AJ37)</f>
        <v>572.47969693247717</v>
      </c>
      <c r="AN37" s="709">
        <f t="shared" si="26"/>
        <v>2.0441323178335971</v>
      </c>
    </row>
    <row r="38" spans="2:40" x14ac:dyDescent="0.15">
      <c r="B38" s="700" t="s">
        <v>10</v>
      </c>
      <c r="C38" s="721" t="str">
        <f>$C24</f>
        <v>PSA_3ng/mL cut-off</v>
      </c>
      <c r="D38" s="552" t="s">
        <v>204</v>
      </c>
      <c r="E38" s="710">
        <f>VLOOKUP($B38&amp;"_"&amp;$D38,'App5 - CRUK Inci Rates'!C:H,6,FALSE)</f>
        <v>296.50668196175269</v>
      </c>
      <c r="F38" s="711">
        <f>VLOOKUP($B38&amp;"_"&amp;$D38,'App5 - CRUK Inci Rates'!C:H,3,FALSE)</f>
        <v>0</v>
      </c>
      <c r="G38" s="712">
        <f>VLOOKUP($B38&amp;"_"&amp;$D38,'App5 - CRUK Inci Rates'!C:J,8,FALSE)</f>
        <v>14565607.666666668</v>
      </c>
      <c r="H38" s="713">
        <f>VLOOKUP($B38&amp;"_"&amp;$D38,'App5 - CRUK Inci Rates'!C:J,7,FALSE)</f>
        <v>14565607.666666668</v>
      </c>
      <c r="I38" s="713">
        <f>VLOOKUP($B38&amp;"_"&amp;$D38,'App5 - CRUK Inci Rates'!C:J,4,FALSE)</f>
        <v>0</v>
      </c>
      <c r="J38" s="709">
        <f>VLOOKUP($B38&amp;"_"&amp;$D38,'App5 - CRUK Inci Rates'!C:K,9,FALSE)</f>
        <v>43188</v>
      </c>
      <c r="K38" s="706">
        <f t="shared" si="7"/>
        <v>7282803.833333334</v>
      </c>
      <c r="L38" s="706">
        <f>VLOOKUP("*"&amp;$B38&amp;"*",'S4 - Summ PRS Characteristics'!$C$13:$Q$20,11,FALSE)*$J38</f>
        <v>34080.197120868499</v>
      </c>
      <c r="M38" s="706">
        <f t="shared" si="8"/>
        <v>9107.802879131501</v>
      </c>
      <c r="N38" s="706">
        <f>IF($C38="other",(1-$C$7)*L38,(1-(VLOOKUP($C38,'S3 - Screening Tool Metrics'!$C$3:$G$17,5,FALSE)/100))*L38)</f>
        <v>23174.534042190578</v>
      </c>
      <c r="O38" s="706">
        <f>IF($C38="other",$C$7*L38,(VLOOKUP($C38,'S3 - Screening Tool Metrics'!$C$3:$G$17,5,FALSE)/100)*L38)</f>
        <v>10905.663078677921</v>
      </c>
      <c r="P38" s="706">
        <f t="shared" si="9"/>
        <v>25.251604794567751</v>
      </c>
      <c r="Q38" s="707">
        <f t="shared" si="19"/>
        <v>2913121.5333333337</v>
      </c>
      <c r="R38" s="706">
        <f>VLOOKUP("*"&amp;$B38&amp;"*",'S4 - Summ PRS Characteristics'!$C$13:$Q$20,12,FALSE)*$J38</f>
        <v>20934.699402226106</v>
      </c>
      <c r="S38" s="706">
        <f t="shared" si="27"/>
        <v>22253.300597773894</v>
      </c>
      <c r="T38" s="706">
        <f>IF($C38="other",(1-$C23)*R38,(1-(VLOOKUP($C38,'S3 - Screening Tool Metrics'!$C$3:$G$17,5,FALSE)/100))*R38)</f>
        <v>14235.59559351375</v>
      </c>
      <c r="U38" s="706">
        <f>IF($C38="other",$C23*R38,(VLOOKUP($C38,'S3 - Screening Tool Metrics'!$C$3:$G$17,5,FALSE)/100)*R38)</f>
        <v>6699.1038087123543</v>
      </c>
      <c r="V38" s="708">
        <f t="shared" si="20"/>
        <v>15.511493490581538</v>
      </c>
      <c r="W38" s="707">
        <f t="shared" si="21"/>
        <v>1456560.7666666668</v>
      </c>
      <c r="X38" s="706">
        <f>VLOOKUP("*"&amp;$B38&amp;"*",'S4 - Summ PRS Characteristics'!$C$13:$Q$20,13,FALSE)*$J38</f>
        <v>13658.291297433305</v>
      </c>
      <c r="Y38" s="706">
        <f t="shared" si="28"/>
        <v>29529.708702566695</v>
      </c>
      <c r="Z38" s="706">
        <f>IF($C38="other",(1-$C23)*X38,(1-(VLOOKUP($C38,'S3 - Screening Tool Metrics'!$C$3:$G$17,5,FALSE)/100))*X38)</f>
        <v>9287.6380822546471</v>
      </c>
      <c r="AA38" s="706">
        <f>IF($C38="other",$C23*X38,(VLOOKUP($C38,'S3 - Screening Tool Metrics'!$C$3:$G$17,5,FALSE)/100)*X38)</f>
        <v>4370.6532151786578</v>
      </c>
      <c r="AB38" s="708">
        <f t="shared" si="22"/>
        <v>10.120063941786277</v>
      </c>
      <c r="AC38" s="706">
        <f t="shared" si="23"/>
        <v>728280.38333333342</v>
      </c>
      <c r="AD38" s="706">
        <f>VLOOKUP("*"&amp;$B38&amp;"*",'S4 - Summ PRS Characteristics'!$C$13:$Q$20,14,FALSE)*$J38</f>
        <v>8638.9752919983748</v>
      </c>
      <c r="AE38" s="706">
        <f t="shared" si="30"/>
        <v>34549.024708001627</v>
      </c>
      <c r="AF38" s="706">
        <f>IF($C38="other",(1-$C23)*AD38,(1-(VLOOKUP($C38,'S3 - Screening Tool Metrics'!$C$3:$G$17,5,FALSE)/100))*AD38)</f>
        <v>5874.5031985588939</v>
      </c>
      <c r="AG38" s="706">
        <f>IF($C38="other",$C23*AD38,(VLOOKUP($C38,'S3 - Screening Tool Metrics'!$C$3:$G$17,5,FALSE)/100)*AD38)</f>
        <v>2764.47209343948</v>
      </c>
      <c r="AH38" s="708">
        <f t="shared" si="24"/>
        <v>6.4010190178741322</v>
      </c>
      <c r="AI38" s="707">
        <f t="shared" si="25"/>
        <v>145656.07666666669</v>
      </c>
      <c r="AJ38" s="706">
        <f>VLOOKUP("*"&amp;$B38&amp;"*",'S4 - Summ PRS Characteristics'!$C$13:$Q$20,15,FALSE)*$J38</f>
        <v>2758.8120794561682</v>
      </c>
      <c r="AK38" s="706">
        <f t="shared" si="29"/>
        <v>40429.187920543831</v>
      </c>
      <c r="AL38" s="706">
        <f>IF($C38="other",(1-$C23)*AJ38,(1-(VLOOKUP($C38,'S3 - Screening Tool Metrics'!$C$3:$G$17,5,FALSE)/100))*AJ38)</f>
        <v>1875.9922140301942</v>
      </c>
      <c r="AM38" s="706">
        <f>IF($C38="other",$C23*AJ38,(VLOOKUP($C38,'S3 - Screening Tool Metrics'!$C$3:$G$17,5,FALSE)/100)*AJ38)</f>
        <v>882.81986542597383</v>
      </c>
      <c r="AN38" s="709">
        <f t="shared" si="26"/>
        <v>2.0441323178335971</v>
      </c>
    </row>
    <row r="39" spans="2:40" ht="14" thickBot="1" x14ac:dyDescent="0.2">
      <c r="B39" s="700" t="s">
        <v>10</v>
      </c>
      <c r="C39" s="721" t="str">
        <f>$C25</f>
        <v>PSA_3ng/mL cut-off</v>
      </c>
      <c r="D39" s="552" t="s">
        <v>205</v>
      </c>
      <c r="E39" s="710">
        <f>VLOOKUP($B39&amp;"_"&amp;$D39,'App5 - CRUK Inci Rates'!C:H,6,FALSE)</f>
        <v>183.8</v>
      </c>
      <c r="F39" s="711">
        <f>VLOOKUP($B39&amp;"_"&amp;$D39,'App5 - CRUK Inci Rates'!C:H,3,FALSE)</f>
        <v>0</v>
      </c>
      <c r="G39" s="712">
        <f>VLOOKUP($B39&amp;"_"&amp;$D39,'App5 - CRUK Inci Rates'!C:J,8,FALSE)</f>
        <v>32583225.666666668</v>
      </c>
      <c r="H39" s="713">
        <f>VLOOKUP($B39&amp;"_"&amp;$D39,'App5 - CRUK Inci Rates'!C:J,7,FALSE)</f>
        <v>32583225.666666668</v>
      </c>
      <c r="I39" s="713">
        <f>VLOOKUP($B39&amp;"_"&amp;$D39,'App5 - CRUK Inci Rates'!C:J,4,FALSE)</f>
        <v>0</v>
      </c>
      <c r="J39" s="709">
        <f>VLOOKUP($B39&amp;"_"&amp;$D39,'App5 - CRUK Inci Rates'!C:K,9,FALSE)</f>
        <v>52254</v>
      </c>
      <c r="K39" s="716"/>
      <c r="L39" s="716"/>
      <c r="M39" s="716"/>
      <c r="N39" s="716"/>
      <c r="O39" s="716"/>
      <c r="P39" s="716"/>
      <c r="Q39" s="715"/>
      <c r="R39" s="716"/>
      <c r="S39" s="716"/>
      <c r="T39" s="716"/>
      <c r="U39" s="716"/>
      <c r="V39" s="717"/>
      <c r="W39" s="715"/>
      <c r="X39" s="716"/>
      <c r="Y39" s="716"/>
      <c r="Z39" s="716"/>
      <c r="AA39" s="716"/>
      <c r="AB39" s="717"/>
      <c r="AC39" s="716"/>
      <c r="AD39" s="716"/>
      <c r="AE39" s="716"/>
      <c r="AF39" s="716"/>
      <c r="AG39" s="716"/>
      <c r="AH39" s="717"/>
      <c r="AI39" s="715"/>
      <c r="AJ39" s="716"/>
      <c r="AK39" s="716"/>
      <c r="AL39" s="716"/>
      <c r="AM39" s="716"/>
      <c r="AN39" s="718"/>
    </row>
    <row r="40" spans="2:40" ht="21" customHeight="1" thickBot="1" x14ac:dyDescent="0.2">
      <c r="B40" s="686" t="s">
        <v>11</v>
      </c>
      <c r="C40" s="687"/>
      <c r="D40" s="688"/>
      <c r="E40" s="689"/>
      <c r="F40" s="690"/>
      <c r="G40" s="691"/>
      <c r="H40" s="692"/>
      <c r="I40" s="692"/>
      <c r="J40" s="693"/>
      <c r="K40" s="694"/>
      <c r="L40" s="694"/>
      <c r="M40" s="694"/>
      <c r="N40" s="694"/>
      <c r="O40" s="694"/>
      <c r="P40" s="694"/>
      <c r="Q40" s="695"/>
      <c r="R40" s="696"/>
      <c r="S40" s="696"/>
      <c r="T40" s="696"/>
      <c r="U40" s="696"/>
      <c r="V40" s="697"/>
      <c r="W40" s="695"/>
      <c r="X40" s="696"/>
      <c r="Y40" s="696"/>
      <c r="Z40" s="696"/>
      <c r="AA40" s="696"/>
      <c r="AB40" s="697"/>
      <c r="AC40" s="696"/>
      <c r="AD40" s="696"/>
      <c r="AE40" s="696"/>
      <c r="AF40" s="696"/>
      <c r="AG40" s="696"/>
      <c r="AH40" s="697"/>
      <c r="AI40" s="695"/>
      <c r="AJ40" s="696"/>
      <c r="AK40" s="696"/>
      <c r="AL40" s="696"/>
      <c r="AM40" s="696"/>
      <c r="AN40" s="699"/>
    </row>
    <row r="41" spans="2:40" x14ac:dyDescent="0.15">
      <c r="B41" s="700" t="s">
        <v>11</v>
      </c>
      <c r="C41" s="720" t="s">
        <v>143</v>
      </c>
      <c r="D41" s="593" t="s">
        <v>192</v>
      </c>
      <c r="E41" s="701">
        <f>VLOOKUP($B41&amp;"_"&amp;$D41,'App5 - CRUK Inci Rates'!C:H,6,FALSE)</f>
        <v>14.5</v>
      </c>
      <c r="F41" s="702">
        <f>VLOOKUP($B41&amp;"_"&amp;$D41,'App5 - CRUK Inci Rates'!C:H,3,FALSE)</f>
        <v>13.5</v>
      </c>
      <c r="G41" s="703">
        <f>VLOOKUP($B41&amp;"_"&amp;$D41,'App5 - CRUK Inci Rates'!C:J,8,FALSE)</f>
        <v>4075608</v>
      </c>
      <c r="H41" s="704">
        <f>VLOOKUP($B41&amp;"_"&amp;$D41,'App5 - CRUK Inci Rates'!C:J,7,FALSE)</f>
        <v>2021384.6666666667</v>
      </c>
      <c r="I41" s="704">
        <f>VLOOKUP($B41&amp;"_"&amp;$D41,'App5 - CRUK Inci Rates'!C:J,4,FALSE)</f>
        <v>2054223.3333333333</v>
      </c>
      <c r="J41" s="705">
        <f>VLOOKUP($B41&amp;"_"&amp;$D41,'App5 - CRUK Inci Rates'!C:K,9,FALSE)</f>
        <v>570</v>
      </c>
      <c r="K41" s="706">
        <f t="shared" si="7"/>
        <v>2037804</v>
      </c>
      <c r="L41" s="706">
        <f>VLOOKUP("*"&amp;$B41&amp;"*",'S4 - Summ PRS Characteristics'!$C$13:$Q$20,11,FALSE)*$J41</f>
        <v>396.27891385918321</v>
      </c>
      <c r="M41" s="706">
        <f t="shared" si="8"/>
        <v>173.72108614081679</v>
      </c>
      <c r="N41" s="706">
        <f>IF($C41="other",(1-$C$7)*L41,(1-(VLOOKUP($C41,'S3 - Screening Tool Metrics'!$C$3:$G$17,5,FALSE)/100))*L41)</f>
        <v>118.88367415775498</v>
      </c>
      <c r="O41" s="706">
        <f>IF($C41="other",$C$7*L41,(VLOOKUP($C41,'S3 - Screening Tool Metrics'!$C$3:$G$17,5,FALSE)/100)*L41)</f>
        <v>277.39523970142824</v>
      </c>
      <c r="P41" s="706">
        <f t="shared" si="9"/>
        <v>48.665831526566357</v>
      </c>
      <c r="Q41" s="707">
        <f t="shared" ref="Q41:Q54" si="37">$G41*Q$3</f>
        <v>815121.60000000009</v>
      </c>
      <c r="R41" s="706">
        <f>VLOOKUP("*"&amp;$B41&amp;"*",'S4 - Summ PRS Characteristics'!$C$13:$Q$20,12,FALSE)*$J41</f>
        <v>211.10477576214572</v>
      </c>
      <c r="S41" s="706">
        <f>$J41-R41</f>
        <v>358.89522423785428</v>
      </c>
      <c r="T41" s="706">
        <f>IF($C41="other",(1-$C40)*R41,(1-(VLOOKUP($C41,'S3 - Screening Tool Metrics'!$C$3:$G$17,5,FALSE)/100))*R41)</f>
        <v>63.331432728643726</v>
      </c>
      <c r="U41" s="706">
        <f>IF($C41="other",$C40*R41,(VLOOKUP($C41,'S3 - Screening Tool Metrics'!$C$3:$G$17,5,FALSE)/100)*R41)</f>
        <v>147.77334303350199</v>
      </c>
      <c r="V41" s="708">
        <f t="shared" ref="V41:V54" si="38">U41/J41*100</f>
        <v>25.92514790061438</v>
      </c>
      <c r="W41" s="707">
        <f t="shared" ref="W41:W54" si="39">$G41*W$3</f>
        <v>407560.80000000005</v>
      </c>
      <c r="X41" s="706">
        <f>VLOOKUP("*"&amp;$B41&amp;"*",'S4 - Summ PRS Characteristics'!$C$13:$Q$20,13,FALSE)*$J41</f>
        <v>125.62980134521608</v>
      </c>
      <c r="Y41" s="706">
        <f>$J41-X41</f>
        <v>444.37019865478391</v>
      </c>
      <c r="Z41" s="706">
        <f>IF($C41="other",(1-$C40)*X41,(1-(VLOOKUP($C41,'S3 - Screening Tool Metrics'!$C$3:$G$17,5,FALSE)/100))*X41)</f>
        <v>37.688940403564828</v>
      </c>
      <c r="AA41" s="706">
        <f>IF($C41="other",$C40*X41,(VLOOKUP($C41,'S3 - Screening Tool Metrics'!$C$3:$G$17,5,FALSE)/100)*X41)</f>
        <v>87.940860941651252</v>
      </c>
      <c r="AB41" s="708">
        <f t="shared" ref="AB41:AB54" si="40">$AA41/$J41*100</f>
        <v>15.428221217833554</v>
      </c>
      <c r="AC41" s="706">
        <f t="shared" ref="AC41:AC54" si="41">$G41*AC$3</f>
        <v>203780.40000000002</v>
      </c>
      <c r="AD41" s="706">
        <f>VLOOKUP("*"&amp;$B41&amp;"*",'S4 - Summ PRS Characteristics'!$C$13:$Q$20,14,FALSE)*$J41</f>
        <v>73.170380953298221</v>
      </c>
      <c r="AE41" s="706">
        <f>$J41-AD41</f>
        <v>496.82961904670179</v>
      </c>
      <c r="AF41" s="706">
        <f>IF($C41="other",(1-$C40)*AD41,(1-(VLOOKUP($C41,'S3 - Screening Tool Metrics'!$C$3:$G$17,5,FALSE)/100))*AD41)</f>
        <v>21.951114285989469</v>
      </c>
      <c r="AG41" s="706">
        <f>IF($C41="other",$C40*AD41,(VLOOKUP($C41,'S3 - Screening Tool Metrics'!$C$3:$G$17,5,FALSE)/100)*AD41)</f>
        <v>51.219266667308752</v>
      </c>
      <c r="AH41" s="708">
        <f t="shared" ref="AH41:AH54" si="42">$AG41/$J41*100</f>
        <v>8.985836257422589</v>
      </c>
      <c r="AI41" s="707">
        <f t="shared" ref="AI41:AI54" si="43">$G41*AI$3</f>
        <v>40756.080000000002</v>
      </c>
      <c r="AJ41" s="706">
        <f>VLOOKUP("*"&amp;$B41&amp;"*",'S4 - Summ PRS Characteristics'!$C$13:$Q$20,15,FALSE)*$J41</f>
        <v>19.786796802784338</v>
      </c>
      <c r="AK41" s="706">
        <f>$J41-AJ41</f>
        <v>550.21320319721565</v>
      </c>
      <c r="AL41" s="706">
        <f>IF($C41="other",(1-$C40)*AJ41,(1-(VLOOKUP($C41,'S3 - Screening Tool Metrics'!$C$3:$G$17,5,FALSE)/100))*AJ41)</f>
        <v>5.9360390408353023</v>
      </c>
      <c r="AM41" s="706">
        <f>IF($C41="other",$C40*AJ41,(VLOOKUP($C41,'S3 - Screening Tool Metrics'!$C$3:$G$17,5,FALSE)/100)*AJ41)</f>
        <v>13.850757761949035</v>
      </c>
      <c r="AN41" s="709">
        <f t="shared" ref="AN41:AN54" si="44">$AM41/$J41*100</f>
        <v>2.4299575020963222</v>
      </c>
    </row>
    <row r="42" spans="2:40" x14ac:dyDescent="0.15">
      <c r="B42" s="700" t="s">
        <v>11</v>
      </c>
      <c r="C42" s="721" t="str">
        <f>$C41</f>
        <v>FIT 20-50 µg/g threshold (CRC)</v>
      </c>
      <c r="D42" s="552" t="s">
        <v>193</v>
      </c>
      <c r="E42" s="710">
        <f>VLOOKUP($B42&amp;"_"&amp;$D42,'App5 - CRUK Inci Rates'!C:H,6,FALSE)</f>
        <v>24.4</v>
      </c>
      <c r="F42" s="711">
        <f>VLOOKUP($B42&amp;"_"&amp;$D42,'App5 - CRUK Inci Rates'!C:H,3,FALSE)</f>
        <v>21.6</v>
      </c>
      <c r="G42" s="712">
        <f>VLOOKUP($B42&amp;"_"&amp;$D42,'App5 - CRUK Inci Rates'!C:J,8,FALSE)</f>
        <v>4567159.333333334</v>
      </c>
      <c r="H42" s="713">
        <f>VLOOKUP($B42&amp;"_"&amp;$D42,'App5 - CRUK Inci Rates'!C:J,7,FALSE)</f>
        <v>2251680</v>
      </c>
      <c r="I42" s="713">
        <f>VLOOKUP($B42&amp;"_"&amp;$D42,'App5 - CRUK Inci Rates'!C:J,4,FALSE)</f>
        <v>2315479.3333333335</v>
      </c>
      <c r="J42" s="709">
        <f>VLOOKUP($B42&amp;"_"&amp;$D42,'App5 - CRUK Inci Rates'!C:K,9,FALSE)</f>
        <v>1047</v>
      </c>
      <c r="K42" s="706">
        <f t="shared" si="7"/>
        <v>2283579.666666667</v>
      </c>
      <c r="L42" s="706">
        <f>VLOOKUP("*"&amp;$B42&amp;"*",'S4 - Summ PRS Characteristics'!$C$13:$Q$20,11,FALSE)*$J42</f>
        <v>727.9017944044997</v>
      </c>
      <c r="M42" s="706">
        <f t="shared" si="8"/>
        <v>319.0982055955003</v>
      </c>
      <c r="N42" s="706">
        <f>IF($C42="other",(1-$C$7)*L42,(1-(VLOOKUP($C42,'S3 - Screening Tool Metrics'!$C$3:$G$17,5,FALSE)/100))*L42)</f>
        <v>218.37053832134995</v>
      </c>
      <c r="O42" s="706">
        <f>IF($C42="other",$C$7*L42,(VLOOKUP($C42,'S3 - Screening Tool Metrics'!$C$3:$G$17,5,FALSE)/100)*L42)</f>
        <v>509.53125608314974</v>
      </c>
      <c r="P42" s="706">
        <f t="shared" si="9"/>
        <v>48.665831526566357</v>
      </c>
      <c r="Q42" s="707">
        <f t="shared" si="37"/>
        <v>913431.86666666681</v>
      </c>
      <c r="R42" s="706">
        <f>VLOOKUP("*"&amp;$B42&amp;"*",'S4 - Summ PRS Characteristics'!$C$13:$Q$20,12,FALSE)*$J42</f>
        <v>387.76614074204662</v>
      </c>
      <c r="S42" s="706">
        <f t="shared" ref="S42:S54" si="45">$J42-R42</f>
        <v>659.23385925795333</v>
      </c>
      <c r="T42" s="706">
        <f>IF($C42="other",(1-$C40)*R42,(1-(VLOOKUP($C42,'S3 - Screening Tool Metrics'!$C$3:$G$17,5,FALSE)/100))*R42)</f>
        <v>116.329842222614</v>
      </c>
      <c r="U42" s="706">
        <f>IF($C42="other",$C40*R42,(VLOOKUP($C42,'S3 - Screening Tool Metrics'!$C$3:$G$17,5,FALSE)/100)*R42)</f>
        <v>271.43629851943263</v>
      </c>
      <c r="V42" s="708">
        <f t="shared" si="38"/>
        <v>25.925147900614387</v>
      </c>
      <c r="W42" s="707">
        <f t="shared" si="39"/>
        <v>456715.93333333341</v>
      </c>
      <c r="X42" s="706">
        <f>VLOOKUP("*"&amp;$B42&amp;"*",'S4 - Summ PRS Characteristics'!$C$13:$Q$20,13,FALSE)*$J42</f>
        <v>230.76210878673902</v>
      </c>
      <c r="Y42" s="706">
        <f t="shared" ref="Y42:Y54" si="46">$J42-X42</f>
        <v>816.23789121326104</v>
      </c>
      <c r="Z42" s="706">
        <f>IF($C42="other",(1-$C40)*X42,(1-(VLOOKUP($C42,'S3 - Screening Tool Metrics'!$C$3:$G$17,5,FALSE)/100))*X42)</f>
        <v>69.228632636021715</v>
      </c>
      <c r="AA42" s="706">
        <f>IF($C42="other",$C40*X42,(VLOOKUP($C42,'S3 - Screening Tool Metrics'!$C$3:$G$17,5,FALSE)/100)*X42)</f>
        <v>161.53347615071729</v>
      </c>
      <c r="AB42" s="708">
        <f t="shared" si="40"/>
        <v>15.428221217833551</v>
      </c>
      <c r="AC42" s="706">
        <f t="shared" si="41"/>
        <v>228357.9666666667</v>
      </c>
      <c r="AD42" s="706">
        <f>VLOOKUP("*"&amp;$B42&amp;"*",'S4 - Summ PRS Characteristics'!$C$13:$Q$20,14,FALSE)*$J42</f>
        <v>134.40243659316357</v>
      </c>
      <c r="AE42" s="706">
        <f>$J42-AD42</f>
        <v>912.59756340683646</v>
      </c>
      <c r="AF42" s="706">
        <f>IF($C42="other",(1-$C40)*AD42,(1-(VLOOKUP($C42,'S3 - Screening Tool Metrics'!$C$3:$G$17,5,FALSE)/100))*AD42)</f>
        <v>40.320730977949076</v>
      </c>
      <c r="AG42" s="706">
        <f>IF($C42="other",$C40*AD42,(VLOOKUP($C42,'S3 - Screening Tool Metrics'!$C$3:$G$17,5,FALSE)/100)*AD42)</f>
        <v>94.081705615214489</v>
      </c>
      <c r="AH42" s="708">
        <f t="shared" si="42"/>
        <v>8.9858362574225872</v>
      </c>
      <c r="AI42" s="707">
        <f t="shared" si="43"/>
        <v>45671.593333333338</v>
      </c>
      <c r="AJ42" s="706">
        <f>VLOOKUP("*"&amp;$B42&amp;"*",'S4 - Summ PRS Characteristics'!$C$13:$Q$20,15,FALSE)*$J42</f>
        <v>36.3452214956407</v>
      </c>
      <c r="AK42" s="706">
        <f t="shared" ref="AK42:AK54" si="47">$J42-AJ42</f>
        <v>1010.6547785043593</v>
      </c>
      <c r="AL42" s="706">
        <f>IF($C42="other",(1-$C40)*AJ42,(1-(VLOOKUP($C42,'S3 - Screening Tool Metrics'!$C$3:$G$17,5,FALSE)/100))*AJ42)</f>
        <v>10.903566448692212</v>
      </c>
      <c r="AM42" s="706">
        <f>IF($C42="other",$C40*AJ42,(VLOOKUP($C42,'S3 - Screening Tool Metrics'!$C$3:$G$17,5,FALSE)/100)*AJ42)</f>
        <v>25.44165504694849</v>
      </c>
      <c r="AN42" s="709">
        <f t="shared" si="44"/>
        <v>2.4299575020963218</v>
      </c>
    </row>
    <row r="43" spans="2:40" x14ac:dyDescent="0.15">
      <c r="B43" s="700" t="s">
        <v>11</v>
      </c>
      <c r="C43" s="721" t="str">
        <f>$C41</f>
        <v>FIT 20-50 µg/g threshold (CRC)</v>
      </c>
      <c r="D43" s="552" t="s">
        <v>194</v>
      </c>
      <c r="E43" s="710">
        <f>VLOOKUP($B43&amp;"_"&amp;$D43,'App5 - CRUK Inci Rates'!C:H,6,FALSE)</f>
        <v>47.1</v>
      </c>
      <c r="F43" s="711">
        <f>VLOOKUP($B43&amp;"_"&amp;$D43,'App5 - CRUK Inci Rates'!C:H,3,FALSE)</f>
        <v>37.1</v>
      </c>
      <c r="G43" s="712">
        <f>VLOOKUP($B43&amp;"_"&amp;$D43,'App5 - CRUK Inci Rates'!C:J,8,FALSE)</f>
        <v>4658110.666666666</v>
      </c>
      <c r="H43" s="713">
        <f>VLOOKUP($B43&amp;"_"&amp;$D43,'App5 - CRUK Inci Rates'!C:J,7,FALSE)</f>
        <v>2293472.6666666665</v>
      </c>
      <c r="I43" s="713">
        <f>VLOOKUP($B43&amp;"_"&amp;$D43,'App5 - CRUK Inci Rates'!C:J,4,FALSE)</f>
        <v>2364638</v>
      </c>
      <c r="J43" s="709">
        <f>VLOOKUP($B43&amp;"_"&amp;$D43,'App5 - CRUK Inci Rates'!C:K,9,FALSE)</f>
        <v>1958</v>
      </c>
      <c r="K43" s="706">
        <f t="shared" si="7"/>
        <v>2329055.333333333</v>
      </c>
      <c r="L43" s="706">
        <f>VLOOKUP("*"&amp;$B43&amp;"*",'S4 - Summ PRS Characteristics'!$C$13:$Q$20,11,FALSE)*$J43</f>
        <v>1361.2528304145276</v>
      </c>
      <c r="M43" s="706">
        <f t="shared" si="8"/>
        <v>596.74716958547242</v>
      </c>
      <c r="N43" s="706">
        <f>IF($C43="other",(1-$C$7)*L43,(1-(VLOOKUP($C43,'S3 - Screening Tool Metrics'!$C$3:$G$17,5,FALSE)/100))*L43)</f>
        <v>408.37584912435835</v>
      </c>
      <c r="O43" s="706">
        <f>IF($C43="other",$C$7*L43,(VLOOKUP($C43,'S3 - Screening Tool Metrics'!$C$3:$G$17,5,FALSE)/100)*L43)</f>
        <v>952.87698129016928</v>
      </c>
      <c r="P43" s="706">
        <f t="shared" si="9"/>
        <v>48.665831526566357</v>
      </c>
      <c r="Q43" s="707">
        <f t="shared" si="37"/>
        <v>931622.1333333333</v>
      </c>
      <c r="R43" s="706">
        <f>VLOOKUP("*"&amp;$B43&amp;"*",'S4 - Summ PRS Characteristics'!$C$13:$Q$20,12,FALSE)*$J43</f>
        <v>725.16342270575672</v>
      </c>
      <c r="S43" s="706">
        <f t="shared" si="45"/>
        <v>1232.8365772942434</v>
      </c>
      <c r="T43" s="706">
        <f>IF($C43="other",(1-$C40)*R43,(1-(VLOOKUP($C43,'S3 - Screening Tool Metrics'!$C$3:$G$17,5,FALSE)/100))*R43)</f>
        <v>217.54902681172706</v>
      </c>
      <c r="U43" s="706">
        <f>IF($C43="other",$C40*R43,(VLOOKUP($C43,'S3 - Screening Tool Metrics'!$C$3:$G$17,5,FALSE)/100)*R43)</f>
        <v>507.61439589402966</v>
      </c>
      <c r="V43" s="708">
        <f t="shared" si="38"/>
        <v>25.925147900614387</v>
      </c>
      <c r="W43" s="707">
        <f t="shared" si="39"/>
        <v>465811.06666666665</v>
      </c>
      <c r="X43" s="706">
        <f>VLOOKUP("*"&amp;$B43&amp;"*",'S4 - Summ PRS Characteristics'!$C$13:$Q$20,13,FALSE)*$J43</f>
        <v>431.54938777883001</v>
      </c>
      <c r="Y43" s="706">
        <f t="shared" si="46"/>
        <v>1526.4506122211701</v>
      </c>
      <c r="Z43" s="706">
        <f>IF($C43="other",(1-$C40)*X43,(1-(VLOOKUP($C43,'S3 - Screening Tool Metrics'!$C$3:$G$17,5,FALSE)/100))*X43)</f>
        <v>129.46481633364903</v>
      </c>
      <c r="AA43" s="706">
        <f>IF($C43="other",$C40*X43,(VLOOKUP($C43,'S3 - Screening Tool Metrics'!$C$3:$G$17,5,FALSE)/100)*X43)</f>
        <v>302.08457144518098</v>
      </c>
      <c r="AB43" s="708">
        <f t="shared" si="40"/>
        <v>15.428221217833554</v>
      </c>
      <c r="AC43" s="706">
        <f t="shared" si="41"/>
        <v>232905.53333333333</v>
      </c>
      <c r="AD43" s="706">
        <f>VLOOKUP("*"&amp;$B43&amp;"*",'S4 - Summ PRS Characteristics'!$C$13:$Q$20,14,FALSE)*$J43</f>
        <v>251.34667702904898</v>
      </c>
      <c r="AE43" s="706">
        <f t="shared" ref="AE43:AE54" si="48">$J43-AD43</f>
        <v>1706.653322970951</v>
      </c>
      <c r="AF43" s="706">
        <f>IF($C43="other",(1-$C40)*AD43,(1-(VLOOKUP($C43,'S3 - Screening Tool Metrics'!$C$3:$G$17,5,FALSE)/100))*AD43)</f>
        <v>75.404003108714704</v>
      </c>
      <c r="AG43" s="706">
        <f>IF($C43="other",$C40*AD43,(VLOOKUP($C43,'S3 - Screening Tool Metrics'!$C$3:$G$17,5,FALSE)/100)*AD43)</f>
        <v>175.94267392033427</v>
      </c>
      <c r="AH43" s="708">
        <f t="shared" si="42"/>
        <v>8.985836257422589</v>
      </c>
      <c r="AI43" s="707">
        <f t="shared" si="43"/>
        <v>46581.106666666659</v>
      </c>
      <c r="AJ43" s="706">
        <f>VLOOKUP("*"&amp;$B43&amp;"*",'S4 - Summ PRS Characteristics'!$C$13:$Q$20,15,FALSE)*$J43</f>
        <v>67.969382701494268</v>
      </c>
      <c r="AK43" s="706">
        <f t="shared" si="47"/>
        <v>1890.0306172985058</v>
      </c>
      <c r="AL43" s="706">
        <f>IF($C43="other",(1-$C40)*AJ43,(1-(VLOOKUP($C43,'S3 - Screening Tool Metrics'!$C$3:$G$17,5,FALSE)/100))*AJ43)</f>
        <v>20.390814810448283</v>
      </c>
      <c r="AM43" s="706">
        <f>IF($C43="other",$C40*AJ43,(VLOOKUP($C43,'S3 - Screening Tool Metrics'!$C$3:$G$17,5,FALSE)/100)*AJ43)</f>
        <v>47.578567891045985</v>
      </c>
      <c r="AN43" s="709">
        <f t="shared" si="44"/>
        <v>2.4299575020963222</v>
      </c>
    </row>
    <row r="44" spans="2:40" x14ac:dyDescent="0.15">
      <c r="B44" s="700" t="s">
        <v>11</v>
      </c>
      <c r="C44" s="721" t="str">
        <f>$C41</f>
        <v>FIT 20-50 µg/g threshold (CRC)</v>
      </c>
      <c r="D44" s="552" t="s">
        <v>195</v>
      </c>
      <c r="E44" s="710">
        <f>VLOOKUP($B44&amp;"_"&amp;$D44,'App5 - CRUK Inci Rates'!C:H,6,FALSE)</f>
        <v>87.7</v>
      </c>
      <c r="F44" s="711">
        <f>VLOOKUP($B44&amp;"_"&amp;$D44,'App5 - CRUK Inci Rates'!C:H,3,FALSE)</f>
        <v>60.6</v>
      </c>
      <c r="G44" s="712">
        <f>VLOOKUP($B44&amp;"_"&amp;$D44,'App5 - CRUK Inci Rates'!C:J,8,FALSE)</f>
        <v>4181606</v>
      </c>
      <c r="H44" s="713">
        <f>VLOOKUP($B44&amp;"_"&amp;$D44,'App5 - CRUK Inci Rates'!C:J,7,FALSE)</f>
        <v>2061918.6666666667</v>
      </c>
      <c r="I44" s="713">
        <f>VLOOKUP($B44&amp;"_"&amp;$D44,'App5 - CRUK Inci Rates'!C:J,4,FALSE)</f>
        <v>2119687.3333333335</v>
      </c>
      <c r="J44" s="709">
        <f>VLOOKUP($B44&amp;"_"&amp;$D44,'App5 - CRUK Inci Rates'!C:K,9,FALSE)</f>
        <v>3094</v>
      </c>
      <c r="K44" s="706">
        <f t="shared" si="7"/>
        <v>2090803</v>
      </c>
      <c r="L44" s="706">
        <f>VLOOKUP("*"&amp;$B44&amp;"*",'S4 - Summ PRS Characteristics'!$C$13:$Q$20,11,FALSE)*$J44</f>
        <v>2151.0297534742331</v>
      </c>
      <c r="M44" s="706">
        <f t="shared" si="8"/>
        <v>942.97024652576692</v>
      </c>
      <c r="N44" s="706">
        <f>IF($C44="other",(1-$C$7)*L44,(1-(VLOOKUP($C44,'S3 - Screening Tool Metrics'!$C$3:$G$17,5,FALSE)/100))*L44)</f>
        <v>645.30892604227006</v>
      </c>
      <c r="O44" s="706">
        <f>IF($C44="other",$C$7*L44,(VLOOKUP($C44,'S3 - Screening Tool Metrics'!$C$3:$G$17,5,FALSE)/100)*L44)</f>
        <v>1505.720827431963</v>
      </c>
      <c r="P44" s="706">
        <f t="shared" si="9"/>
        <v>48.665831526566357</v>
      </c>
      <c r="Q44" s="707">
        <f t="shared" si="37"/>
        <v>836321.20000000007</v>
      </c>
      <c r="R44" s="706">
        <f>VLOOKUP("*"&amp;$B44&amp;"*",'S4 - Summ PRS Characteristics'!$C$13:$Q$20,12,FALSE)*$J44</f>
        <v>1145.8915372071558</v>
      </c>
      <c r="S44" s="706">
        <f t="shared" si="45"/>
        <v>1948.1084627928442</v>
      </c>
      <c r="T44" s="706">
        <f>IF($C44="other",(1-$C40)*R44,(1-(VLOOKUP($C44,'S3 - Screening Tool Metrics'!$C$3:$G$17,5,FALSE)/100))*R44)</f>
        <v>343.76746116214679</v>
      </c>
      <c r="U44" s="706">
        <f>IF($C44="other",$C40*R44,(VLOOKUP($C44,'S3 - Screening Tool Metrics'!$C$3:$G$17,5,FALSE)/100)*R44)</f>
        <v>802.12407604500902</v>
      </c>
      <c r="V44" s="708">
        <f t="shared" si="38"/>
        <v>25.92514790061438</v>
      </c>
      <c r="W44" s="707">
        <f t="shared" si="39"/>
        <v>418160.60000000003</v>
      </c>
      <c r="X44" s="706">
        <f>VLOOKUP("*"&amp;$B44&amp;"*",'S4 - Summ PRS Characteristics'!$C$13:$Q$20,13,FALSE)*$J44</f>
        <v>681.92737782824304</v>
      </c>
      <c r="Y44" s="706">
        <f t="shared" si="46"/>
        <v>2412.0726221717568</v>
      </c>
      <c r="Z44" s="706">
        <f>IF($C44="other",(1-$C40)*X44,(1-(VLOOKUP($C44,'S3 - Screening Tool Metrics'!$C$3:$G$17,5,FALSE)/100))*X44)</f>
        <v>204.57821334847293</v>
      </c>
      <c r="AA44" s="706">
        <f>IF($C44="other",$C40*X44,(VLOOKUP($C44,'S3 - Screening Tool Metrics'!$C$3:$G$17,5,FALSE)/100)*X44)</f>
        <v>477.34916447977008</v>
      </c>
      <c r="AB44" s="708">
        <f t="shared" si="40"/>
        <v>15.428221217833551</v>
      </c>
      <c r="AC44" s="706">
        <f t="shared" si="41"/>
        <v>209080.30000000002</v>
      </c>
      <c r="AD44" s="706">
        <f>VLOOKUP("*"&amp;$B44&amp;"*",'S4 - Summ PRS Characteristics'!$C$13:$Q$20,14,FALSE)*$J44</f>
        <v>397.17396257807843</v>
      </c>
      <c r="AE44" s="706">
        <f t="shared" si="48"/>
        <v>2696.8260374219217</v>
      </c>
      <c r="AF44" s="706">
        <f>IF($C44="other",(1-$C40)*AD44,(1-(VLOOKUP($C44,'S3 - Screening Tool Metrics'!$C$3:$G$17,5,FALSE)/100))*AD44)</f>
        <v>119.15218877342355</v>
      </c>
      <c r="AG44" s="706">
        <f>IF($C44="other",$C40*AD44,(VLOOKUP($C44,'S3 - Screening Tool Metrics'!$C$3:$G$17,5,FALSE)/100)*AD44)</f>
        <v>278.02177380465486</v>
      </c>
      <c r="AH44" s="708">
        <f t="shared" si="42"/>
        <v>8.9858362574225872</v>
      </c>
      <c r="AI44" s="707">
        <f t="shared" si="43"/>
        <v>41816.06</v>
      </c>
      <c r="AJ44" s="706">
        <f>VLOOKUP("*"&amp;$B44&amp;"*",'S4 - Summ PRS Characteristics'!$C$13:$Q$20,15,FALSE)*$J44</f>
        <v>107.40412159265743</v>
      </c>
      <c r="AK44" s="706">
        <f t="shared" si="47"/>
        <v>2986.5958784073428</v>
      </c>
      <c r="AL44" s="706">
        <f>IF($C44="other",(1-$C40)*AJ44,(1-(VLOOKUP($C44,'S3 - Screening Tool Metrics'!$C$3:$G$17,5,FALSE)/100))*AJ44)</f>
        <v>32.221236477797234</v>
      </c>
      <c r="AM44" s="706">
        <f>IF($C44="other",$C40*AJ44,(VLOOKUP($C44,'S3 - Screening Tool Metrics'!$C$3:$G$17,5,FALSE)/100)*AJ44)</f>
        <v>75.182885114860198</v>
      </c>
      <c r="AN44" s="709">
        <f t="shared" si="44"/>
        <v>2.4299575020963218</v>
      </c>
    </row>
    <row r="45" spans="2:40" x14ac:dyDescent="0.15">
      <c r="B45" s="700" t="s">
        <v>11</v>
      </c>
      <c r="C45" s="721" t="str">
        <f>$C41</f>
        <v>FIT 20-50 µg/g threshold (CRC)</v>
      </c>
      <c r="D45" s="552" t="s">
        <v>196</v>
      </c>
      <c r="E45" s="710">
        <f>VLOOKUP($B45&amp;"_"&amp;$D45,'App5 - CRUK Inci Rates'!C:H,6,FALSE)</f>
        <v>151.4</v>
      </c>
      <c r="F45" s="711">
        <f>VLOOKUP($B45&amp;"_"&amp;$D45,'App5 - CRUK Inci Rates'!C:H,3,FALSE)</f>
        <v>91</v>
      </c>
      <c r="G45" s="712">
        <f>VLOOKUP($B45&amp;"_"&amp;$D45,'App5 - CRUK Inci Rates'!C:J,8,FALSE)</f>
        <v>3602002</v>
      </c>
      <c r="H45" s="713">
        <f>VLOOKUP($B45&amp;"_"&amp;$D45,'App5 - CRUK Inci Rates'!C:J,7,FALSE)</f>
        <v>1764828</v>
      </c>
      <c r="I45" s="713">
        <f>VLOOKUP($B45&amp;"_"&amp;$D45,'App5 - CRUK Inci Rates'!C:J,4,FALSE)</f>
        <v>1837174</v>
      </c>
      <c r="J45" s="709">
        <f>VLOOKUP($B45&amp;"_"&amp;$D45,'App5 - CRUK Inci Rates'!C:K,9,FALSE)</f>
        <v>4345</v>
      </c>
      <c r="K45" s="706">
        <f t="shared" si="7"/>
        <v>1801001</v>
      </c>
      <c r="L45" s="706">
        <f>VLOOKUP("*"&amp;$B45&amp;"*",'S4 - Summ PRS Characteristics'!$C$13:$Q$20,11,FALSE)*$J45</f>
        <v>3020.7576854704403</v>
      </c>
      <c r="M45" s="706">
        <f t="shared" si="8"/>
        <v>1324.2423145295597</v>
      </c>
      <c r="N45" s="706">
        <f>IF($C45="other",(1-$C$7)*L45,(1-(VLOOKUP($C45,'S3 - Screening Tool Metrics'!$C$3:$G$17,5,FALSE)/100))*L45)</f>
        <v>906.22730564113226</v>
      </c>
      <c r="O45" s="706">
        <f>IF($C45="other",$C$7*L45,(VLOOKUP($C45,'S3 - Screening Tool Metrics'!$C$3:$G$17,5,FALSE)/100)*L45)</f>
        <v>2114.530379829308</v>
      </c>
      <c r="P45" s="706">
        <f t="shared" si="9"/>
        <v>48.66583152656635</v>
      </c>
      <c r="Q45" s="707">
        <f t="shared" si="37"/>
        <v>720400.4</v>
      </c>
      <c r="R45" s="706">
        <f>VLOOKUP("*"&amp;$B45&amp;"*",'S4 - Summ PRS Characteristics'!$C$13:$Q$20,12,FALSE)*$J45</f>
        <v>1609.2109661167074</v>
      </c>
      <c r="S45" s="706">
        <f t="shared" si="45"/>
        <v>2735.7890338832926</v>
      </c>
      <c r="T45" s="706">
        <f>IF($C45="other",(1-$C40)*R45,(1-(VLOOKUP($C45,'S3 - Screening Tool Metrics'!$C$3:$G$17,5,FALSE)/100))*R45)</f>
        <v>482.7632898350123</v>
      </c>
      <c r="U45" s="706">
        <f>IF($C45="other",$C40*R45,(VLOOKUP($C45,'S3 - Screening Tool Metrics'!$C$3:$G$17,5,FALSE)/100)*R45)</f>
        <v>1126.4476762816951</v>
      </c>
      <c r="V45" s="708">
        <f t="shared" si="38"/>
        <v>25.925147900614387</v>
      </c>
      <c r="W45" s="707">
        <f t="shared" si="39"/>
        <v>360200.2</v>
      </c>
      <c r="X45" s="706">
        <f>VLOOKUP("*"&amp;$B45&amp;"*",'S4 - Summ PRS Characteristics'!$C$13:$Q$20,13,FALSE)*$J45</f>
        <v>957.65173130695416</v>
      </c>
      <c r="Y45" s="706">
        <f t="shared" si="46"/>
        <v>3387.3482686930456</v>
      </c>
      <c r="Z45" s="706">
        <f>IF($C45="other",(1-$C40)*X45,(1-(VLOOKUP($C45,'S3 - Screening Tool Metrics'!$C$3:$G$17,5,FALSE)/100))*X45)</f>
        <v>287.29551939208631</v>
      </c>
      <c r="AA45" s="706">
        <f>IF($C45="other",$C40*X45,(VLOOKUP($C45,'S3 - Screening Tool Metrics'!$C$3:$G$17,5,FALSE)/100)*X45)</f>
        <v>670.35621191486791</v>
      </c>
      <c r="AB45" s="708">
        <f t="shared" si="40"/>
        <v>15.428221217833554</v>
      </c>
      <c r="AC45" s="706">
        <f t="shared" si="41"/>
        <v>180100.1</v>
      </c>
      <c r="AD45" s="706">
        <f>VLOOKUP("*"&amp;$B45&amp;"*",'S4 - Summ PRS Characteristics'!$C$13:$Q$20,14,FALSE)*$J45</f>
        <v>557.76369340715928</v>
      </c>
      <c r="AE45" s="706">
        <f t="shared" si="48"/>
        <v>3787.2363065928407</v>
      </c>
      <c r="AF45" s="706">
        <f>IF($C45="other",(1-$C40)*AD45,(1-(VLOOKUP($C45,'S3 - Screening Tool Metrics'!$C$3:$G$17,5,FALSE)/100))*AD45)</f>
        <v>167.32910802214781</v>
      </c>
      <c r="AG45" s="706">
        <f>IF($C45="other",$C40*AD45,(VLOOKUP($C45,'S3 - Screening Tool Metrics'!$C$3:$G$17,5,FALSE)/100)*AD45)</f>
        <v>390.43458538501147</v>
      </c>
      <c r="AH45" s="708">
        <f t="shared" si="42"/>
        <v>8.985836257422589</v>
      </c>
      <c r="AI45" s="707">
        <f t="shared" si="43"/>
        <v>36020.020000000004</v>
      </c>
      <c r="AJ45" s="706">
        <f>VLOOKUP("*"&amp;$B45&amp;"*",'S4 - Summ PRS Characteristics'!$C$13:$Q$20,15,FALSE)*$J45</f>
        <v>150.83093352297885</v>
      </c>
      <c r="AK45" s="706">
        <f t="shared" si="47"/>
        <v>4194.1690664770213</v>
      </c>
      <c r="AL45" s="706">
        <f>IF($C45="other",(1-$C40)*AJ45,(1-(VLOOKUP($C45,'S3 - Screening Tool Metrics'!$C$3:$G$17,5,FALSE)/100))*AJ45)</f>
        <v>45.24928005689366</v>
      </c>
      <c r="AM45" s="706">
        <f>IF($C45="other",$C40*AJ45,(VLOOKUP($C45,'S3 - Screening Tool Metrics'!$C$3:$G$17,5,FALSE)/100)*AJ45)</f>
        <v>105.58165346608519</v>
      </c>
      <c r="AN45" s="709">
        <f t="shared" si="44"/>
        <v>2.4299575020963218</v>
      </c>
    </row>
    <row r="46" spans="2:40" x14ac:dyDescent="0.15">
      <c r="B46" s="700" t="s">
        <v>11</v>
      </c>
      <c r="C46" s="721" t="str">
        <f>$C41</f>
        <v>FIT 20-50 µg/g threshold (CRC)</v>
      </c>
      <c r="D46" s="552" t="s">
        <v>197</v>
      </c>
      <c r="E46" s="710">
        <f>VLOOKUP($B46&amp;"_"&amp;$D46,'App5 - CRUK Inci Rates'!C:H,6,FALSE)</f>
        <v>198.3</v>
      </c>
      <c r="F46" s="711">
        <f>VLOOKUP($B46&amp;"_"&amp;$D46,'App5 - CRUK Inci Rates'!C:H,3,FALSE)</f>
        <v>119.1</v>
      </c>
      <c r="G46" s="712">
        <f>VLOOKUP($B46&amp;"_"&amp;$D46,'App5 - CRUK Inci Rates'!C:J,8,FALSE)</f>
        <v>3502183.333333333</v>
      </c>
      <c r="H46" s="713">
        <f>VLOOKUP($B46&amp;"_"&amp;$D46,'App5 - CRUK Inci Rates'!C:J,7,FALSE)</f>
        <v>1696993.3333333333</v>
      </c>
      <c r="I46" s="713">
        <f>VLOOKUP($B46&amp;"_"&amp;$D46,'App5 - CRUK Inci Rates'!C:J,4,FALSE)</f>
        <v>1805190</v>
      </c>
      <c r="J46" s="709">
        <f>VLOOKUP($B46&amp;"_"&amp;$D46,'App5 - CRUK Inci Rates'!C:K,9,FALSE)</f>
        <v>5516</v>
      </c>
      <c r="K46" s="706">
        <f t="shared" si="7"/>
        <v>1751091.6666666665</v>
      </c>
      <c r="L46" s="706">
        <f>VLOOKUP("*"&amp;$B46&amp;"*",'S4 - Summ PRS Characteristics'!$C$13:$Q$20,11,FALSE)*$J46</f>
        <v>3834.8675242934291</v>
      </c>
      <c r="M46" s="706">
        <f t="shared" si="8"/>
        <v>1681.1324757065709</v>
      </c>
      <c r="N46" s="706">
        <f>IF($C46="other",(1-$C$7)*L46,(1-(VLOOKUP($C46,'S3 - Screening Tool Metrics'!$C$3:$G$17,5,FALSE)/100))*L46)</f>
        <v>1150.460257288029</v>
      </c>
      <c r="O46" s="706">
        <f>IF($C46="other",$C$7*L46,(VLOOKUP($C46,'S3 - Screening Tool Metrics'!$C$3:$G$17,5,FALSE)/100)*L46)</f>
        <v>2684.4072670054002</v>
      </c>
      <c r="P46" s="706">
        <f t="shared" si="9"/>
        <v>48.665831526566357</v>
      </c>
      <c r="Q46" s="707">
        <f t="shared" si="37"/>
        <v>700436.66666666663</v>
      </c>
      <c r="R46" s="706">
        <f>VLOOKUP("*"&amp;$B46&amp;"*",'S4 - Summ PRS Characteristics'!$C$13:$Q$20,12,FALSE)*$J46</f>
        <v>2042.9016545684137</v>
      </c>
      <c r="S46" s="706">
        <f t="shared" si="45"/>
        <v>3473.0983454315865</v>
      </c>
      <c r="T46" s="706">
        <f>IF($C46="other",(1-$C40)*R46,(1-(VLOOKUP($C46,'S3 - Screening Tool Metrics'!$C$3:$G$17,5,FALSE)/100))*R46)</f>
        <v>612.87049637052417</v>
      </c>
      <c r="U46" s="706">
        <f>IF($C46="other",$C40*R46,(VLOOKUP($C46,'S3 - Screening Tool Metrics'!$C$3:$G$17,5,FALSE)/100)*R46)</f>
        <v>1430.0311581978895</v>
      </c>
      <c r="V46" s="708">
        <f t="shared" si="38"/>
        <v>25.925147900614387</v>
      </c>
      <c r="W46" s="707">
        <f t="shared" si="39"/>
        <v>350218.33333333331</v>
      </c>
      <c r="X46" s="706">
        <f>VLOOKUP("*"&amp;$B46&amp;"*",'S4 - Summ PRS Characteristics'!$C$13:$Q$20,13,FALSE)*$J46</f>
        <v>1215.743831965284</v>
      </c>
      <c r="Y46" s="706">
        <f t="shared" si="46"/>
        <v>4300.2561680347162</v>
      </c>
      <c r="Z46" s="706">
        <f>IF($C46="other",(1-$C40)*X46,(1-(VLOOKUP($C46,'S3 - Screening Tool Metrics'!$C$3:$G$17,5,FALSE)/100))*X46)</f>
        <v>364.72314958958526</v>
      </c>
      <c r="AA46" s="706">
        <f>IF($C46="other",$C40*X46,(VLOOKUP($C46,'S3 - Screening Tool Metrics'!$C$3:$G$17,5,FALSE)/100)*X46)</f>
        <v>851.02068237569881</v>
      </c>
      <c r="AB46" s="708">
        <f t="shared" si="40"/>
        <v>15.428221217833554</v>
      </c>
      <c r="AC46" s="706">
        <f t="shared" si="41"/>
        <v>175109.16666666666</v>
      </c>
      <c r="AD46" s="706">
        <f>VLOOKUP("*"&amp;$B46&amp;"*",'S4 - Summ PRS Characteristics'!$C$13:$Q$20,14,FALSE)*$J46</f>
        <v>708.08389708489995</v>
      </c>
      <c r="AE46" s="706">
        <f t="shared" si="48"/>
        <v>4807.9161029151001</v>
      </c>
      <c r="AF46" s="706">
        <f>IF($C46="other",(1-$C40)*AD46,(1-(VLOOKUP($C46,'S3 - Screening Tool Metrics'!$C$3:$G$17,5,FALSE)/100))*AD46)</f>
        <v>212.42516912547001</v>
      </c>
      <c r="AG46" s="706">
        <f>IF($C46="other",$C40*AD46,(VLOOKUP($C46,'S3 - Screening Tool Metrics'!$C$3:$G$17,5,FALSE)/100)*AD46)</f>
        <v>495.65872795942994</v>
      </c>
      <c r="AH46" s="708">
        <f t="shared" si="42"/>
        <v>8.9858362574225872</v>
      </c>
      <c r="AI46" s="707">
        <f t="shared" si="43"/>
        <v>35021.833333333328</v>
      </c>
      <c r="AJ46" s="706">
        <f>VLOOKUP("*"&amp;$B46&amp;"*",'S4 - Summ PRS Characteristics'!$C$13:$Q$20,15,FALSE)*$J46</f>
        <v>191.48065116519018</v>
      </c>
      <c r="AK46" s="706">
        <f t="shared" si="47"/>
        <v>5324.5193488348095</v>
      </c>
      <c r="AL46" s="706">
        <f>IF($C46="other",(1-$C40)*AJ46,(1-(VLOOKUP($C46,'S3 - Screening Tool Metrics'!$C$3:$G$17,5,FALSE)/100))*AJ46)</f>
        <v>57.444195349557063</v>
      </c>
      <c r="AM46" s="706">
        <f>IF($C46="other",$C40*AJ46,(VLOOKUP($C46,'S3 - Screening Tool Metrics'!$C$3:$G$17,5,FALSE)/100)*AJ46)</f>
        <v>134.03645581563313</v>
      </c>
      <c r="AN46" s="709">
        <f t="shared" si="44"/>
        <v>2.4299575020963222</v>
      </c>
    </row>
    <row r="47" spans="2:40" x14ac:dyDescent="0.15">
      <c r="B47" s="700" t="s">
        <v>11</v>
      </c>
      <c r="C47" s="721" t="str">
        <f>$C41</f>
        <v>FIT 20-50 µg/g threshold (CRC)</v>
      </c>
      <c r="D47" s="552" t="s">
        <v>198</v>
      </c>
      <c r="E47" s="710">
        <f>VLOOKUP($B47&amp;"_"&amp;$D47,'App5 - CRUK Inci Rates'!C:H,6,FALSE)</f>
        <v>273.5</v>
      </c>
      <c r="F47" s="711">
        <f>VLOOKUP($B47&amp;"_"&amp;$D47,'App5 - CRUK Inci Rates'!C:H,3,FALSE)</f>
        <v>171.2</v>
      </c>
      <c r="G47" s="712">
        <f>VLOOKUP($B47&amp;"_"&amp;$D47,'App5 - CRUK Inci Rates'!C:J,8,FALSE)</f>
        <v>3071574.666666667</v>
      </c>
      <c r="H47" s="713">
        <f>VLOOKUP($B47&amp;"_"&amp;$D47,'App5 - CRUK Inci Rates'!C:J,7,FALSE)</f>
        <v>1467965</v>
      </c>
      <c r="I47" s="713">
        <f>VLOOKUP($B47&amp;"_"&amp;$D47,'App5 - CRUK Inci Rates'!C:J,4,FALSE)</f>
        <v>1603609.6666666667</v>
      </c>
      <c r="J47" s="709">
        <f>VLOOKUP($B47&amp;"_"&amp;$D47,'App5 - CRUK Inci Rates'!C:K,9,FALSE)</f>
        <v>6760</v>
      </c>
      <c r="K47" s="706">
        <f t="shared" si="7"/>
        <v>1535787.3333333335</v>
      </c>
      <c r="L47" s="706">
        <f>VLOOKUP("*"&amp;$B47&amp;"*",'S4 - Summ PRS Characteristics'!$C$13:$Q$20,11,FALSE)*$J47</f>
        <v>4699.7288731369799</v>
      </c>
      <c r="M47" s="706">
        <f t="shared" si="8"/>
        <v>2060.2711268630201</v>
      </c>
      <c r="N47" s="706">
        <f>IF($C47="other",(1-$C$7)*L47,(1-(VLOOKUP($C47,'S3 - Screening Tool Metrics'!$C$3:$G$17,5,FALSE)/100))*L47)</f>
        <v>1409.9186619410941</v>
      </c>
      <c r="O47" s="706">
        <f>IF($C47="other",$C$7*L47,(VLOOKUP($C47,'S3 - Screening Tool Metrics'!$C$3:$G$17,5,FALSE)/100)*L47)</f>
        <v>3289.8102111958856</v>
      </c>
      <c r="P47" s="706">
        <f t="shared" si="9"/>
        <v>48.665831526566357</v>
      </c>
      <c r="Q47" s="707">
        <f t="shared" si="37"/>
        <v>614314.93333333347</v>
      </c>
      <c r="R47" s="706">
        <f>VLOOKUP("*"&amp;$B47&amp;"*",'S4 - Summ PRS Characteristics'!$C$13:$Q$20,12,FALSE)*$J47</f>
        <v>2503.6285686879037</v>
      </c>
      <c r="S47" s="706">
        <f t="shared" si="45"/>
        <v>4256.3714313120963</v>
      </c>
      <c r="T47" s="706">
        <f>IF($C47="other",(1-$C40)*R47,(1-(VLOOKUP($C47,'S3 - Screening Tool Metrics'!$C$3:$G$17,5,FALSE)/100))*R47)</f>
        <v>751.08857060637126</v>
      </c>
      <c r="U47" s="706">
        <f>IF($C47="other",$C40*R47,(VLOOKUP($C47,'S3 - Screening Tool Metrics'!$C$3:$G$17,5,FALSE)/100)*R47)</f>
        <v>1752.5399980815325</v>
      </c>
      <c r="V47" s="708">
        <f t="shared" si="38"/>
        <v>25.925147900614387</v>
      </c>
      <c r="W47" s="707">
        <f t="shared" si="39"/>
        <v>307157.46666666673</v>
      </c>
      <c r="X47" s="706">
        <f>VLOOKUP("*"&amp;$B47&amp;"*",'S4 - Summ PRS Characteristics'!$C$13:$Q$20,13,FALSE)*$J47</f>
        <v>1489.9253633222118</v>
      </c>
      <c r="Y47" s="706">
        <f t="shared" si="46"/>
        <v>5270.0746366777885</v>
      </c>
      <c r="Z47" s="706">
        <f>IF($C47="other",(1-$C40)*X47,(1-(VLOOKUP($C47,'S3 - Screening Tool Metrics'!$C$3:$G$17,5,FALSE)/100))*X47)</f>
        <v>446.97760899666361</v>
      </c>
      <c r="AA47" s="706">
        <f>IF($C47="other",$C40*X47,(VLOOKUP($C47,'S3 - Screening Tool Metrics'!$C$3:$G$17,5,FALSE)/100)*X47)</f>
        <v>1042.9477543255482</v>
      </c>
      <c r="AB47" s="708">
        <f t="shared" si="40"/>
        <v>15.428221217833554</v>
      </c>
      <c r="AC47" s="706">
        <f t="shared" si="41"/>
        <v>153578.73333333337</v>
      </c>
      <c r="AD47" s="706">
        <f>VLOOKUP("*"&amp;$B47&amp;"*",'S4 - Summ PRS Characteristics'!$C$13:$Q$20,14,FALSE)*$J47</f>
        <v>867.77504428823852</v>
      </c>
      <c r="AE47" s="706">
        <f t="shared" si="48"/>
        <v>5892.2249557117611</v>
      </c>
      <c r="AF47" s="706">
        <f>IF($C47="other",(1-$C40)*AD47,(1-(VLOOKUP($C47,'S3 - Screening Tool Metrics'!$C$3:$G$17,5,FALSE)/100))*AD47)</f>
        <v>260.33251328647157</v>
      </c>
      <c r="AG47" s="706">
        <f>IF($C47="other",$C40*AD47,(VLOOKUP($C47,'S3 - Screening Tool Metrics'!$C$3:$G$17,5,FALSE)/100)*AD47)</f>
        <v>607.44253100176695</v>
      </c>
      <c r="AH47" s="708">
        <f t="shared" si="42"/>
        <v>8.985836257422589</v>
      </c>
      <c r="AI47" s="707">
        <f t="shared" si="43"/>
        <v>30715.74666666667</v>
      </c>
      <c r="AJ47" s="706">
        <f>VLOOKUP("*"&amp;$B47&amp;"*",'S4 - Summ PRS Characteristics'!$C$13:$Q$20,15,FALSE)*$J47</f>
        <v>234.66446734530197</v>
      </c>
      <c r="AK47" s="706">
        <f t="shared" si="47"/>
        <v>6525.335532654698</v>
      </c>
      <c r="AL47" s="706">
        <f>IF($C47="other",(1-$C40)*AJ47,(1-(VLOOKUP($C47,'S3 - Screening Tool Metrics'!$C$3:$G$17,5,FALSE)/100))*AJ47)</f>
        <v>70.399340203590597</v>
      </c>
      <c r="AM47" s="706">
        <f>IF($C47="other",$C40*AJ47,(VLOOKUP($C47,'S3 - Screening Tool Metrics'!$C$3:$G$17,5,FALSE)/100)*AJ47)</f>
        <v>164.26512714171136</v>
      </c>
      <c r="AN47" s="709">
        <f t="shared" si="44"/>
        <v>2.4299575020963218</v>
      </c>
    </row>
    <row r="48" spans="2:40" x14ac:dyDescent="0.15">
      <c r="B48" s="700" t="s">
        <v>11</v>
      </c>
      <c r="C48" s="721" t="str">
        <f>$C41</f>
        <v>FIT 20-50 µg/g threshold (CRC)</v>
      </c>
      <c r="D48" s="552" t="s">
        <v>199</v>
      </c>
      <c r="E48" s="710">
        <f>VLOOKUP($B48&amp;"_"&amp;$D48,'App5 - CRUK Inci Rates'!C:H,6,FALSE)</f>
        <v>351.7</v>
      </c>
      <c r="F48" s="711">
        <f>VLOOKUP($B48&amp;"_"&amp;$D48,'App5 - CRUK Inci Rates'!C:H,3,FALSE)</f>
        <v>234.8</v>
      </c>
      <c r="G48" s="712">
        <f>VLOOKUP($B48&amp;"_"&amp;$D48,'App5 - CRUK Inci Rates'!C:J,8,FALSE)</f>
        <v>2189010.6666666665</v>
      </c>
      <c r="H48" s="713">
        <f>VLOOKUP($B48&amp;"_"&amp;$D48,'App5 - CRUK Inci Rates'!C:J,7,FALSE)</f>
        <v>1007365.3333333334</v>
      </c>
      <c r="I48" s="713">
        <f>VLOOKUP($B48&amp;"_"&amp;$D48,'App5 - CRUK Inci Rates'!C:J,4,FALSE)</f>
        <v>1181645.3333333333</v>
      </c>
      <c r="J48" s="709">
        <f>VLOOKUP($B48&amp;"_"&amp;$D48,'App5 - CRUK Inci Rates'!C:K,9,FALSE)</f>
        <v>6318</v>
      </c>
      <c r="K48" s="706">
        <f t="shared" si="7"/>
        <v>1094505.3333333333</v>
      </c>
      <c r="L48" s="706">
        <f>VLOOKUP("*"&amp;$B48&amp;"*",'S4 - Summ PRS Characteristics'!$C$13:$Q$20,11,FALSE)*$J48</f>
        <v>4392.4389083549468</v>
      </c>
      <c r="M48" s="706">
        <f t="shared" si="8"/>
        <v>1925.5610916450532</v>
      </c>
      <c r="N48" s="706">
        <f>IF($C48="other",(1-$C$7)*L48,(1-(VLOOKUP($C48,'S3 - Screening Tool Metrics'!$C$3:$G$17,5,FALSE)/100))*L48)</f>
        <v>1317.7316725064843</v>
      </c>
      <c r="O48" s="706">
        <f>IF($C48="other",$C$7*L48,(VLOOKUP($C48,'S3 - Screening Tool Metrics'!$C$3:$G$17,5,FALSE)/100)*L48)</f>
        <v>3074.7072358484625</v>
      </c>
      <c r="P48" s="706">
        <f t="shared" si="9"/>
        <v>48.665831526566357</v>
      </c>
      <c r="Q48" s="707">
        <f t="shared" si="37"/>
        <v>437802.1333333333</v>
      </c>
      <c r="R48" s="706">
        <f>VLOOKUP("*"&amp;$B48&amp;"*",'S4 - Summ PRS Characteristics'!$C$13:$Q$20,12,FALSE)*$J48</f>
        <v>2339.9297776583098</v>
      </c>
      <c r="S48" s="706">
        <f t="shared" si="45"/>
        <v>3978.0702223416902</v>
      </c>
      <c r="T48" s="706">
        <f>IF($C48="other",(1-$C40)*R48,(1-(VLOOKUP($C48,'S3 - Screening Tool Metrics'!$C$3:$G$17,5,FALSE)/100))*R48)</f>
        <v>701.97893329749309</v>
      </c>
      <c r="U48" s="706">
        <f>IF($C48="other",$C40*R48,(VLOOKUP($C48,'S3 - Screening Tool Metrics'!$C$3:$G$17,5,FALSE)/100)*R48)</f>
        <v>1637.9508443608167</v>
      </c>
      <c r="V48" s="708">
        <f t="shared" si="38"/>
        <v>25.92514790061438</v>
      </c>
      <c r="W48" s="707">
        <f t="shared" si="39"/>
        <v>218901.06666666665</v>
      </c>
      <c r="X48" s="706">
        <f>VLOOKUP("*"&amp;$B48&amp;"*",'S4 - Summ PRS Characteristics'!$C$13:$Q$20,13,FALSE)*$J48</f>
        <v>1392.5071664896057</v>
      </c>
      <c r="Y48" s="706">
        <f t="shared" si="46"/>
        <v>4925.4928335103941</v>
      </c>
      <c r="Z48" s="706">
        <f>IF($C48="other",(1-$C40)*X48,(1-(VLOOKUP($C48,'S3 - Screening Tool Metrics'!$C$3:$G$17,5,FALSE)/100))*X48)</f>
        <v>417.75214994688173</v>
      </c>
      <c r="AA48" s="706">
        <f>IF($C48="other",$C40*X48,(VLOOKUP($C48,'S3 - Screening Tool Metrics'!$C$3:$G$17,5,FALSE)/100)*X48)</f>
        <v>974.75501654272387</v>
      </c>
      <c r="AB48" s="708">
        <f t="shared" si="40"/>
        <v>15.428221217833551</v>
      </c>
      <c r="AC48" s="706">
        <f t="shared" si="41"/>
        <v>109450.53333333333</v>
      </c>
      <c r="AD48" s="706">
        <f>VLOOKUP("*"&amp;$B48&amp;"*",'S4 - Summ PRS Characteristics'!$C$13:$Q$20,14,FALSE)*$J48</f>
        <v>811.03590677708451</v>
      </c>
      <c r="AE48" s="706">
        <f t="shared" si="48"/>
        <v>5506.9640932229158</v>
      </c>
      <c r="AF48" s="706">
        <f>IF($C48="other",(1-$C40)*AD48,(1-(VLOOKUP($C48,'S3 - Screening Tool Metrics'!$C$3:$G$17,5,FALSE)/100))*AD48)</f>
        <v>243.31077203312537</v>
      </c>
      <c r="AG48" s="706">
        <f>IF($C48="other",$C40*AD48,(VLOOKUP($C48,'S3 - Screening Tool Metrics'!$C$3:$G$17,5,FALSE)/100)*AD48)</f>
        <v>567.72513474395907</v>
      </c>
      <c r="AH48" s="708">
        <f t="shared" si="42"/>
        <v>8.9858362574225872</v>
      </c>
      <c r="AI48" s="707">
        <f t="shared" si="43"/>
        <v>21890.106666666667</v>
      </c>
      <c r="AJ48" s="706">
        <f>VLOOKUP("*"&amp;$B48&amp;"*",'S4 - Summ PRS Characteristics'!$C$13:$Q$20,15,FALSE)*$J48</f>
        <v>219.32102140349375</v>
      </c>
      <c r="AK48" s="706">
        <f t="shared" si="47"/>
        <v>6098.6789785965066</v>
      </c>
      <c r="AL48" s="706">
        <f>IF($C48="other",(1-$C40)*AJ48,(1-(VLOOKUP($C48,'S3 - Screening Tool Metrics'!$C$3:$G$17,5,FALSE)/100))*AJ48)</f>
        <v>65.796306421048129</v>
      </c>
      <c r="AM48" s="706">
        <f>IF($C48="other",$C40*AJ48,(VLOOKUP($C48,'S3 - Screening Tool Metrics'!$C$3:$G$17,5,FALSE)/100)*AJ48)</f>
        <v>153.5247149824456</v>
      </c>
      <c r="AN48" s="709">
        <f t="shared" si="44"/>
        <v>2.4299575020963218</v>
      </c>
    </row>
    <row r="49" spans="2:40" x14ac:dyDescent="0.15">
      <c r="B49" s="700" t="s">
        <v>11</v>
      </c>
      <c r="C49" s="721" t="str">
        <f>$C41</f>
        <v>FIT 20-50 µg/g threshold (CRC)</v>
      </c>
      <c r="D49" s="552" t="s">
        <v>200</v>
      </c>
      <c r="E49" s="710">
        <f>VLOOKUP($B49&amp;"_"&amp;$D49,'App5 - CRUK Inci Rates'!C:H,6,FALSE)</f>
        <v>80.808733585157356</v>
      </c>
      <c r="F49" s="711">
        <f>VLOOKUP($B49&amp;"_"&amp;$D49,'App5 - CRUK Inci Rates'!C:H,3,FALSE)</f>
        <v>54.095614158070582</v>
      </c>
      <c r="G49" s="712">
        <f>VLOOKUP($B49&amp;"_"&amp;$D49,'App5 - CRUK Inci Rates'!C:J,8,FALSE)</f>
        <v>24586669.333333336</v>
      </c>
      <c r="H49" s="713">
        <f>VLOOKUP($B49&amp;"_"&amp;$D49,'App5 - CRUK Inci Rates'!C:J,7,FALSE)</f>
        <v>12090277.333333334</v>
      </c>
      <c r="I49" s="713">
        <f>VLOOKUP($B49&amp;"_"&amp;$D49,'App5 - CRUK Inci Rates'!C:J,4,FALSE)</f>
        <v>12496392</v>
      </c>
      <c r="J49" s="709">
        <f>VLOOKUP($B49&amp;"_"&amp;$D49,'App5 - CRUK Inci Rates'!C:K,9,FALSE)</f>
        <v>16530</v>
      </c>
      <c r="K49" s="706">
        <f t="shared" si="7"/>
        <v>12293334.666666668</v>
      </c>
      <c r="L49" s="706">
        <f>VLOOKUP("*"&amp;$B49&amp;"*",'S4 - Summ PRS Characteristics'!$C$13:$Q$20,11,FALSE)*$J49</f>
        <v>11492.088501916312</v>
      </c>
      <c r="M49" s="706">
        <f t="shared" si="8"/>
        <v>5037.9114980836875</v>
      </c>
      <c r="N49" s="706">
        <f>IF($C49="other",(1-$C$7)*L49,(1-(VLOOKUP($C49,'S3 - Screening Tool Metrics'!$C$3:$G$17,5,FALSE)/100))*L49)</f>
        <v>3447.6265505748943</v>
      </c>
      <c r="O49" s="706">
        <f>IF($C49="other",$C$7*L49,(VLOOKUP($C49,'S3 - Screening Tool Metrics'!$C$3:$G$17,5,FALSE)/100)*L49)</f>
        <v>8044.4619513414182</v>
      </c>
      <c r="P49" s="706">
        <f t="shared" si="9"/>
        <v>48.665831526566357</v>
      </c>
      <c r="Q49" s="707">
        <f t="shared" si="37"/>
        <v>4917333.8666666672</v>
      </c>
      <c r="R49" s="706">
        <f>VLOOKUP("*"&amp;$B49&amp;"*",'S4 - Summ PRS Characteristics'!$C$13:$Q$20,12,FALSE)*$J49</f>
        <v>6122.0384971022258</v>
      </c>
      <c r="S49" s="706">
        <f t="shared" si="45"/>
        <v>10407.961502897775</v>
      </c>
      <c r="T49" s="706">
        <f>IF($C49="other",(1-$C40)*R49,(1-(VLOOKUP($C49,'S3 - Screening Tool Metrics'!$C$3:$G$17,5,FALSE)/100))*R49)</f>
        <v>1836.611549130668</v>
      </c>
      <c r="U49" s="706">
        <f>IF($C49="other",$C40*R49,(VLOOKUP($C49,'S3 - Screening Tool Metrics'!$C$3:$G$17,5,FALSE)/100)*R49)</f>
        <v>4285.4269479715576</v>
      </c>
      <c r="V49" s="708">
        <f t="shared" si="38"/>
        <v>25.92514790061438</v>
      </c>
      <c r="W49" s="707">
        <f t="shared" si="39"/>
        <v>2458666.9333333336</v>
      </c>
      <c r="X49" s="706">
        <f>VLOOKUP("*"&amp;$B49&amp;"*",'S4 - Summ PRS Characteristics'!$C$13:$Q$20,13,FALSE)*$J49</f>
        <v>3643.2642390112665</v>
      </c>
      <c r="Y49" s="706">
        <f t="shared" si="46"/>
        <v>12886.735760988733</v>
      </c>
      <c r="Z49" s="706">
        <f>IF($C49="other",(1-$C40)*X49,(1-(VLOOKUP($C49,'S3 - Screening Tool Metrics'!$C$3:$G$17,5,FALSE)/100))*X49)</f>
        <v>1092.9792717033802</v>
      </c>
      <c r="AA49" s="706">
        <f>IF($C49="other",$C40*X49,(VLOOKUP($C49,'S3 - Screening Tool Metrics'!$C$3:$G$17,5,FALSE)/100)*X49)</f>
        <v>2550.2849673078863</v>
      </c>
      <c r="AB49" s="708">
        <f t="shared" si="40"/>
        <v>15.428221217833551</v>
      </c>
      <c r="AC49" s="706">
        <f t="shared" si="41"/>
        <v>1229333.4666666668</v>
      </c>
      <c r="AD49" s="706">
        <f>VLOOKUP("*"&amp;$B49&amp;"*",'S4 - Summ PRS Characteristics'!$C$13:$Q$20,14,FALSE)*$J49</f>
        <v>2121.9410476456483</v>
      </c>
      <c r="AE49" s="706">
        <f t="shared" si="48"/>
        <v>14408.058952354351</v>
      </c>
      <c r="AF49" s="706">
        <f>IF($C49="other",(1-$C40)*AD49,(1-(VLOOKUP($C49,'S3 - Screening Tool Metrics'!$C$3:$G$17,5,FALSE)/100))*AD49)</f>
        <v>636.58231429369459</v>
      </c>
      <c r="AG49" s="706">
        <f>IF($C49="other",$C40*AD49,(VLOOKUP($C49,'S3 - Screening Tool Metrics'!$C$3:$G$17,5,FALSE)/100)*AD49)</f>
        <v>1485.3587333519538</v>
      </c>
      <c r="AH49" s="708">
        <f t="shared" si="42"/>
        <v>8.985836257422589</v>
      </c>
      <c r="AI49" s="707">
        <f t="shared" si="43"/>
        <v>245866.69333333336</v>
      </c>
      <c r="AJ49" s="706">
        <f>VLOOKUP("*"&amp;$B49&amp;"*",'S4 - Summ PRS Characteristics'!$C$13:$Q$20,15,FALSE)*$J49</f>
        <v>573.81710728074574</v>
      </c>
      <c r="AK49" s="706">
        <f t="shared" si="47"/>
        <v>15956.182892719255</v>
      </c>
      <c r="AL49" s="706">
        <f>IF($C49="other",(1-$C40)*AJ49,(1-(VLOOKUP($C49,'S3 - Screening Tool Metrics'!$C$3:$G$17,5,FALSE)/100))*AJ49)</f>
        <v>172.14513218422374</v>
      </c>
      <c r="AM49" s="706">
        <f>IF($C49="other",$C40*AJ49,(VLOOKUP($C49,'S3 - Screening Tool Metrics'!$C$3:$G$17,5,FALSE)/100)*AJ49)</f>
        <v>401.67197509652198</v>
      </c>
      <c r="AN49" s="709">
        <f t="shared" si="44"/>
        <v>2.4299575020963218</v>
      </c>
    </row>
    <row r="50" spans="2:40" x14ac:dyDescent="0.15">
      <c r="B50" s="700" t="s">
        <v>11</v>
      </c>
      <c r="C50" s="721" t="str">
        <f>$C41</f>
        <v>FIT 20-50 µg/g threshold (CRC)</v>
      </c>
      <c r="D50" s="552" t="s">
        <v>201</v>
      </c>
      <c r="E50" s="710">
        <f>VLOOKUP($B50&amp;"_"&amp;$D50,'App5 - CRUK Inci Rates'!C:H,6,FALSE)</f>
        <v>19.704826996143439</v>
      </c>
      <c r="F50" s="711">
        <f>VLOOKUP($B50&amp;"_"&amp;$D50,'App5 - CRUK Inci Rates'!C:H,3,FALSE)</f>
        <v>17.735760510936363</v>
      </c>
      <c r="G50" s="712">
        <f>VLOOKUP($B50&amp;"_"&amp;$D50,'App5 - CRUK Inci Rates'!C:J,8,FALSE)</f>
        <v>8642767.333333334</v>
      </c>
      <c r="H50" s="713">
        <f>VLOOKUP($B50&amp;"_"&amp;$D50,'App5 - CRUK Inci Rates'!C:J,7,FALSE)</f>
        <v>4273064.666666667</v>
      </c>
      <c r="I50" s="713">
        <f>VLOOKUP($B50&amp;"_"&amp;$D50,'App5 - CRUK Inci Rates'!C:J,4,FALSE)</f>
        <v>4369702.666666667</v>
      </c>
      <c r="J50" s="709">
        <f>VLOOKUP($B50&amp;"_"&amp;$D50,'App5 - CRUK Inci Rates'!C:K,9,FALSE)</f>
        <v>1617</v>
      </c>
      <c r="K50" s="706">
        <f t="shared" si="7"/>
        <v>4321383.666666667</v>
      </c>
      <c r="L50" s="706">
        <f>VLOOKUP("*"&amp;$B50&amp;"*",'S4 - Summ PRS Characteristics'!$C$13:$Q$20,11,FALSE)*$J50</f>
        <v>1124.1807082636828</v>
      </c>
      <c r="M50" s="706">
        <f t="shared" si="8"/>
        <v>492.81929173631715</v>
      </c>
      <c r="N50" s="706">
        <f>IF($C50="other",(1-$C$7)*L50,(1-(VLOOKUP($C50,'S3 - Screening Tool Metrics'!$C$3:$G$17,5,FALSE)/100))*L50)</f>
        <v>337.25421247910492</v>
      </c>
      <c r="O50" s="706">
        <f>IF($C50="other",$C$7*L50,(VLOOKUP($C50,'S3 - Screening Tool Metrics'!$C$3:$G$17,5,FALSE)/100)*L50)</f>
        <v>786.92649578457792</v>
      </c>
      <c r="P50" s="706">
        <f t="shared" si="9"/>
        <v>48.665831526566357</v>
      </c>
      <c r="Q50" s="707">
        <f t="shared" si="37"/>
        <v>1728553.4666666668</v>
      </c>
      <c r="R50" s="706">
        <f>VLOOKUP("*"&amp;$B50&amp;"*",'S4 - Summ PRS Characteristics'!$C$13:$Q$20,12,FALSE)*$J50</f>
        <v>598.87091650419234</v>
      </c>
      <c r="S50" s="706">
        <f t="shared" si="45"/>
        <v>1018.1290834958077</v>
      </c>
      <c r="T50" s="706">
        <f>IF($C50="other",(1-$C40)*R50,(1-(VLOOKUP($C50,'S3 - Screening Tool Metrics'!$C$3:$G$17,5,FALSE)/100))*R50)</f>
        <v>179.66127495125772</v>
      </c>
      <c r="U50" s="706">
        <f>IF($C50="other",$C40*R50,(VLOOKUP($C50,'S3 - Screening Tool Metrics'!$C$3:$G$17,5,FALSE)/100)*R50)</f>
        <v>419.20964155293461</v>
      </c>
      <c r="V50" s="708">
        <f t="shared" si="38"/>
        <v>25.925147900614387</v>
      </c>
      <c r="W50" s="707">
        <f t="shared" si="39"/>
        <v>864276.7333333334</v>
      </c>
      <c r="X50" s="706">
        <f>VLOOKUP("*"&amp;$B50&amp;"*",'S4 - Summ PRS Characteristics'!$C$13:$Q$20,13,FALSE)*$J50</f>
        <v>356.39191013195511</v>
      </c>
      <c r="Y50" s="706">
        <f t="shared" si="46"/>
        <v>1260.6080898680448</v>
      </c>
      <c r="Z50" s="706">
        <f>IF($C50="other",(1-$C40)*X50,(1-(VLOOKUP($C50,'S3 - Screening Tool Metrics'!$C$3:$G$17,5,FALSE)/100))*X50)</f>
        <v>106.91757303958656</v>
      </c>
      <c r="AA50" s="706">
        <f>IF($C50="other",$C40*X50,(VLOOKUP($C50,'S3 - Screening Tool Metrics'!$C$3:$G$17,5,FALSE)/100)*X50)</f>
        <v>249.47433709236856</v>
      </c>
      <c r="AB50" s="708">
        <f t="shared" si="40"/>
        <v>15.428221217833554</v>
      </c>
      <c r="AC50" s="706">
        <f t="shared" si="41"/>
        <v>432138.3666666667</v>
      </c>
      <c r="AD50" s="706">
        <f>VLOOKUP("*"&amp;$B50&amp;"*",'S4 - Summ PRS Characteristics'!$C$13:$Q$20,14,FALSE)*$J50</f>
        <v>207.57281754646178</v>
      </c>
      <c r="AE50" s="706">
        <f t="shared" si="48"/>
        <v>1409.4271824535383</v>
      </c>
      <c r="AF50" s="706">
        <f>IF($C50="other",(1-$C40)*AD50,(1-(VLOOKUP($C50,'S3 - Screening Tool Metrics'!$C$3:$G$17,5,FALSE)/100))*AD50)</f>
        <v>62.271845263938545</v>
      </c>
      <c r="AG50" s="706">
        <f>IF($C50="other",$C40*AD50,(VLOOKUP($C50,'S3 - Screening Tool Metrics'!$C$3:$G$17,5,FALSE)/100)*AD50)</f>
        <v>145.30097228252325</v>
      </c>
      <c r="AH50" s="708">
        <f t="shared" si="42"/>
        <v>8.985836257422589</v>
      </c>
      <c r="AI50" s="707">
        <f t="shared" si="43"/>
        <v>86427.67333333334</v>
      </c>
      <c r="AJ50" s="706">
        <f>VLOOKUP("*"&amp;$B50&amp;"*",'S4 - Summ PRS Characteristics'!$C$13:$Q$20,15,FALSE)*$J50</f>
        <v>56.132018298425038</v>
      </c>
      <c r="AK50" s="706">
        <f t="shared" si="47"/>
        <v>1560.867981701575</v>
      </c>
      <c r="AL50" s="706">
        <f>IF($C50="other",(1-$C40)*AJ50,(1-(VLOOKUP($C50,'S3 - Screening Tool Metrics'!$C$3:$G$17,5,FALSE)/100))*AJ50)</f>
        <v>16.839605489527514</v>
      </c>
      <c r="AM50" s="706">
        <f>IF($C50="other",$C40*AJ50,(VLOOKUP($C50,'S3 - Screening Tool Metrics'!$C$3:$G$17,5,FALSE)/100)*AJ50)</f>
        <v>39.292412808897524</v>
      </c>
      <c r="AN50" s="709">
        <f t="shared" si="44"/>
        <v>2.4299575020963218</v>
      </c>
    </row>
    <row r="51" spans="2:40" x14ac:dyDescent="0.15">
      <c r="B51" s="700" t="s">
        <v>11</v>
      </c>
      <c r="C51" s="721" t="str">
        <f>$C41</f>
        <v>FIT 20-50 µg/g threshold (CRC)</v>
      </c>
      <c r="D51" s="552" t="s">
        <v>202</v>
      </c>
      <c r="E51" s="710">
        <f>VLOOKUP($B51&amp;"_"&amp;$D51,'App5 - CRUK Inci Rates'!C:H,6,FALSE)</f>
        <v>66.354542653419429</v>
      </c>
      <c r="F51" s="711">
        <f>VLOOKUP($B51&amp;"_"&amp;$D51,'App5 - CRUK Inci Rates'!C:H,3,FALSE)</f>
        <v>48.212380665809548</v>
      </c>
      <c r="G51" s="712">
        <f>VLOOKUP($B51&amp;"_"&amp;$D51,'App5 - CRUK Inci Rates'!C:J,8,FALSE)</f>
        <v>8839716.6666666679</v>
      </c>
      <c r="H51" s="713">
        <f>VLOOKUP($B51&amp;"_"&amp;$D51,'App5 - CRUK Inci Rates'!C:J,7,FALSE)</f>
        <v>4355391.333333333</v>
      </c>
      <c r="I51" s="713">
        <f>VLOOKUP($B51&amp;"_"&amp;$D51,'App5 - CRUK Inci Rates'!C:J,4,FALSE)</f>
        <v>4484325.333333334</v>
      </c>
      <c r="J51" s="709">
        <f>VLOOKUP($B51&amp;"_"&amp;$D51,'App5 - CRUK Inci Rates'!C:K,9,FALSE)</f>
        <v>5052</v>
      </c>
      <c r="K51" s="706">
        <f t="shared" si="7"/>
        <v>4419858.333333334</v>
      </c>
      <c r="L51" s="706">
        <f>VLOOKUP("*"&amp;$B51&amp;"*",'S4 - Summ PRS Characteristics'!$C$13:$Q$20,11,FALSE)*$J51</f>
        <v>3512.2825838887607</v>
      </c>
      <c r="M51" s="706">
        <f t="shared" si="8"/>
        <v>1539.7174161112393</v>
      </c>
      <c r="N51" s="706">
        <f>IF($C51="other",(1-$C$7)*L51,(1-(VLOOKUP($C51,'S3 - Screening Tool Metrics'!$C$3:$G$17,5,FALSE)/100))*L51)</f>
        <v>1053.6847751666282</v>
      </c>
      <c r="O51" s="706">
        <f>IF($C51="other",$C$7*L51,(VLOOKUP($C51,'S3 - Screening Tool Metrics'!$C$3:$G$17,5,FALSE)/100)*L51)</f>
        <v>2458.5978087221324</v>
      </c>
      <c r="P51" s="706">
        <f t="shared" si="9"/>
        <v>48.665831526566357</v>
      </c>
      <c r="Q51" s="707">
        <f t="shared" si="37"/>
        <v>1767943.3333333337</v>
      </c>
      <c r="R51" s="706">
        <f>VLOOKUP("*"&amp;$B51&amp;"*",'S4 - Summ PRS Characteristics'!$C$13:$Q$20,12,FALSE)*$J51</f>
        <v>1871.0549599129126</v>
      </c>
      <c r="S51" s="706">
        <f t="shared" si="45"/>
        <v>3180.9450400870874</v>
      </c>
      <c r="T51" s="706">
        <f>IF($C51="other",(1-$C40)*R51,(1-(VLOOKUP($C51,'S3 - Screening Tool Metrics'!$C$3:$G$17,5,FALSE)/100))*R51)</f>
        <v>561.3164879738739</v>
      </c>
      <c r="U51" s="706">
        <f>IF($C51="other",$C40*R51,(VLOOKUP($C51,'S3 - Screening Tool Metrics'!$C$3:$G$17,5,FALSE)/100)*R51)</f>
        <v>1309.7384719390388</v>
      </c>
      <c r="V51" s="708">
        <f t="shared" si="38"/>
        <v>25.925147900614387</v>
      </c>
      <c r="W51" s="707">
        <f t="shared" si="39"/>
        <v>883971.66666666686</v>
      </c>
      <c r="X51" s="706">
        <f>VLOOKUP("*"&amp;$B51&amp;"*",'S4 - Summ PRS Characteristics'!$C$13:$Q$20,13,FALSE)*$J51</f>
        <v>1113.476765607073</v>
      </c>
      <c r="Y51" s="706">
        <f t="shared" si="46"/>
        <v>3938.523234392927</v>
      </c>
      <c r="Z51" s="706">
        <f>IF($C51="other",(1-$C40)*X51,(1-(VLOOKUP($C51,'S3 - Screening Tool Metrics'!$C$3:$G$17,5,FALSE)/100))*X51)</f>
        <v>334.04302968212198</v>
      </c>
      <c r="AA51" s="706">
        <f>IF($C51="other",$C40*X51,(VLOOKUP($C51,'S3 - Screening Tool Metrics'!$C$3:$G$17,5,FALSE)/100)*X51)</f>
        <v>779.43373592495107</v>
      </c>
      <c r="AB51" s="708">
        <f t="shared" si="40"/>
        <v>15.428221217833551</v>
      </c>
      <c r="AC51" s="706">
        <f t="shared" si="41"/>
        <v>441985.83333333343</v>
      </c>
      <c r="AD51" s="706">
        <f>VLOOKUP("*"&amp;$B51&amp;"*",'S4 - Summ PRS Characteristics'!$C$13:$Q$20,14,FALSE)*$J51</f>
        <v>648.52063960712735</v>
      </c>
      <c r="AE51" s="706">
        <f t="shared" si="48"/>
        <v>4403.4793603928729</v>
      </c>
      <c r="AF51" s="706">
        <f>IF($C51="other",(1-$C40)*AD51,(1-(VLOOKUP($C51,'S3 - Screening Tool Metrics'!$C$3:$G$17,5,FALSE)/100))*AD51)</f>
        <v>194.55619188213822</v>
      </c>
      <c r="AG51" s="706">
        <f>IF($C51="other",$C40*AD51,(VLOOKUP($C51,'S3 - Screening Tool Metrics'!$C$3:$G$17,5,FALSE)/100)*AD51)</f>
        <v>453.9644477249891</v>
      </c>
      <c r="AH51" s="708">
        <f t="shared" si="42"/>
        <v>8.9858362574225872</v>
      </c>
      <c r="AI51" s="707">
        <f t="shared" si="43"/>
        <v>88397.166666666686</v>
      </c>
      <c r="AJ51" s="706">
        <f>VLOOKUP("*"&amp;$B51&amp;"*",'S4 - Summ PRS Characteristics'!$C$13:$Q$20,15,FALSE)*$J51</f>
        <v>175.3735042941517</v>
      </c>
      <c r="AK51" s="706">
        <f t="shared" si="47"/>
        <v>4876.6264957058484</v>
      </c>
      <c r="AL51" s="706">
        <f>IF($C51="other",(1-$C40)*AJ51,(1-(VLOOKUP($C51,'S3 - Screening Tool Metrics'!$C$3:$G$17,5,FALSE)/100))*AJ51)</f>
        <v>52.612051288245517</v>
      </c>
      <c r="AM51" s="706">
        <f>IF($C51="other",$C40*AJ51,(VLOOKUP($C51,'S3 - Screening Tool Metrics'!$C$3:$G$17,5,FALSE)/100)*AJ51)</f>
        <v>122.76145300590618</v>
      </c>
      <c r="AN51" s="709">
        <f t="shared" si="44"/>
        <v>2.4299575020963218</v>
      </c>
    </row>
    <row r="52" spans="2:40" x14ac:dyDescent="0.15">
      <c r="B52" s="700" t="s">
        <v>11</v>
      </c>
      <c r="C52" s="721" t="str">
        <f>$C41</f>
        <v>FIT 20-50 µg/g threshold (CRC)</v>
      </c>
      <c r="D52" s="552" t="s">
        <v>203</v>
      </c>
      <c r="E52" s="710">
        <f>VLOOKUP($B52&amp;"_"&amp;$D52,'App5 - CRUK Inci Rates'!C:H,6,FALSE)</f>
        <v>114.20950638927653</v>
      </c>
      <c r="F52" s="711">
        <f>VLOOKUP($B52&amp;"_"&amp;$D52,'App5 - CRUK Inci Rates'!C:H,3,FALSE)</f>
        <v>73.646226089279153</v>
      </c>
      <c r="G52" s="712">
        <f>VLOOKUP($B52&amp;"_"&amp;$D52,'App5 - CRUK Inci Rates'!C:J,8,FALSE)</f>
        <v>15943902</v>
      </c>
      <c r="H52" s="713">
        <f>VLOOKUP($B52&amp;"_"&amp;$D52,'App5 - CRUK Inci Rates'!C:J,7,FALSE)</f>
        <v>7817212.666666666</v>
      </c>
      <c r="I52" s="713">
        <f>VLOOKUP($B52&amp;"_"&amp;$D52,'App5 - CRUK Inci Rates'!C:J,4,FALSE)</f>
        <v>8126689.333333334</v>
      </c>
      <c r="J52" s="709">
        <f>VLOOKUP($B52&amp;"_"&amp;$D52,'App5 - CRUK Inci Rates'!C:K,9,FALSE)</f>
        <v>14913</v>
      </c>
      <c r="K52" s="706">
        <f t="shared" si="7"/>
        <v>7971951</v>
      </c>
      <c r="L52" s="706">
        <f>VLOOKUP("*"&amp;$B52&amp;"*",'S4 - Summ PRS Characteristics'!$C$13:$Q$20,11,FALSE)*$J52</f>
        <v>10367.90779365263</v>
      </c>
      <c r="M52" s="706">
        <f t="shared" si="8"/>
        <v>4545.0922063473699</v>
      </c>
      <c r="N52" s="706">
        <f>IF($C52="other",(1-$C$7)*L52,(1-(VLOOKUP($C52,'S3 - Screening Tool Metrics'!$C$3:$G$17,5,FALSE)/100))*L52)</f>
        <v>3110.3723380957895</v>
      </c>
      <c r="O52" s="706">
        <f>IF($C52="other",$C$7*L52,(VLOOKUP($C52,'S3 - Screening Tool Metrics'!$C$3:$G$17,5,FALSE)/100)*L52)</f>
        <v>7257.5354555568401</v>
      </c>
      <c r="P52" s="706">
        <f t="shared" si="9"/>
        <v>48.66583152656635</v>
      </c>
      <c r="Q52" s="707">
        <f t="shared" si="37"/>
        <v>3188780.4000000004</v>
      </c>
      <c r="R52" s="706">
        <f>VLOOKUP("*"&amp;$B52&amp;"*",'S4 - Summ PRS Characteristics'!$C$13:$Q$20,12,FALSE)*$J52</f>
        <v>5523.1675805980331</v>
      </c>
      <c r="S52" s="706">
        <f t="shared" si="45"/>
        <v>9389.832419401966</v>
      </c>
      <c r="T52" s="706">
        <f>IF($C52="other",(1-$C40)*R52,(1-(VLOOKUP($C52,'S3 - Screening Tool Metrics'!$C$3:$G$17,5,FALSE)/100))*R52)</f>
        <v>1656.9502741794101</v>
      </c>
      <c r="U52" s="706">
        <f>IF($C52="other",$C40*R52,(VLOOKUP($C52,'S3 - Screening Tool Metrics'!$C$3:$G$17,5,FALSE)/100)*R52)</f>
        <v>3866.2173064186227</v>
      </c>
      <c r="V52" s="708">
        <f t="shared" si="38"/>
        <v>25.92514790061438</v>
      </c>
      <c r="W52" s="707">
        <f t="shared" si="39"/>
        <v>1594390.2000000002</v>
      </c>
      <c r="X52" s="706">
        <f>VLOOKUP("*"&amp;$B52&amp;"*",'S4 - Summ PRS Characteristics'!$C$13:$Q$20,13,FALSE)*$J52</f>
        <v>3286.8723288793112</v>
      </c>
      <c r="Y52" s="706">
        <f t="shared" si="46"/>
        <v>11626.127671120688</v>
      </c>
      <c r="Z52" s="706">
        <f>IF($C52="other",(1-$C40)*X52,(1-(VLOOKUP($C52,'S3 - Screening Tool Metrics'!$C$3:$G$17,5,FALSE)/100))*X52)</f>
        <v>986.06169866379355</v>
      </c>
      <c r="AA52" s="706">
        <f>IF($C52="other",$C40*X52,(VLOOKUP($C52,'S3 - Screening Tool Metrics'!$C$3:$G$17,5,FALSE)/100)*X52)</f>
        <v>2300.8106302155179</v>
      </c>
      <c r="AB52" s="708">
        <f t="shared" si="40"/>
        <v>15.428221217833554</v>
      </c>
      <c r="AC52" s="706">
        <f t="shared" si="41"/>
        <v>797195.10000000009</v>
      </c>
      <c r="AD52" s="706">
        <f>VLOOKUP("*"&amp;$B52&amp;"*",'S4 - Summ PRS Characteristics'!$C$13:$Q$20,14,FALSE)*$J52</f>
        <v>1914.3682300991866</v>
      </c>
      <c r="AE52" s="706">
        <f t="shared" si="48"/>
        <v>12998.631769900814</v>
      </c>
      <c r="AF52" s="706">
        <f>IF($C52="other",(1-$C40)*AD52,(1-(VLOOKUP($C52,'S3 - Screening Tool Metrics'!$C$3:$G$17,5,FALSE)/100))*AD52)</f>
        <v>574.31046902975606</v>
      </c>
      <c r="AG52" s="706">
        <f>IF($C52="other",$C40*AD52,(VLOOKUP($C52,'S3 - Screening Tool Metrics'!$C$3:$G$17,5,FALSE)/100)*AD52)</f>
        <v>1340.0577610694306</v>
      </c>
      <c r="AH52" s="708">
        <f t="shared" si="42"/>
        <v>8.985836257422589</v>
      </c>
      <c r="AI52" s="707">
        <f t="shared" si="43"/>
        <v>159439.01999999999</v>
      </c>
      <c r="AJ52" s="706">
        <f>VLOOKUP("*"&amp;$B52&amp;"*",'S4 - Summ PRS Characteristics'!$C$13:$Q$20,15,FALSE)*$J52</f>
        <v>517.68508898232074</v>
      </c>
      <c r="AK52" s="706">
        <f t="shared" si="47"/>
        <v>14395.31491101768</v>
      </c>
      <c r="AL52" s="706">
        <f>IF($C52="other",(1-$C40)*AJ52,(1-(VLOOKUP($C52,'S3 - Screening Tool Metrics'!$C$3:$G$17,5,FALSE)/100))*AJ52)</f>
        <v>155.30552669469625</v>
      </c>
      <c r="AM52" s="706">
        <f>IF($C52="other",$C40*AJ52,(VLOOKUP($C52,'S3 - Screening Tool Metrics'!$C$3:$G$17,5,FALSE)/100)*AJ52)</f>
        <v>362.37956228762448</v>
      </c>
      <c r="AN52" s="709">
        <f t="shared" si="44"/>
        <v>2.4299575020963218</v>
      </c>
    </row>
    <row r="53" spans="2:40" x14ac:dyDescent="0.15">
      <c r="B53" s="700" t="s">
        <v>11</v>
      </c>
      <c r="C53" s="721" t="str">
        <f>$C42</f>
        <v>FIT 20-50 µg/g threshold (CRC)</v>
      </c>
      <c r="D53" s="552" t="s">
        <v>292</v>
      </c>
      <c r="E53" s="710">
        <f>VLOOKUP($B53&amp;"_"&amp;$D53,'App5 - CRUK Inci Rates'!C:H,6,FALSE)</f>
        <v>203.90336051751802</v>
      </c>
      <c r="F53" s="711">
        <f>VLOOKUP($B53&amp;"_"&amp;$D53,'App5 - CRUK Inci Rates'!C:H,3,FALSE)</f>
        <v>125.21984320546531</v>
      </c>
      <c r="G53" s="712">
        <f>VLOOKUP($B53&amp;"_"&amp;$D53,'App5 - CRUK Inci Rates'!C:J,8,FALSE)</f>
        <v>8881256.9603638444</v>
      </c>
      <c r="H53" s="713">
        <f>VLOOKUP($B53&amp;"_"&amp;$D53,'App5 - CRUK Inci Rates'!C:J,7,FALSE)</f>
        <v>4929786.333333333</v>
      </c>
      <c r="I53" s="713">
        <f>VLOOKUP($B53&amp;"_"&amp;$D53,'App5 - CRUK Inci Rates'!C:J,4,FALSE)</f>
        <v>5245973.666666667</v>
      </c>
      <c r="J53" s="709">
        <f>VLOOKUP($B53&amp;"_"&amp;$D53,'App5 - CRUK Inci Rates'!C:K,9,FALSE)</f>
        <v>16621</v>
      </c>
      <c r="K53" s="706">
        <f t="shared" si="7"/>
        <v>4440628.4801819222</v>
      </c>
      <c r="L53" s="706">
        <f>VLOOKUP("*"&amp;$B53&amp;"*",'S4 - Summ PRS Characteristics'!$C$13:$Q$20,11,FALSE)*$J53</f>
        <v>11555.354082900849</v>
      </c>
      <c r="M53" s="706">
        <f t="shared" si="8"/>
        <v>5065.6459170991511</v>
      </c>
      <c r="N53" s="706">
        <f>IF($C53="other",(1-$C$7)*L53,(1-(VLOOKUP($C53,'S3 - Screening Tool Metrics'!$C$3:$G$17,5,FALSE)/100))*L53)</f>
        <v>3466.6062248702551</v>
      </c>
      <c r="O53" s="706">
        <f>IF($C53="other",$C$7*L53,(VLOOKUP($C53,'S3 - Screening Tool Metrics'!$C$3:$G$17,5,FALSE)/100)*L53)</f>
        <v>8088.7478580305933</v>
      </c>
      <c r="P53" s="706">
        <f t="shared" si="9"/>
        <v>48.66583152656635</v>
      </c>
      <c r="Q53" s="707">
        <f t="shared" si="37"/>
        <v>1776251.3920727689</v>
      </c>
      <c r="R53" s="706">
        <f>VLOOKUP("*"&amp;$B53&amp;"*",'S4 - Summ PRS Characteristics'!$C$13:$Q$20,12,FALSE)*$J53</f>
        <v>6155.7411893730241</v>
      </c>
      <c r="S53" s="706">
        <f>$J53-R53</f>
        <v>10465.258810626976</v>
      </c>
      <c r="T53" s="706">
        <f>IF($C53="other",(1-$C40)*R53,(1-(VLOOKUP($C53,'S3 - Screening Tool Metrics'!$C$3:$G$17,5,FALSE)/100))*R53)</f>
        <v>1846.7223568119075</v>
      </c>
      <c r="U53" s="706">
        <f>IF($C53="other",$C40*R53,(VLOOKUP($C53,'S3 - Screening Tool Metrics'!$C$3:$G$17,5,FALSE)/100)*R53)</f>
        <v>4309.0188325611161</v>
      </c>
      <c r="V53" s="708">
        <f t="shared" si="38"/>
        <v>25.92514790061438</v>
      </c>
      <c r="W53" s="707">
        <f t="shared" si="39"/>
        <v>888125.69603638444</v>
      </c>
      <c r="X53" s="706">
        <f>VLOOKUP("*"&amp;$B53&amp;"*",'S4 - Summ PRS Characteristics'!$C$13:$Q$20,13,FALSE)*$J53</f>
        <v>3663.3209265944502</v>
      </c>
      <c r="Y53" s="706">
        <f t="shared" si="46"/>
        <v>12957.67907340555</v>
      </c>
      <c r="Z53" s="706">
        <f>IF($C53="other",(1-$C40)*X53,(1-(VLOOKUP($C53,'S3 - Screening Tool Metrics'!$C$3:$G$17,5,FALSE)/100))*X53)</f>
        <v>1098.9962779783352</v>
      </c>
      <c r="AA53" s="706">
        <f>IF($C53="other",$C40*X53,(VLOOKUP($C53,'S3 - Screening Tool Metrics'!$C$3:$G$17,5,FALSE)/100)*X53)</f>
        <v>2564.3246486161152</v>
      </c>
      <c r="AB53" s="708">
        <f t="shared" si="40"/>
        <v>15.428221217833554</v>
      </c>
      <c r="AC53" s="706">
        <f t="shared" si="41"/>
        <v>444062.84801819222</v>
      </c>
      <c r="AD53" s="706">
        <f>VLOOKUP("*"&amp;$B53&amp;"*",'S4 - Summ PRS Characteristics'!$C$13:$Q$20,14,FALSE)*$J53</f>
        <v>2133.6226347802976</v>
      </c>
      <c r="AE53" s="706">
        <f t="shared" si="48"/>
        <v>14487.377365219701</v>
      </c>
      <c r="AF53" s="706">
        <f>IF($C53="other",(1-$C40)*AD53,(1-(VLOOKUP($C53,'S3 - Screening Tool Metrics'!$C$3:$G$17,5,FALSE)/100))*AD53)</f>
        <v>640.08679043408938</v>
      </c>
      <c r="AG53" s="706">
        <f>IF($C53="other",$C40*AD53,(VLOOKUP($C53,'S3 - Screening Tool Metrics'!$C$3:$G$17,5,FALSE)/100)*AD53)</f>
        <v>1493.5358443462083</v>
      </c>
      <c r="AH53" s="708">
        <f t="shared" si="42"/>
        <v>8.9858362574225872</v>
      </c>
      <c r="AI53" s="707">
        <f t="shared" si="43"/>
        <v>88812.569603638447</v>
      </c>
      <c r="AJ53" s="706">
        <f>VLOOKUP("*"&amp;$B53&amp;"*",'S4 - Summ PRS Characteristics'!$C$13:$Q$20,15,FALSE)*$J53</f>
        <v>576.97605203347098</v>
      </c>
      <c r="AK53" s="706">
        <f t="shared" si="47"/>
        <v>16044.023947966529</v>
      </c>
      <c r="AL53" s="706">
        <f>IF($C53="other",(1-$C40)*AJ53,(1-(VLOOKUP($C53,'S3 - Screening Tool Metrics'!$C$3:$G$17,5,FALSE)/100))*AJ53)</f>
        <v>173.09281561004133</v>
      </c>
      <c r="AM53" s="706">
        <f>IF($C53="other",$C40*AJ53,(VLOOKUP($C53,'S3 - Screening Tool Metrics'!$C$3:$G$17,5,FALSE)/100)*AJ53)</f>
        <v>403.88323642342965</v>
      </c>
      <c r="AN53" s="709">
        <f t="shared" si="44"/>
        <v>2.4299575020963218</v>
      </c>
    </row>
    <row r="54" spans="2:40" x14ac:dyDescent="0.15">
      <c r="B54" s="700" t="s">
        <v>11</v>
      </c>
      <c r="C54" s="721" t="str">
        <f>$C41</f>
        <v>FIT 20-50 µg/g threshold (CRC)</v>
      </c>
      <c r="D54" s="552" t="s">
        <v>204</v>
      </c>
      <c r="E54" s="710">
        <f>VLOOKUP($B54&amp;"_"&amp;$D54,'App5 - CRUK Inci Rates'!C:H,6,FALSE)</f>
        <v>118.95830504657053</v>
      </c>
      <c r="F54" s="711">
        <f>VLOOKUP($B54&amp;"_"&amp;$D54,'App5 - CRUK Inci Rates'!C:H,3,FALSE)</f>
        <v>80.364374337399624</v>
      </c>
      <c r="G54" s="712">
        <f>VLOOKUP($B54&amp;"_"&amp;$D54,'App5 - CRUK Inci Rates'!C:J,8,FALSE)</f>
        <v>29847254.666666668</v>
      </c>
      <c r="H54" s="713">
        <f>VLOOKUP($B54&amp;"_"&amp;$D54,'App5 - CRUK Inci Rates'!C:J,7,FALSE)</f>
        <v>14565607.666666668</v>
      </c>
      <c r="I54" s="713">
        <f>VLOOKUP($B54&amp;"_"&amp;$D54,'App5 - CRUK Inci Rates'!C:J,4,FALSE)</f>
        <v>15281647</v>
      </c>
      <c r="J54" s="709">
        <f>VLOOKUP($B54&amp;"_"&amp;$D54,'App5 - CRUK Inci Rates'!C:K,9,FALSE)</f>
        <v>29608</v>
      </c>
      <c r="K54" s="706">
        <f t="shared" si="7"/>
        <v>14923627.333333334</v>
      </c>
      <c r="L54" s="706">
        <f>VLOOKUP("*"&amp;$B54&amp;"*",'S4 - Summ PRS Characteristics'!$C$13:$Q$20,11,FALSE)*$J54</f>
        <v>20584.256283408238</v>
      </c>
      <c r="M54" s="706">
        <f t="shared" si="8"/>
        <v>9023.7437165917618</v>
      </c>
      <c r="N54" s="706">
        <f>IF($C54="other",(1-$C$7)*L54,(1-(VLOOKUP($C54,'S3 - Screening Tool Metrics'!$C$3:$G$17,5,FALSE)/100))*L54)</f>
        <v>6175.276885022472</v>
      </c>
      <c r="O54" s="706">
        <f>IF($C54="other",$C$7*L54,(VLOOKUP($C54,'S3 - Screening Tool Metrics'!$C$3:$G$17,5,FALSE)/100)*L54)</f>
        <v>14408.979398385765</v>
      </c>
      <c r="P54" s="706">
        <f t="shared" si="9"/>
        <v>48.66583152656635</v>
      </c>
      <c r="Q54" s="707">
        <f t="shared" si="37"/>
        <v>5969450.9333333336</v>
      </c>
      <c r="R54" s="706">
        <f>VLOOKUP("*"&amp;$B54&amp;"*",'S4 - Summ PRS Characteristics'!$C$13:$Q$20,12,FALSE)*$J54</f>
        <v>10965.596843448438</v>
      </c>
      <c r="S54" s="706">
        <f t="shared" si="45"/>
        <v>18642.403156551562</v>
      </c>
      <c r="T54" s="706">
        <f>IF($C54="other",(1-$C40)*R54,(1-(VLOOKUP($C54,'S3 - Screening Tool Metrics'!$C$3:$G$17,5,FALSE)/100))*R54)</f>
        <v>3289.679053034532</v>
      </c>
      <c r="U54" s="706">
        <f>IF($C54="other",$C40*R54,(VLOOKUP($C54,'S3 - Screening Tool Metrics'!$C$3:$G$17,5,FALSE)/100)*R54)</f>
        <v>7675.917790413906</v>
      </c>
      <c r="V54" s="708">
        <f t="shared" si="38"/>
        <v>25.92514790061438</v>
      </c>
      <c r="W54" s="707">
        <f t="shared" si="39"/>
        <v>2984725.4666666668</v>
      </c>
      <c r="X54" s="706">
        <f>VLOOKUP("*"&amp;$B54&amp;"*",'S4 - Summ PRS Characteristics'!$C$13:$Q$20,13,FALSE)*$J54</f>
        <v>6525.6967688230834</v>
      </c>
      <c r="Y54" s="706">
        <f t="shared" si="46"/>
        <v>23082.303231176917</v>
      </c>
      <c r="Z54" s="706">
        <f>IF($C54="other",(1-$C40)*X54,(1-(VLOOKUP($C54,'S3 - Screening Tool Metrics'!$C$3:$G$17,5,FALSE)/100))*X54)</f>
        <v>1957.7090306469254</v>
      </c>
      <c r="AA54" s="706">
        <f>IF($C54="other",$C40*X54,(VLOOKUP($C54,'S3 - Screening Tool Metrics'!$C$3:$G$17,5,FALSE)/100)*X54)</f>
        <v>4567.987738176158</v>
      </c>
      <c r="AB54" s="708">
        <f t="shared" si="40"/>
        <v>15.428221217833551</v>
      </c>
      <c r="AC54" s="706">
        <f t="shared" si="41"/>
        <v>1492362.7333333334</v>
      </c>
      <c r="AD54" s="706">
        <f>VLOOKUP("*"&amp;$B54&amp;"*",'S4 - Summ PRS Characteristics'!$C$13:$Q$20,14,FALSE)*$J54</f>
        <v>3800.7519987109713</v>
      </c>
      <c r="AE54" s="706">
        <f t="shared" si="48"/>
        <v>25807.24800128903</v>
      </c>
      <c r="AF54" s="706">
        <f>IF($C54="other",(1-$C40)*AD54,(1-(VLOOKUP($C54,'S3 - Screening Tool Metrics'!$C$3:$G$17,5,FALSE)/100))*AD54)</f>
        <v>1140.2255996132915</v>
      </c>
      <c r="AG54" s="706">
        <f>IF($C54="other",$C40*AD54,(VLOOKUP($C54,'S3 - Screening Tool Metrics'!$C$3:$G$17,5,FALSE)/100)*AD54)</f>
        <v>2660.5263990976796</v>
      </c>
      <c r="AH54" s="708">
        <f t="shared" si="42"/>
        <v>8.9858362574225872</v>
      </c>
      <c r="AI54" s="707">
        <f t="shared" si="43"/>
        <v>298472.54666666669</v>
      </c>
      <c r="AJ54" s="706">
        <f>VLOOKUP("*"&amp;$B54&amp;"*",'S4 - Summ PRS Characteristics'!$C$13:$Q$20,15,FALSE)*$J54</f>
        <v>1027.8025960295415</v>
      </c>
      <c r="AK54" s="706">
        <f t="shared" si="47"/>
        <v>28580.197403970458</v>
      </c>
      <c r="AL54" s="706">
        <f>IF($C54="other",(1-$C40)*AJ54,(1-(VLOOKUP($C54,'S3 - Screening Tool Metrics'!$C$3:$G$17,5,FALSE)/100))*AJ54)</f>
        <v>308.34077880886252</v>
      </c>
      <c r="AM54" s="706">
        <f>IF($C54="other",$C40*AJ54,(VLOOKUP($C54,'S3 - Screening Tool Metrics'!$C$3:$G$17,5,FALSE)/100)*AJ54)</f>
        <v>719.46181722067899</v>
      </c>
      <c r="AN54" s="709">
        <f t="shared" si="44"/>
        <v>2.4299575020963218</v>
      </c>
    </row>
    <row r="55" spans="2:40" ht="14" thickBot="1" x14ac:dyDescent="0.2">
      <c r="B55" s="700" t="s">
        <v>11</v>
      </c>
      <c r="C55" s="721" t="str">
        <f>$C42</f>
        <v>FIT 20-50 µg/g threshold (CRC)</v>
      </c>
      <c r="D55" s="552" t="s">
        <v>205</v>
      </c>
      <c r="E55" s="710">
        <f>VLOOKUP($B55&amp;"_"&amp;$D55,'App5 - CRUK Inci Rates'!C:H,6,FALSE)</f>
        <v>84.5</v>
      </c>
      <c r="F55" s="711">
        <f>VLOOKUP($B55&amp;"_"&amp;$D55,'App5 - CRUK Inci Rates'!C:H,3,FALSE)</f>
        <v>56.5</v>
      </c>
      <c r="G55" s="712">
        <f>VLOOKUP($B55&amp;"_"&amp;$D55,'App5 - CRUK Inci Rates'!C:J,8,FALSE)</f>
        <v>66041277.666666664</v>
      </c>
      <c r="H55" s="713">
        <f>VLOOKUP($B55&amp;"_"&amp;$D55,'App5 - CRUK Inci Rates'!C:J,7,FALSE)</f>
        <v>32583225.666666668</v>
      </c>
      <c r="I55" s="713">
        <f>VLOOKUP($B55&amp;"_"&amp;$D55,'App5 - CRUK Inci Rates'!C:J,4,FALSE)</f>
        <v>33458051.999999996</v>
      </c>
      <c r="J55" s="709">
        <f>VLOOKUP($B55&amp;"_"&amp;$D55,'App5 - CRUK Inci Rates'!C:K,9,FALSE)</f>
        <v>42885</v>
      </c>
      <c r="K55" s="716"/>
      <c r="L55" s="716"/>
      <c r="M55" s="716"/>
      <c r="N55" s="716"/>
      <c r="O55" s="716"/>
      <c r="P55" s="716"/>
      <c r="Q55" s="715"/>
      <c r="R55" s="716"/>
      <c r="S55" s="716"/>
      <c r="T55" s="716"/>
      <c r="U55" s="716"/>
      <c r="V55" s="717"/>
      <c r="W55" s="715"/>
      <c r="X55" s="716"/>
      <c r="Y55" s="716"/>
      <c r="Z55" s="716"/>
      <c r="AA55" s="716"/>
      <c r="AB55" s="717"/>
      <c r="AC55" s="716"/>
      <c r="AD55" s="716"/>
      <c r="AE55" s="716"/>
      <c r="AF55" s="716"/>
      <c r="AG55" s="716"/>
      <c r="AH55" s="717"/>
      <c r="AI55" s="715"/>
      <c r="AJ55" s="716"/>
      <c r="AK55" s="716"/>
      <c r="AL55" s="716"/>
      <c r="AM55" s="716"/>
      <c r="AN55" s="718"/>
    </row>
    <row r="56" spans="2:40" ht="21" customHeight="1" thickBot="1" x14ac:dyDescent="0.2">
      <c r="B56" s="686" t="s">
        <v>12</v>
      </c>
      <c r="C56" s="687"/>
      <c r="D56" s="688"/>
      <c r="E56" s="689"/>
      <c r="F56" s="690"/>
      <c r="G56" s="691"/>
      <c r="H56" s="692"/>
      <c r="I56" s="692"/>
      <c r="J56" s="693"/>
      <c r="K56" s="694"/>
      <c r="L56" s="694"/>
      <c r="M56" s="694"/>
      <c r="N56" s="694"/>
      <c r="O56" s="694"/>
      <c r="P56" s="694"/>
      <c r="Q56" s="695"/>
      <c r="R56" s="696"/>
      <c r="S56" s="696"/>
      <c r="T56" s="696"/>
      <c r="U56" s="696"/>
      <c r="V56" s="697"/>
      <c r="W56" s="695"/>
      <c r="X56" s="696"/>
      <c r="Y56" s="696"/>
      <c r="Z56" s="696"/>
      <c r="AA56" s="696"/>
      <c r="AB56" s="697"/>
      <c r="AC56" s="696"/>
      <c r="AD56" s="696"/>
      <c r="AE56" s="696"/>
      <c r="AF56" s="696"/>
      <c r="AG56" s="696"/>
      <c r="AH56" s="697"/>
      <c r="AI56" s="695"/>
      <c r="AJ56" s="696"/>
      <c r="AK56" s="696"/>
      <c r="AL56" s="696"/>
      <c r="AM56" s="696"/>
      <c r="AN56" s="699"/>
    </row>
    <row r="57" spans="2:40" x14ac:dyDescent="0.15">
      <c r="B57" s="700" t="s">
        <v>12</v>
      </c>
      <c r="C57" s="721" t="s">
        <v>147</v>
      </c>
      <c r="D57" s="593" t="s">
        <v>192</v>
      </c>
      <c r="E57" s="701">
        <f>VLOOKUP($B57&amp;"_"&amp;$D57,'App5 - CRUK Inci Rates'!C:H,6,FALSE)</f>
        <v>2.6</v>
      </c>
      <c r="F57" s="702">
        <f>VLOOKUP($B57&amp;"_"&amp;$D57,'App5 - CRUK Inci Rates'!C:H,3,FALSE)</f>
        <v>2</v>
      </c>
      <c r="G57" s="703">
        <f>VLOOKUP($B57&amp;"_"&amp;$D57,'App5 - CRUK Inci Rates'!C:J,8,FALSE)</f>
        <v>4075608</v>
      </c>
      <c r="H57" s="704">
        <f>VLOOKUP($B57&amp;"_"&amp;$D57,'App5 - CRUK Inci Rates'!C:J,7,FALSE)</f>
        <v>2021384.6666666667</v>
      </c>
      <c r="I57" s="704">
        <f>VLOOKUP($B57&amp;"_"&amp;$D57,'App5 - CRUK Inci Rates'!C:J,4,FALSE)</f>
        <v>2054223.3333333333</v>
      </c>
      <c r="J57" s="705">
        <f>VLOOKUP($B57&amp;"_"&amp;$D57,'App5 - CRUK Inci Rates'!C:K,9,FALSE)</f>
        <v>94</v>
      </c>
      <c r="K57" s="706">
        <f t="shared" si="7"/>
        <v>2037804</v>
      </c>
      <c r="L57" s="706">
        <f>VLOOKUP("*"&amp;$B57&amp;"*",'S4 - Summ PRS Characteristics'!$C$13:$Q$20,11,FALSE)*$J57</f>
        <v>66.467174123549853</v>
      </c>
      <c r="M57" s="706">
        <f t="shared" si="8"/>
        <v>27.532825876450147</v>
      </c>
      <c r="N57" s="706">
        <f>IF($C57="other",(1-$C$7)*L57,(1-(VLOOKUP($C57,'S3 - Screening Tool Metrics'!$C$3:$G$17,5,FALSE)/100))*L57)</f>
        <v>21.402430067783058</v>
      </c>
      <c r="O57" s="706">
        <f>IF($C57="other",$C$7*L57,(VLOOKUP($C57,'S3 - Screening Tool Metrics'!$C$3:$G$17,5,FALSE)/100)*L57)</f>
        <v>45.064744055766795</v>
      </c>
      <c r="P57" s="706">
        <f t="shared" si="9"/>
        <v>47.941217080602968</v>
      </c>
      <c r="Q57" s="707">
        <f t="shared" ref="Q57:Q70" si="49">$G57*Q$3</f>
        <v>815121.60000000009</v>
      </c>
      <c r="R57" s="706">
        <f>VLOOKUP("*"&amp;$B57&amp;"*",'S4 - Summ PRS Characteristics'!$C$13:$Q$20,12,FALSE)*$J57</f>
        <v>36.034841753251257</v>
      </c>
      <c r="S57" s="706">
        <f>$J57-R57</f>
        <v>57.965158246748743</v>
      </c>
      <c r="T57" s="706">
        <f>IF($C57="other",(1-$C56)*R57,(1-(VLOOKUP($C57,'S3 - Screening Tool Metrics'!$C$3:$G$17,5,FALSE)/100))*R57)</f>
        <v>11.603219044546908</v>
      </c>
      <c r="U57" s="706">
        <f>IF($C57="other",$C56*R57,(VLOOKUP($C57,'S3 - Screening Tool Metrics'!$C$3:$G$17,5,FALSE)/100)*R57)</f>
        <v>24.431622708704349</v>
      </c>
      <c r="V57" s="708">
        <f t="shared" ref="V57:V70" si="50">U57/J57*100</f>
        <v>25.991087987983352</v>
      </c>
      <c r="W57" s="707">
        <f t="shared" ref="W57:W70" si="51">$G57*W$3</f>
        <v>407560.80000000005</v>
      </c>
      <c r="X57" s="706">
        <f>VLOOKUP("*"&amp;$B57&amp;"*",'S4 - Summ PRS Characteristics'!$C$13:$Q$20,13,FALSE)*$J57</f>
        <v>21.683437612777478</v>
      </c>
      <c r="Y57" s="706">
        <f>$J57-X57</f>
        <v>72.316562387222518</v>
      </c>
      <c r="Z57" s="706">
        <f>IF($C57="other",(1-$C56)*X57,(1-(VLOOKUP($C57,'S3 - Screening Tool Metrics'!$C$3:$G$17,5,FALSE)/100))*X57)</f>
        <v>6.982066911314349</v>
      </c>
      <c r="AA57" s="706">
        <f>IF($C57="other",$C56*X57,(VLOOKUP($C57,'S3 - Screening Tool Metrics'!$C$3:$G$17,5,FALSE)/100)*X57)</f>
        <v>14.701370701463128</v>
      </c>
      <c r="AB57" s="708">
        <f t="shared" ref="AB57:AB70" si="52">$AA57/$J57*100</f>
        <v>15.639756065386306</v>
      </c>
      <c r="AC57" s="706">
        <f t="shared" ref="AC57:AC70" si="53">$G57*AC$3</f>
        <v>203780.40000000002</v>
      </c>
      <c r="AD57" s="706">
        <f>VLOOKUP("*"&amp;$B57&amp;"*",'S4 - Summ PRS Characteristics'!$C$13:$Q$20,14,FALSE)*$J57</f>
        <v>12.754080166177724</v>
      </c>
      <c r="AE57" s="706">
        <f>$J57-AD57</f>
        <v>81.245919833822271</v>
      </c>
      <c r="AF57" s="706">
        <f>IF($C57="other",(1-$C56)*AD57,(1-(VLOOKUP($C57,'S3 - Screening Tool Metrics'!$C$3:$G$17,5,FALSE)/100))*AD57)</f>
        <v>4.1068138135092278</v>
      </c>
      <c r="AG57" s="706">
        <f>IF($C57="other",$C56*AD57,(VLOOKUP($C57,'S3 - Screening Tool Metrics'!$C$3:$G$17,5,FALSE)/100)*AD57)</f>
        <v>8.6472663526684954</v>
      </c>
      <c r="AH57" s="708">
        <f t="shared" ref="AH57:AH70" si="54">$AG57/$J57*100</f>
        <v>9.1992195241154207</v>
      </c>
      <c r="AI57" s="707">
        <f t="shared" ref="AI57:AI70" si="55">$G57*AI$3</f>
        <v>40756.080000000002</v>
      </c>
      <c r="AJ57" s="706">
        <f>VLOOKUP("*"&amp;$B57&amp;"*",'S4 - Summ PRS Characteristics'!$C$13:$Q$20,15,FALSE)*$J57</f>
        <v>3.5176428211786384</v>
      </c>
      <c r="AK57" s="706">
        <f>$J57-AJ57</f>
        <v>90.48235717882136</v>
      </c>
      <c r="AL57" s="706">
        <f>IF($C57="other",(1-$C56)*AJ57,(1-(VLOOKUP($C57,'S3 - Screening Tool Metrics'!$C$3:$G$17,5,FALSE)/100))*AJ57)</f>
        <v>1.1326809884195217</v>
      </c>
      <c r="AM57" s="706">
        <f>IF($C57="other",$C56*AJ57,(VLOOKUP($C57,'S3 - Screening Tool Metrics'!$C$3:$G$17,5,FALSE)/100)*AJ57)</f>
        <v>2.3849618327591164</v>
      </c>
      <c r="AN57" s="709">
        <f t="shared" ref="AN57:AN70" si="56">$AM57/$J57*100</f>
        <v>2.5371934391054429</v>
      </c>
    </row>
    <row r="58" spans="2:40" x14ac:dyDescent="0.15">
      <c r="B58" s="700" t="s">
        <v>12</v>
      </c>
      <c r="C58" s="721" t="str">
        <f>$C57</f>
        <v>CA19-9_20U/mL cutoff</v>
      </c>
      <c r="D58" s="552" t="s">
        <v>193</v>
      </c>
      <c r="E58" s="710">
        <f>VLOOKUP($B58&amp;"_"&amp;$D58,'App5 - CRUK Inci Rates'!C:H,6,FALSE)</f>
        <v>5.6</v>
      </c>
      <c r="F58" s="711">
        <f>VLOOKUP($B58&amp;"_"&amp;$D58,'App5 - CRUK Inci Rates'!C:H,3,FALSE)</f>
        <v>3.9</v>
      </c>
      <c r="G58" s="712">
        <f>VLOOKUP($B58&amp;"_"&amp;$D58,'App5 - CRUK Inci Rates'!C:J,8,FALSE)</f>
        <v>4567159.333333334</v>
      </c>
      <c r="H58" s="713">
        <f>VLOOKUP($B58&amp;"_"&amp;$D58,'App5 - CRUK Inci Rates'!C:J,7,FALSE)</f>
        <v>2251680</v>
      </c>
      <c r="I58" s="713">
        <f>VLOOKUP($B58&amp;"_"&amp;$D58,'App5 - CRUK Inci Rates'!C:J,4,FALSE)</f>
        <v>2315479.3333333335</v>
      </c>
      <c r="J58" s="709">
        <f>VLOOKUP($B58&amp;"_"&amp;$D58,'App5 - CRUK Inci Rates'!C:K,9,FALSE)</f>
        <v>215</v>
      </c>
      <c r="K58" s="706">
        <f t="shared" si="7"/>
        <v>2283579.666666667</v>
      </c>
      <c r="L58" s="706">
        <f>VLOOKUP("*"&amp;$B58&amp;"*",'S4 - Summ PRS Characteristics'!$C$13:$Q$20,11,FALSE)*$J58</f>
        <v>152.02598336769381</v>
      </c>
      <c r="M58" s="706">
        <f t="shared" si="8"/>
        <v>62.974016632306189</v>
      </c>
      <c r="N58" s="706">
        <f>IF($C58="other",(1-$C$7)*L58,(1-(VLOOKUP($C58,'S3 - Screening Tool Metrics'!$C$3:$G$17,5,FALSE)/100))*L58)</f>
        <v>48.952366644397415</v>
      </c>
      <c r="O58" s="706">
        <f>IF($C58="other",$C$7*L58,(VLOOKUP($C58,'S3 - Screening Tool Metrics'!$C$3:$G$17,5,FALSE)/100)*L58)</f>
        <v>103.0736167232964</v>
      </c>
      <c r="P58" s="706">
        <f t="shared" si="9"/>
        <v>47.941217080602975</v>
      </c>
      <c r="Q58" s="707">
        <f t="shared" si="49"/>
        <v>913431.86666666681</v>
      </c>
      <c r="R58" s="706">
        <f>VLOOKUP("*"&amp;$B58&amp;"*",'S4 - Summ PRS Characteristics'!$C$13:$Q$20,12,FALSE)*$J58</f>
        <v>82.420116776053405</v>
      </c>
      <c r="S58" s="706">
        <f t="shared" ref="S58:S70" si="57">$J58-R58</f>
        <v>132.57988322394658</v>
      </c>
      <c r="T58" s="706">
        <f>IF($C58="other",(1-$C56)*R58,(1-(VLOOKUP($C58,'S3 - Screening Tool Metrics'!$C$3:$G$17,5,FALSE)/100))*R58)</f>
        <v>26.5392776018892</v>
      </c>
      <c r="U58" s="706">
        <f>IF($C58="other",$C56*R58,(VLOOKUP($C58,'S3 - Screening Tool Metrics'!$C$3:$G$17,5,FALSE)/100)*R58)</f>
        <v>55.880839174164201</v>
      </c>
      <c r="V58" s="708">
        <f t="shared" si="50"/>
        <v>25.991087987983345</v>
      </c>
      <c r="W58" s="707">
        <f t="shared" si="51"/>
        <v>456715.93333333341</v>
      </c>
      <c r="X58" s="706">
        <f>VLOOKUP("*"&amp;$B58&amp;"*",'S4 - Summ PRS Characteristics'!$C$13:$Q$20,13,FALSE)*$J58</f>
        <v>49.595096667522952</v>
      </c>
      <c r="Y58" s="706">
        <f t="shared" ref="Y58:Y70" si="58">$J58-X58</f>
        <v>165.40490333247703</v>
      </c>
      <c r="Z58" s="706">
        <f>IF($C58="other",(1-$C56)*X58,(1-(VLOOKUP($C58,'S3 - Screening Tool Metrics'!$C$3:$G$17,5,FALSE)/100))*X58)</f>
        <v>15.969621126942394</v>
      </c>
      <c r="AA58" s="706">
        <f>IF($C58="other",$C56*X58,(VLOOKUP($C58,'S3 - Screening Tool Metrics'!$C$3:$G$17,5,FALSE)/100)*X58)</f>
        <v>33.62547554058056</v>
      </c>
      <c r="AB58" s="708">
        <f t="shared" si="52"/>
        <v>15.639756065386306</v>
      </c>
      <c r="AC58" s="706">
        <f t="shared" si="53"/>
        <v>228357.9666666667</v>
      </c>
      <c r="AD58" s="706">
        <f>VLOOKUP("*"&amp;$B58&amp;"*",'S4 - Summ PRS Characteristics'!$C$13:$Q$20,14,FALSE)*$J58</f>
        <v>29.171566337534159</v>
      </c>
      <c r="AE58" s="706">
        <f>$J58-AD58</f>
        <v>185.82843366246584</v>
      </c>
      <c r="AF58" s="706">
        <f>IF($C58="other",(1-$C56)*AD58,(1-(VLOOKUP($C58,'S3 - Screening Tool Metrics'!$C$3:$G$17,5,FALSE)/100))*AD58)</f>
        <v>9.3932443606860012</v>
      </c>
      <c r="AG58" s="706">
        <f>IF($C58="other",$C56*AD58,(VLOOKUP($C58,'S3 - Screening Tool Metrics'!$C$3:$G$17,5,FALSE)/100)*AD58)</f>
        <v>19.778321976848158</v>
      </c>
      <c r="AH58" s="708">
        <f t="shared" si="54"/>
        <v>9.1992195241154224</v>
      </c>
      <c r="AI58" s="707">
        <f t="shared" si="55"/>
        <v>45671.593333333338</v>
      </c>
      <c r="AJ58" s="706">
        <f>VLOOKUP("*"&amp;$B58&amp;"*",'S4 - Summ PRS Characteristics'!$C$13:$Q$20,15,FALSE)*$J58</f>
        <v>8.0456724101426307</v>
      </c>
      <c r="AK58" s="706">
        <f t="shared" ref="AK58:AK70" si="59">$J58-AJ58</f>
        <v>206.95432758985737</v>
      </c>
      <c r="AL58" s="706">
        <f>IF($C58="other",(1-$C56)*AJ58,(1-(VLOOKUP($C58,'S3 - Screening Tool Metrics'!$C$3:$G$17,5,FALSE)/100))*AJ58)</f>
        <v>2.5907065160659277</v>
      </c>
      <c r="AM58" s="706">
        <f>IF($C58="other",$C56*AJ58,(VLOOKUP($C58,'S3 - Screening Tool Metrics'!$C$3:$G$17,5,FALSE)/100)*AJ58)</f>
        <v>5.454965894076703</v>
      </c>
      <c r="AN58" s="709">
        <f t="shared" si="56"/>
        <v>2.5371934391054429</v>
      </c>
    </row>
    <row r="59" spans="2:40" x14ac:dyDescent="0.15">
      <c r="B59" s="700" t="s">
        <v>12</v>
      </c>
      <c r="C59" s="721" t="str">
        <f>$C57</f>
        <v>CA19-9_20U/mL cutoff</v>
      </c>
      <c r="D59" s="552" t="s">
        <v>194</v>
      </c>
      <c r="E59" s="710">
        <f>VLOOKUP($B59&amp;"_"&amp;$D59,'App5 - CRUK Inci Rates'!C:H,6,FALSE)</f>
        <v>10.199999999999999</v>
      </c>
      <c r="F59" s="711">
        <f>VLOOKUP($B59&amp;"_"&amp;$D59,'App5 - CRUK Inci Rates'!C:H,3,FALSE)</f>
        <v>7.3</v>
      </c>
      <c r="G59" s="712">
        <f>VLOOKUP($B59&amp;"_"&amp;$D59,'App5 - CRUK Inci Rates'!C:J,8,FALSE)</f>
        <v>4658110.666666666</v>
      </c>
      <c r="H59" s="713">
        <f>VLOOKUP($B59&amp;"_"&amp;$D59,'App5 - CRUK Inci Rates'!C:J,7,FALSE)</f>
        <v>2293472.6666666665</v>
      </c>
      <c r="I59" s="713">
        <f>VLOOKUP($B59&amp;"_"&amp;$D59,'App5 - CRUK Inci Rates'!C:J,4,FALSE)</f>
        <v>2364638</v>
      </c>
      <c r="J59" s="709">
        <f>VLOOKUP($B59&amp;"_"&amp;$D59,'App5 - CRUK Inci Rates'!C:K,9,FALSE)</f>
        <v>409</v>
      </c>
      <c r="K59" s="706">
        <f t="shared" si="7"/>
        <v>2329055.333333333</v>
      </c>
      <c r="L59" s="706">
        <f>VLOOKUP("*"&amp;$B59&amp;"*",'S4 - Summ PRS Characteristics'!$C$13:$Q$20,11,FALSE)*$J59</f>
        <v>289.20291719714777</v>
      </c>
      <c r="M59" s="706">
        <f t="shared" si="8"/>
        <v>119.79708280285223</v>
      </c>
      <c r="N59" s="706">
        <f>IF($C59="other",(1-$C$7)*L59,(1-(VLOOKUP($C59,'S3 - Screening Tool Metrics'!$C$3:$G$17,5,FALSE)/100))*L59)</f>
        <v>93.123339337481596</v>
      </c>
      <c r="O59" s="706">
        <f>IF($C59="other",$C$7*L59,(VLOOKUP($C59,'S3 - Screening Tool Metrics'!$C$3:$G$17,5,FALSE)/100)*L59)</f>
        <v>196.07957785966616</v>
      </c>
      <c r="P59" s="706">
        <f t="shared" si="9"/>
        <v>47.941217080602968</v>
      </c>
      <c r="Q59" s="707">
        <f t="shared" si="49"/>
        <v>931622.1333333333</v>
      </c>
      <c r="R59" s="706">
        <f>VLOOKUP("*"&amp;$B59&amp;"*",'S4 - Summ PRS Characteristics'!$C$13:$Q$20,12,FALSE)*$J59</f>
        <v>156.78989656467834</v>
      </c>
      <c r="S59" s="706">
        <f t="shared" si="57"/>
        <v>252.21010343532166</v>
      </c>
      <c r="T59" s="706">
        <f>IF($C59="other",(1-$C56)*R59,(1-(VLOOKUP($C59,'S3 - Screening Tool Metrics'!$C$3:$G$17,5,FALSE)/100))*R59)</f>
        <v>50.486346693826434</v>
      </c>
      <c r="U59" s="706">
        <f>IF($C59="other",$C56*R59,(VLOOKUP($C59,'S3 - Screening Tool Metrics'!$C$3:$G$17,5,FALSE)/100)*R59)</f>
        <v>106.30354987085191</v>
      </c>
      <c r="V59" s="708">
        <f t="shared" si="50"/>
        <v>25.991087987983352</v>
      </c>
      <c r="W59" s="707">
        <f t="shared" si="51"/>
        <v>465811.06666666665</v>
      </c>
      <c r="X59" s="706">
        <f>VLOOKUP("*"&amp;$B59&amp;"*",'S4 - Summ PRS Characteristics'!$C$13:$Q$20,13,FALSE)*$J59</f>
        <v>94.346021102404137</v>
      </c>
      <c r="Y59" s="706">
        <f t="shared" si="58"/>
        <v>314.65397889759583</v>
      </c>
      <c r="Z59" s="706">
        <f>IF($C59="other",(1-$C56)*X59,(1-(VLOOKUP($C59,'S3 - Screening Tool Metrics'!$C$3:$G$17,5,FALSE)/100))*X59)</f>
        <v>30.379418794974139</v>
      </c>
      <c r="AA59" s="706">
        <f>IF($C59="other",$C56*X59,(VLOOKUP($C59,'S3 - Screening Tool Metrics'!$C$3:$G$17,5,FALSE)/100)*X59)</f>
        <v>63.966602307430001</v>
      </c>
      <c r="AB59" s="708">
        <f t="shared" si="52"/>
        <v>15.63975606538631</v>
      </c>
      <c r="AC59" s="706">
        <f t="shared" si="53"/>
        <v>232905.53333333333</v>
      </c>
      <c r="AD59" s="706">
        <f>VLOOKUP("*"&amp;$B59&amp;"*",'S4 - Summ PRS Characteristics'!$C$13:$Q$20,14,FALSE)*$J59</f>
        <v>55.493816893262654</v>
      </c>
      <c r="AE59" s="706">
        <f t="shared" ref="AE59:AE70" si="60">$J59-AD59</f>
        <v>353.50618310673735</v>
      </c>
      <c r="AF59" s="706">
        <f>IF($C59="other",(1-$C56)*AD59,(1-(VLOOKUP($C59,'S3 - Screening Tool Metrics'!$C$3:$G$17,5,FALSE)/100))*AD59)</f>
        <v>17.86900903963058</v>
      </c>
      <c r="AG59" s="706">
        <f>IF($C59="other",$C56*AD59,(VLOOKUP($C59,'S3 - Screening Tool Metrics'!$C$3:$G$17,5,FALSE)/100)*AD59)</f>
        <v>37.624807853632078</v>
      </c>
      <c r="AH59" s="708">
        <f t="shared" si="54"/>
        <v>9.1992195241154224</v>
      </c>
      <c r="AI59" s="707">
        <f t="shared" si="55"/>
        <v>46581.106666666659</v>
      </c>
      <c r="AJ59" s="706">
        <f>VLOOKUP("*"&amp;$B59&amp;"*",'S4 - Summ PRS Characteristics'!$C$13:$Q$20,15,FALSE)*$J59</f>
        <v>15.305488445341098</v>
      </c>
      <c r="AK59" s="706">
        <f t="shared" si="59"/>
        <v>393.6945115546589</v>
      </c>
      <c r="AL59" s="706">
        <f>IF($C59="other",(1-$C56)*AJ59,(1-(VLOOKUP($C59,'S3 - Screening Tool Metrics'!$C$3:$G$17,5,FALSE)/100))*AJ59)</f>
        <v>4.9283672793998345</v>
      </c>
      <c r="AM59" s="706">
        <f>IF($C59="other",$C56*AJ59,(VLOOKUP($C59,'S3 - Screening Tool Metrics'!$C$3:$G$17,5,FALSE)/100)*AJ59)</f>
        <v>10.377121165941263</v>
      </c>
      <c r="AN59" s="709">
        <f t="shared" si="56"/>
        <v>2.5371934391054434</v>
      </c>
    </row>
    <row r="60" spans="2:40" x14ac:dyDescent="0.15">
      <c r="B60" s="700" t="s">
        <v>12</v>
      </c>
      <c r="C60" s="721" t="str">
        <f>$C57</f>
        <v>CA19-9_20U/mL cutoff</v>
      </c>
      <c r="D60" s="552" t="s">
        <v>195</v>
      </c>
      <c r="E60" s="710">
        <f>VLOOKUP($B60&amp;"_"&amp;$D60,'App5 - CRUK Inci Rates'!C:H,6,FALSE)</f>
        <v>18.3</v>
      </c>
      <c r="F60" s="711">
        <f>VLOOKUP($B60&amp;"_"&amp;$D60,'App5 - CRUK Inci Rates'!C:H,3,FALSE)</f>
        <v>13.6</v>
      </c>
      <c r="G60" s="712">
        <f>VLOOKUP($B60&amp;"_"&amp;$D60,'App5 - CRUK Inci Rates'!C:J,8,FALSE)</f>
        <v>4181606</v>
      </c>
      <c r="H60" s="713">
        <f>VLOOKUP($B60&amp;"_"&amp;$D60,'App5 - CRUK Inci Rates'!C:J,7,FALSE)</f>
        <v>2061918.6666666667</v>
      </c>
      <c r="I60" s="713">
        <f>VLOOKUP($B60&amp;"_"&amp;$D60,'App5 - CRUK Inci Rates'!C:J,4,FALSE)</f>
        <v>2119687.3333333335</v>
      </c>
      <c r="J60" s="709">
        <f>VLOOKUP($B60&amp;"_"&amp;$D60,'App5 - CRUK Inci Rates'!C:K,9,FALSE)</f>
        <v>666</v>
      </c>
      <c r="K60" s="706">
        <f t="shared" si="7"/>
        <v>2090803</v>
      </c>
      <c r="L60" s="706">
        <f>VLOOKUP("*"&amp;$B60&amp;"*",'S4 - Summ PRS Characteristics'!$C$13:$Q$20,11,FALSE)*$J60</f>
        <v>470.92699964132129</v>
      </c>
      <c r="M60" s="706">
        <f t="shared" si="8"/>
        <v>195.07300035867871</v>
      </c>
      <c r="N60" s="706">
        <f>IF($C60="other",(1-$C$7)*L60,(1-(VLOOKUP($C60,'S3 - Screening Tool Metrics'!$C$3:$G$17,5,FALSE)/100))*L60)</f>
        <v>151.63849388450549</v>
      </c>
      <c r="O60" s="706">
        <f>IF($C60="other",$C$7*L60,(VLOOKUP($C60,'S3 - Screening Tool Metrics'!$C$3:$G$17,5,FALSE)/100)*L60)</f>
        <v>319.28850575681582</v>
      </c>
      <c r="P60" s="706">
        <f t="shared" si="9"/>
        <v>47.941217080602975</v>
      </c>
      <c r="Q60" s="707">
        <f t="shared" si="49"/>
        <v>836321.20000000007</v>
      </c>
      <c r="R60" s="706">
        <f>VLOOKUP("*"&amp;$B60&amp;"*",'S4 - Summ PRS Characteristics'!$C$13:$Q$20,12,FALSE)*$J60</f>
        <v>255.31068731558869</v>
      </c>
      <c r="S60" s="706">
        <f t="shared" si="57"/>
        <v>410.68931268441133</v>
      </c>
      <c r="T60" s="706">
        <f>IF($C60="other",(1-$C56)*R60,(1-(VLOOKUP($C60,'S3 - Screening Tool Metrics'!$C$3:$G$17,5,FALSE)/100))*R60)</f>
        <v>82.210041315619577</v>
      </c>
      <c r="U60" s="706">
        <f>IF($C60="other",$C56*R60,(VLOOKUP($C60,'S3 - Screening Tool Metrics'!$C$3:$G$17,5,FALSE)/100)*R60)</f>
        <v>173.10064599996912</v>
      </c>
      <c r="V60" s="708">
        <f t="shared" si="50"/>
        <v>25.991087987983352</v>
      </c>
      <c r="W60" s="707">
        <f t="shared" si="51"/>
        <v>418160.60000000003</v>
      </c>
      <c r="X60" s="706">
        <f>VLOOKUP("*"&amp;$B60&amp;"*",'S4 - Summ PRS Characteristics'!$C$13:$Q$20,13,FALSE)*$J60</f>
        <v>153.62946223521064</v>
      </c>
      <c r="Y60" s="706">
        <f t="shared" si="58"/>
        <v>512.37053776478933</v>
      </c>
      <c r="Z60" s="706">
        <f>IF($C60="other",(1-$C56)*X60,(1-(VLOOKUP($C60,'S3 - Screening Tool Metrics'!$C$3:$G$17,5,FALSE)/100))*X60)</f>
        <v>49.468686839737835</v>
      </c>
      <c r="AA60" s="706">
        <f>IF($C60="other",$C56*X60,(VLOOKUP($C60,'S3 - Screening Tool Metrics'!$C$3:$G$17,5,FALSE)/100)*X60)</f>
        <v>104.1607753954728</v>
      </c>
      <c r="AB60" s="708">
        <f t="shared" si="52"/>
        <v>15.639756065386306</v>
      </c>
      <c r="AC60" s="706">
        <f t="shared" si="53"/>
        <v>209080.30000000002</v>
      </c>
      <c r="AD60" s="706">
        <f>VLOOKUP("*"&amp;$B60&amp;"*",'S4 - Summ PRS Characteristics'!$C$13:$Q$20,14,FALSE)*$J60</f>
        <v>90.364014794408135</v>
      </c>
      <c r="AE60" s="706">
        <f t="shared" si="60"/>
        <v>575.63598520559185</v>
      </c>
      <c r="AF60" s="706">
        <f>IF($C60="other",(1-$C56)*AD60,(1-(VLOOKUP($C60,'S3 - Screening Tool Metrics'!$C$3:$G$17,5,FALSE)/100))*AD60)</f>
        <v>29.097212763799426</v>
      </c>
      <c r="AG60" s="706">
        <f>IF($C60="other",$C56*AD60,(VLOOKUP($C60,'S3 - Screening Tool Metrics'!$C$3:$G$17,5,FALSE)/100)*AD60)</f>
        <v>61.266802030608709</v>
      </c>
      <c r="AH60" s="708">
        <f t="shared" si="54"/>
        <v>9.1992195241154224</v>
      </c>
      <c r="AI60" s="707">
        <f t="shared" si="55"/>
        <v>41816.06</v>
      </c>
      <c r="AJ60" s="706">
        <f>VLOOKUP("*"&amp;$B60&amp;"*",'S4 - Summ PRS Characteristics'!$C$13:$Q$20,15,FALSE)*$J60</f>
        <v>24.922873605372057</v>
      </c>
      <c r="AK60" s="706">
        <f t="shared" si="59"/>
        <v>641.07712639462795</v>
      </c>
      <c r="AL60" s="706">
        <f>IF($C60="other",(1-$C56)*AJ60,(1-(VLOOKUP($C60,'S3 - Screening Tool Metrics'!$C$3:$G$17,5,FALSE)/100))*AJ60)</f>
        <v>8.025165300929805</v>
      </c>
      <c r="AM60" s="706">
        <f>IF($C60="other",$C56*AJ60,(VLOOKUP($C60,'S3 - Screening Tool Metrics'!$C$3:$G$17,5,FALSE)/100)*AJ60)</f>
        <v>16.897708304442254</v>
      </c>
      <c r="AN60" s="709">
        <f t="shared" si="56"/>
        <v>2.5371934391054434</v>
      </c>
    </row>
    <row r="61" spans="2:40" x14ac:dyDescent="0.15">
      <c r="B61" s="700" t="s">
        <v>12</v>
      </c>
      <c r="C61" s="721" t="str">
        <f>$C57</f>
        <v>CA19-9_20U/mL cutoff</v>
      </c>
      <c r="D61" s="552" t="s">
        <v>196</v>
      </c>
      <c r="E61" s="710">
        <f>VLOOKUP($B61&amp;"_"&amp;$D61,'App5 - CRUK Inci Rates'!C:H,6,FALSE)</f>
        <v>29.2</v>
      </c>
      <c r="F61" s="711">
        <f>VLOOKUP($B61&amp;"_"&amp;$D61,'App5 - CRUK Inci Rates'!C:H,3,FALSE)</f>
        <v>22.4</v>
      </c>
      <c r="G61" s="712">
        <f>VLOOKUP($B61&amp;"_"&amp;$D61,'App5 - CRUK Inci Rates'!C:J,8,FALSE)</f>
        <v>3602002</v>
      </c>
      <c r="H61" s="713">
        <f>VLOOKUP($B61&amp;"_"&amp;$D61,'App5 - CRUK Inci Rates'!C:J,7,FALSE)</f>
        <v>1764828</v>
      </c>
      <c r="I61" s="713">
        <f>VLOOKUP($B61&amp;"_"&amp;$D61,'App5 - CRUK Inci Rates'!C:J,4,FALSE)</f>
        <v>1837174</v>
      </c>
      <c r="J61" s="709">
        <f>VLOOKUP($B61&amp;"_"&amp;$D61,'App5 - CRUK Inci Rates'!C:K,9,FALSE)</f>
        <v>926</v>
      </c>
      <c r="K61" s="706">
        <f t="shared" si="7"/>
        <v>1801001</v>
      </c>
      <c r="L61" s="706">
        <f>VLOOKUP("*"&amp;$B61&amp;"*",'S4 - Summ PRS Characteristics'!$C$13:$Q$20,11,FALSE)*$J61</f>
        <v>654.77237487667196</v>
      </c>
      <c r="M61" s="706">
        <f t="shared" si="8"/>
        <v>271.22762512332804</v>
      </c>
      <c r="N61" s="706">
        <f>IF($C61="other",(1-$C$7)*L61,(1-(VLOOKUP($C61,'S3 - Screening Tool Metrics'!$C$3:$G$17,5,FALSE)/100))*L61)</f>
        <v>210.83670471028842</v>
      </c>
      <c r="O61" s="706">
        <f>IF($C61="other",$C$7*L61,(VLOOKUP($C61,'S3 - Screening Tool Metrics'!$C$3:$G$17,5,FALSE)/100)*L61)</f>
        <v>443.93567016638355</v>
      </c>
      <c r="P61" s="706">
        <f t="shared" si="9"/>
        <v>47.941217080602975</v>
      </c>
      <c r="Q61" s="707">
        <f t="shared" si="49"/>
        <v>720400.4</v>
      </c>
      <c r="R61" s="706">
        <f>VLOOKUP("*"&amp;$B61&amp;"*",'S4 - Summ PRS Characteristics'!$C$13:$Q$20,12,FALSE)*$J61</f>
        <v>354.98152620756025</v>
      </c>
      <c r="S61" s="706">
        <f t="shared" si="57"/>
        <v>571.01847379243975</v>
      </c>
      <c r="T61" s="706">
        <f>IF($C61="other",(1-$C56)*R61,(1-(VLOOKUP($C61,'S3 - Screening Tool Metrics'!$C$3:$G$17,5,FALSE)/100))*R61)</f>
        <v>114.30405143883442</v>
      </c>
      <c r="U61" s="706">
        <f>IF($C61="other",$C56*R61,(VLOOKUP($C61,'S3 - Screening Tool Metrics'!$C$3:$G$17,5,FALSE)/100)*R61)</f>
        <v>240.67747476872583</v>
      </c>
      <c r="V61" s="708">
        <f t="shared" si="50"/>
        <v>25.991087987983352</v>
      </c>
      <c r="W61" s="707">
        <f t="shared" si="51"/>
        <v>360200.2</v>
      </c>
      <c r="X61" s="706">
        <f>VLOOKUP("*"&amp;$B61&amp;"*",'S4 - Summ PRS Characteristics'!$C$13:$Q$20,13,FALSE)*$J61</f>
        <v>213.60492797268026</v>
      </c>
      <c r="Y61" s="706">
        <f t="shared" si="58"/>
        <v>712.39507202731977</v>
      </c>
      <c r="Z61" s="706">
        <f>IF($C61="other",(1-$C56)*X61,(1-(VLOOKUP($C61,'S3 - Screening Tool Metrics'!$C$3:$G$17,5,FALSE)/100))*X61)</f>
        <v>68.780786807203057</v>
      </c>
      <c r="AA61" s="706">
        <f>IF($C61="other",$C56*X61,(VLOOKUP($C61,'S3 - Screening Tool Metrics'!$C$3:$G$17,5,FALSE)/100)*X61)</f>
        <v>144.82414116547722</v>
      </c>
      <c r="AB61" s="708">
        <f t="shared" si="52"/>
        <v>15.63975606538631</v>
      </c>
      <c r="AC61" s="706">
        <f t="shared" si="53"/>
        <v>180100.1</v>
      </c>
      <c r="AD61" s="706">
        <f>VLOOKUP("*"&amp;$B61&amp;"*",'S4 - Summ PRS Characteristics'!$C$13:$Q$20,14,FALSE)*$J61</f>
        <v>125.64125780724014</v>
      </c>
      <c r="AE61" s="706">
        <f t="shared" si="60"/>
        <v>800.35874219275991</v>
      </c>
      <c r="AF61" s="706">
        <f>IF($C61="other",(1-$C56)*AD61,(1-(VLOOKUP($C61,'S3 - Screening Tool Metrics'!$C$3:$G$17,5,FALSE)/100))*AD61)</f>
        <v>40.456485013931335</v>
      </c>
      <c r="AG61" s="706">
        <f>IF($C61="other",$C56*AD61,(VLOOKUP($C61,'S3 - Screening Tool Metrics'!$C$3:$G$17,5,FALSE)/100)*AD61)</f>
        <v>85.184772793308809</v>
      </c>
      <c r="AH61" s="708">
        <f t="shared" si="54"/>
        <v>9.1992195241154224</v>
      </c>
      <c r="AI61" s="707">
        <f t="shared" si="55"/>
        <v>36020.020000000004</v>
      </c>
      <c r="AJ61" s="706">
        <f>VLOOKUP("*"&amp;$B61&amp;"*",'S4 - Summ PRS Characteristics'!$C$13:$Q$20,15,FALSE)*$J61</f>
        <v>34.652523961823611</v>
      </c>
      <c r="AK61" s="706">
        <f t="shared" si="59"/>
        <v>891.34747603817641</v>
      </c>
      <c r="AL61" s="706">
        <f>IF($C61="other",(1-$C56)*AJ61,(1-(VLOOKUP($C61,'S3 - Screening Tool Metrics'!$C$3:$G$17,5,FALSE)/100))*AJ61)</f>
        <v>11.158112715707205</v>
      </c>
      <c r="AM61" s="706">
        <f>IF($C61="other",$C56*AJ61,(VLOOKUP($C61,'S3 - Screening Tool Metrics'!$C$3:$G$17,5,FALSE)/100)*AJ61)</f>
        <v>23.494411246116407</v>
      </c>
      <c r="AN61" s="709">
        <f t="shared" si="56"/>
        <v>2.5371934391054434</v>
      </c>
    </row>
    <row r="62" spans="2:40" x14ac:dyDescent="0.15">
      <c r="B62" s="700" t="s">
        <v>12</v>
      </c>
      <c r="C62" s="721" t="str">
        <f>$C57</f>
        <v>CA19-9_20U/mL cutoff</v>
      </c>
      <c r="D62" s="552" t="s">
        <v>197</v>
      </c>
      <c r="E62" s="710">
        <f>VLOOKUP($B62&amp;"_"&amp;$D62,'App5 - CRUK Inci Rates'!C:H,6,FALSE)</f>
        <v>47.2</v>
      </c>
      <c r="F62" s="711">
        <f>VLOOKUP($B62&amp;"_"&amp;$D62,'App5 - CRUK Inci Rates'!C:H,3,FALSE)</f>
        <v>34.1</v>
      </c>
      <c r="G62" s="712">
        <f>VLOOKUP($B62&amp;"_"&amp;$D62,'App5 - CRUK Inci Rates'!C:J,8,FALSE)</f>
        <v>3502183.333333333</v>
      </c>
      <c r="H62" s="713">
        <f>VLOOKUP($B62&amp;"_"&amp;$D62,'App5 - CRUK Inci Rates'!C:J,7,FALSE)</f>
        <v>1696993.3333333333</v>
      </c>
      <c r="I62" s="713">
        <f>VLOOKUP($B62&amp;"_"&amp;$D62,'App5 - CRUK Inci Rates'!C:J,4,FALSE)</f>
        <v>1805190</v>
      </c>
      <c r="J62" s="709">
        <f>VLOOKUP($B62&amp;"_"&amp;$D62,'App5 - CRUK Inci Rates'!C:K,9,FALSE)</f>
        <v>1417</v>
      </c>
      <c r="K62" s="706">
        <f t="shared" si="7"/>
        <v>1751091.6666666665</v>
      </c>
      <c r="L62" s="706">
        <f>VLOOKUP("*"&amp;$B62&amp;"*",'S4 - Summ PRS Characteristics'!$C$13:$Q$20,11,FALSE)*$J62</f>
        <v>1001.957295032661</v>
      </c>
      <c r="M62" s="706">
        <f t="shared" si="8"/>
        <v>415.04270496733898</v>
      </c>
      <c r="N62" s="706">
        <f>IF($C62="other",(1-$C$7)*L62,(1-(VLOOKUP($C62,'S3 - Screening Tool Metrics'!$C$3:$G$17,5,FALSE)/100))*L62)</f>
        <v>322.63024900051693</v>
      </c>
      <c r="O62" s="706">
        <f>IF($C62="other",$C$7*L62,(VLOOKUP($C62,'S3 - Screening Tool Metrics'!$C$3:$G$17,5,FALSE)/100)*L62)</f>
        <v>679.32704603214415</v>
      </c>
      <c r="P62" s="706">
        <f t="shared" si="9"/>
        <v>47.941217080602975</v>
      </c>
      <c r="Q62" s="707">
        <f t="shared" si="49"/>
        <v>700436.66666666663</v>
      </c>
      <c r="R62" s="706">
        <f>VLOOKUP("*"&amp;$B62&amp;"*",'S4 - Summ PRS Characteristics'!$C$13:$Q$20,12,FALSE)*$J62</f>
        <v>543.20607196124502</v>
      </c>
      <c r="S62" s="706">
        <f t="shared" si="57"/>
        <v>873.79392803875498</v>
      </c>
      <c r="T62" s="706">
        <f>IF($C62="other",(1-$C56)*R62,(1-(VLOOKUP($C62,'S3 - Screening Tool Metrics'!$C$3:$G$17,5,FALSE)/100))*R62)</f>
        <v>174.91235517152094</v>
      </c>
      <c r="U62" s="706">
        <f>IF($C62="other",$C56*R62,(VLOOKUP($C62,'S3 - Screening Tool Metrics'!$C$3:$G$17,5,FALSE)/100)*R62)</f>
        <v>368.2937167897241</v>
      </c>
      <c r="V62" s="708">
        <f t="shared" si="50"/>
        <v>25.991087987983352</v>
      </c>
      <c r="W62" s="707">
        <f t="shared" si="51"/>
        <v>350218.33333333331</v>
      </c>
      <c r="X62" s="706">
        <f>VLOOKUP("*"&amp;$B62&amp;"*",'S4 - Summ PRS Characteristics'!$C$13:$Q$20,13,FALSE)*$J62</f>
        <v>326.86628826920941</v>
      </c>
      <c r="Y62" s="706">
        <f t="shared" si="58"/>
        <v>1090.1337117307905</v>
      </c>
      <c r="Z62" s="706">
        <f>IF($C62="other",(1-$C56)*X62,(1-(VLOOKUP($C62,'S3 - Screening Tool Metrics'!$C$3:$G$17,5,FALSE)/100))*X62)</f>
        <v>105.25094482268545</v>
      </c>
      <c r="AA62" s="706">
        <f>IF($C62="other",$C56*X62,(VLOOKUP($C62,'S3 - Screening Tool Metrics'!$C$3:$G$17,5,FALSE)/100)*X62)</f>
        <v>221.61534344652395</v>
      </c>
      <c r="AB62" s="708">
        <f t="shared" si="52"/>
        <v>15.639756065386306</v>
      </c>
      <c r="AC62" s="706">
        <f t="shared" si="53"/>
        <v>175109.16666666666</v>
      </c>
      <c r="AD62" s="706">
        <f>VLOOKUP("*"&amp;$B62&amp;"*",'S4 - Summ PRS Characteristics'!$C$13:$Q$20,14,FALSE)*$J62</f>
        <v>192.26097441993443</v>
      </c>
      <c r="AE62" s="706">
        <f t="shared" si="60"/>
        <v>1224.7390255800656</v>
      </c>
      <c r="AF62" s="706">
        <f>IF($C62="other",(1-$C56)*AD62,(1-(VLOOKUP($C62,'S3 - Screening Tool Metrics'!$C$3:$G$17,5,FALSE)/100))*AD62)</f>
        <v>61.908033763218896</v>
      </c>
      <c r="AG62" s="706">
        <f>IF($C62="other",$C56*AD62,(VLOOKUP($C62,'S3 - Screening Tool Metrics'!$C$3:$G$17,5,FALSE)/100)*AD62)</f>
        <v>130.35294065671553</v>
      </c>
      <c r="AH62" s="708">
        <f t="shared" si="54"/>
        <v>9.1992195241154224</v>
      </c>
      <c r="AI62" s="707">
        <f t="shared" si="55"/>
        <v>35021.833333333328</v>
      </c>
      <c r="AJ62" s="706">
        <f>VLOOKUP("*"&amp;$B62&amp;"*",'S4 - Summ PRS Characteristics'!$C$13:$Q$20,15,FALSE)*$J62</f>
        <v>53.026594442660965</v>
      </c>
      <c r="AK62" s="706">
        <f t="shared" si="59"/>
        <v>1363.973405557339</v>
      </c>
      <c r="AL62" s="706">
        <f>IF($C62="other",(1-$C56)*AJ62,(1-(VLOOKUP($C62,'S3 - Screening Tool Metrics'!$C$3:$G$17,5,FALSE)/100))*AJ62)</f>
        <v>17.074563410536832</v>
      </c>
      <c r="AM62" s="706">
        <f>IF($C62="other",$C56*AJ62,(VLOOKUP($C62,'S3 - Screening Tool Metrics'!$C$3:$G$17,5,FALSE)/100)*AJ62)</f>
        <v>35.952031032124133</v>
      </c>
      <c r="AN62" s="709">
        <f t="shared" si="56"/>
        <v>2.5371934391054434</v>
      </c>
    </row>
    <row r="63" spans="2:40" x14ac:dyDescent="0.15">
      <c r="B63" s="700" t="s">
        <v>12</v>
      </c>
      <c r="C63" s="721" t="str">
        <f>$C57</f>
        <v>CA19-9_20U/mL cutoff</v>
      </c>
      <c r="D63" s="552" t="s">
        <v>198</v>
      </c>
      <c r="E63" s="710">
        <f>VLOOKUP($B63&amp;"_"&amp;$D63,'App5 - CRUK Inci Rates'!C:H,6,FALSE)</f>
        <v>66.400000000000006</v>
      </c>
      <c r="F63" s="711">
        <f>VLOOKUP($B63&amp;"_"&amp;$D63,'App5 - CRUK Inci Rates'!C:H,3,FALSE)</f>
        <v>48.8</v>
      </c>
      <c r="G63" s="712">
        <f>VLOOKUP($B63&amp;"_"&amp;$D63,'App5 - CRUK Inci Rates'!C:J,8,FALSE)</f>
        <v>3071574.666666667</v>
      </c>
      <c r="H63" s="713">
        <f>VLOOKUP($B63&amp;"_"&amp;$D63,'App5 - CRUK Inci Rates'!C:J,7,FALSE)</f>
        <v>1467965</v>
      </c>
      <c r="I63" s="713">
        <f>VLOOKUP($B63&amp;"_"&amp;$D63,'App5 - CRUK Inci Rates'!C:J,4,FALSE)</f>
        <v>1603609.6666666667</v>
      </c>
      <c r="J63" s="709">
        <f>VLOOKUP($B63&amp;"_"&amp;$D63,'App5 - CRUK Inci Rates'!C:K,9,FALSE)</f>
        <v>1757</v>
      </c>
      <c r="K63" s="706">
        <f t="shared" si="7"/>
        <v>1535787.3333333335</v>
      </c>
      <c r="L63" s="706">
        <f>VLOOKUP("*"&amp;$B63&amp;"*",'S4 - Summ PRS Characteristics'!$C$13:$Q$20,11,FALSE)*$J63</f>
        <v>1242.370478032735</v>
      </c>
      <c r="M63" s="706">
        <f t="shared" si="8"/>
        <v>514.62952196726496</v>
      </c>
      <c r="N63" s="706">
        <f>IF($C63="other",(1-$C$7)*L63,(1-(VLOOKUP($C63,'S3 - Screening Tool Metrics'!$C$3:$G$17,5,FALSE)/100))*L63)</f>
        <v>400.04329392654074</v>
      </c>
      <c r="O63" s="706">
        <f>IF($C63="other",$C$7*L63,(VLOOKUP($C63,'S3 - Screening Tool Metrics'!$C$3:$G$17,5,FALSE)/100)*L63)</f>
        <v>842.3271841061943</v>
      </c>
      <c r="P63" s="706">
        <f t="shared" si="9"/>
        <v>47.941217080602975</v>
      </c>
      <c r="Q63" s="707">
        <f t="shared" si="49"/>
        <v>614314.93333333347</v>
      </c>
      <c r="R63" s="706">
        <f>VLOOKUP("*"&amp;$B63&amp;"*",'S4 - Summ PRS Characteristics'!$C$13:$Q$20,12,FALSE)*$J63</f>
        <v>673.54486128151552</v>
      </c>
      <c r="S63" s="706">
        <f t="shared" si="57"/>
        <v>1083.4551387184845</v>
      </c>
      <c r="T63" s="706">
        <f>IF($C63="other",(1-$C56)*R63,(1-(VLOOKUP($C63,'S3 - Screening Tool Metrics'!$C$3:$G$17,5,FALSE)/100))*R63)</f>
        <v>216.88144533264804</v>
      </c>
      <c r="U63" s="706">
        <f>IF($C63="other",$C56*R63,(VLOOKUP($C63,'S3 - Screening Tool Metrics'!$C$3:$G$17,5,FALSE)/100)*R63)</f>
        <v>456.66341594886751</v>
      </c>
      <c r="V63" s="708">
        <f t="shared" si="50"/>
        <v>25.991087987983352</v>
      </c>
      <c r="W63" s="707">
        <f t="shared" si="51"/>
        <v>307157.46666666673</v>
      </c>
      <c r="X63" s="706">
        <f>VLOOKUP("*"&amp;$B63&amp;"*",'S4 - Summ PRS Characteristics'!$C$13:$Q$20,13,FALSE)*$J63</f>
        <v>405.29574346436203</v>
      </c>
      <c r="Y63" s="706">
        <f t="shared" si="58"/>
        <v>1351.704256535638</v>
      </c>
      <c r="Z63" s="706">
        <f>IF($C63="other",(1-$C56)*X63,(1-(VLOOKUP($C63,'S3 - Screening Tool Metrics'!$C$3:$G$17,5,FALSE)/100))*X63)</f>
        <v>130.50522939552459</v>
      </c>
      <c r="AA63" s="706">
        <f>IF($C63="other",$C56*X63,(VLOOKUP($C63,'S3 - Screening Tool Metrics'!$C$3:$G$17,5,FALSE)/100)*X63)</f>
        <v>274.79051406883741</v>
      </c>
      <c r="AB63" s="708">
        <f t="shared" si="52"/>
        <v>15.639756065386306</v>
      </c>
      <c r="AC63" s="706">
        <f t="shared" si="53"/>
        <v>153578.73333333337</v>
      </c>
      <c r="AD63" s="706">
        <f>VLOOKUP("*"&amp;$B63&amp;"*",'S4 - Summ PRS Characteristics'!$C$13:$Q$20,14,FALSE)*$J63</f>
        <v>238.39275374440706</v>
      </c>
      <c r="AE63" s="706">
        <f t="shared" si="60"/>
        <v>1518.6072462555931</v>
      </c>
      <c r="AF63" s="706">
        <f>IF($C63="other",(1-$C56)*AD63,(1-(VLOOKUP($C63,'S3 - Screening Tool Metrics'!$C$3:$G$17,5,FALSE)/100))*AD63)</f>
        <v>76.762466705699083</v>
      </c>
      <c r="AG63" s="706">
        <f>IF($C63="other",$C56*AD63,(VLOOKUP($C63,'S3 - Screening Tool Metrics'!$C$3:$G$17,5,FALSE)/100)*AD63)</f>
        <v>161.63028703870796</v>
      </c>
      <c r="AH63" s="708">
        <f t="shared" si="54"/>
        <v>9.1992195241154224</v>
      </c>
      <c r="AI63" s="707">
        <f t="shared" si="55"/>
        <v>30715.74666666667</v>
      </c>
      <c r="AJ63" s="706">
        <f>VLOOKUP("*"&amp;$B63&amp;"*",'S4 - Summ PRS Characteristics'!$C$13:$Q$20,15,FALSE)*$J63</f>
        <v>65.74998337032838</v>
      </c>
      <c r="AK63" s="706">
        <f t="shared" si="59"/>
        <v>1691.2500166296716</v>
      </c>
      <c r="AL63" s="706">
        <f>IF($C63="other",(1-$C56)*AJ63,(1-(VLOOKUP($C63,'S3 - Screening Tool Metrics'!$C$3:$G$17,5,FALSE)/100))*AJ63)</f>
        <v>21.171494645245744</v>
      </c>
      <c r="AM63" s="706">
        <f>IF($C63="other",$C56*AJ63,(VLOOKUP($C63,'S3 - Screening Tool Metrics'!$C$3:$G$17,5,FALSE)/100)*AJ63)</f>
        <v>44.578488725082636</v>
      </c>
      <c r="AN63" s="709">
        <f t="shared" si="56"/>
        <v>2.5371934391054429</v>
      </c>
    </row>
    <row r="64" spans="2:40" x14ac:dyDescent="0.15">
      <c r="B64" s="700" t="s">
        <v>12</v>
      </c>
      <c r="C64" s="721" t="str">
        <f>$C57</f>
        <v>CA19-9_20U/mL cutoff</v>
      </c>
      <c r="D64" s="552" t="s">
        <v>199</v>
      </c>
      <c r="E64" s="710">
        <f>VLOOKUP($B64&amp;"_"&amp;$D64,'App5 - CRUK Inci Rates'!C:H,6,FALSE)</f>
        <v>86</v>
      </c>
      <c r="F64" s="711">
        <f>VLOOKUP($B64&amp;"_"&amp;$D64,'App5 - CRUK Inci Rates'!C:H,3,FALSE)</f>
        <v>70.8</v>
      </c>
      <c r="G64" s="712">
        <f>VLOOKUP($B64&amp;"_"&amp;$D64,'App5 - CRUK Inci Rates'!C:J,8,FALSE)</f>
        <v>2189010.6666666665</v>
      </c>
      <c r="H64" s="713">
        <f>VLOOKUP($B64&amp;"_"&amp;$D64,'App5 - CRUK Inci Rates'!C:J,7,FALSE)</f>
        <v>1007365.3333333334</v>
      </c>
      <c r="I64" s="713">
        <f>VLOOKUP($B64&amp;"_"&amp;$D64,'App5 - CRUK Inci Rates'!C:J,4,FALSE)</f>
        <v>1181645.3333333333</v>
      </c>
      <c r="J64" s="709">
        <f>VLOOKUP($B64&amp;"_"&amp;$D64,'App5 - CRUK Inci Rates'!C:K,9,FALSE)</f>
        <v>1702</v>
      </c>
      <c r="K64" s="706">
        <f t="shared" si="7"/>
        <v>1094505.3333333333</v>
      </c>
      <c r="L64" s="706">
        <f>VLOOKUP("*"&amp;$B64&amp;"*",'S4 - Summ PRS Characteristics'!$C$13:$Q$20,11,FALSE)*$J64</f>
        <v>1203.4801101944877</v>
      </c>
      <c r="M64" s="706">
        <f t="shared" si="8"/>
        <v>498.51988980551232</v>
      </c>
      <c r="N64" s="706">
        <f>IF($C64="other",(1-$C$7)*L64,(1-(VLOOKUP($C64,'S3 - Screening Tool Metrics'!$C$3:$G$17,5,FALSE)/100))*L64)</f>
        <v>387.52059548262508</v>
      </c>
      <c r="O64" s="706">
        <f>IF($C64="other",$C$7*L64,(VLOOKUP($C64,'S3 - Screening Tool Metrics'!$C$3:$G$17,5,FALSE)/100)*L64)</f>
        <v>815.95951471186254</v>
      </c>
      <c r="P64" s="706">
        <f t="shared" si="9"/>
        <v>47.941217080602968</v>
      </c>
      <c r="Q64" s="707">
        <f t="shared" si="49"/>
        <v>437802.1333333333</v>
      </c>
      <c r="R64" s="706">
        <f>VLOOKUP("*"&amp;$B64&amp;"*",'S4 - Summ PRS Characteristics'!$C$13:$Q$20,12,FALSE)*$J64</f>
        <v>652.46064536205995</v>
      </c>
      <c r="S64" s="706">
        <f t="shared" si="57"/>
        <v>1049.5393546379401</v>
      </c>
      <c r="T64" s="706">
        <f>IF($C64="other",(1-$C56)*R64,(1-(VLOOKUP($C64,'S3 - Screening Tool Metrics'!$C$3:$G$17,5,FALSE)/100))*R64)</f>
        <v>210.09232780658334</v>
      </c>
      <c r="U64" s="706">
        <f>IF($C64="other",$C56*R64,(VLOOKUP($C64,'S3 - Screening Tool Metrics'!$C$3:$G$17,5,FALSE)/100)*R64)</f>
        <v>442.36831755547661</v>
      </c>
      <c r="V64" s="708">
        <f t="shared" si="50"/>
        <v>25.991087987983345</v>
      </c>
      <c r="W64" s="707">
        <f t="shared" si="51"/>
        <v>218901.06666666665</v>
      </c>
      <c r="X64" s="706">
        <f>VLOOKUP("*"&amp;$B64&amp;"*",'S4 - Summ PRS Characteristics'!$C$13:$Q$20,13,FALSE)*$J64</f>
        <v>392.60862571220497</v>
      </c>
      <c r="Y64" s="706">
        <f t="shared" si="58"/>
        <v>1309.3913742877951</v>
      </c>
      <c r="Z64" s="706">
        <f>IF($C64="other",(1-$C56)*X64,(1-(VLOOKUP($C64,'S3 - Screening Tool Metrics'!$C$3:$G$17,5,FALSE)/100))*X64)</f>
        <v>126.41997747933003</v>
      </c>
      <c r="AA64" s="706">
        <f>IF($C64="other",$C56*X64,(VLOOKUP($C64,'S3 - Screening Tool Metrics'!$C$3:$G$17,5,FALSE)/100)*X64)</f>
        <v>266.18864823287493</v>
      </c>
      <c r="AB64" s="708">
        <f t="shared" si="52"/>
        <v>15.639756065386306</v>
      </c>
      <c r="AC64" s="706">
        <f t="shared" si="53"/>
        <v>109450.53333333333</v>
      </c>
      <c r="AD64" s="706">
        <f>VLOOKUP("*"&amp;$B64&amp;"*",'S4 - Summ PRS Characteristics'!$C$13:$Q$20,14,FALSE)*$J64</f>
        <v>230.93026003015413</v>
      </c>
      <c r="AE64" s="706">
        <f t="shared" si="60"/>
        <v>1471.0697399698458</v>
      </c>
      <c r="AF64" s="706">
        <f>IF($C64="other",(1-$C56)*AD64,(1-(VLOOKUP($C64,'S3 - Screening Tool Metrics'!$C$3:$G$17,5,FALSE)/100))*AD64)</f>
        <v>74.359543729709642</v>
      </c>
      <c r="AG64" s="706">
        <f>IF($C64="other",$C56*AD64,(VLOOKUP($C64,'S3 - Screening Tool Metrics'!$C$3:$G$17,5,FALSE)/100)*AD64)</f>
        <v>156.57071630044447</v>
      </c>
      <c r="AH64" s="708">
        <f t="shared" si="54"/>
        <v>9.1992195241154224</v>
      </c>
      <c r="AI64" s="707">
        <f t="shared" si="55"/>
        <v>21890.106666666667</v>
      </c>
      <c r="AJ64" s="706">
        <f>VLOOKUP("*"&amp;$B64&amp;"*",'S4 - Summ PRS Characteristics'!$C$13:$Q$20,15,FALSE)*$J64</f>
        <v>63.69178810261748</v>
      </c>
      <c r="AK64" s="706">
        <f t="shared" si="59"/>
        <v>1638.3082118973825</v>
      </c>
      <c r="AL64" s="706">
        <f>IF($C64="other",(1-$C56)*AJ64,(1-(VLOOKUP($C64,'S3 - Screening Tool Metrics'!$C$3:$G$17,5,FALSE)/100))*AJ64)</f>
        <v>20.508755769042832</v>
      </c>
      <c r="AM64" s="706">
        <f>IF($C64="other",$C56*AJ64,(VLOOKUP($C64,'S3 - Screening Tool Metrics'!$C$3:$G$17,5,FALSE)/100)*AJ64)</f>
        <v>43.183032333574644</v>
      </c>
      <c r="AN64" s="709">
        <f t="shared" si="56"/>
        <v>2.5371934391054434</v>
      </c>
    </row>
    <row r="65" spans="2:40" x14ac:dyDescent="0.15">
      <c r="B65" s="700" t="s">
        <v>12</v>
      </c>
      <c r="C65" s="721" t="str">
        <f>$C57</f>
        <v>CA19-9_20U/mL cutoff</v>
      </c>
      <c r="D65" s="552" t="s">
        <v>200</v>
      </c>
      <c r="E65" s="710">
        <f>VLOOKUP($B65&amp;"_"&amp;$D65,'App5 - CRUK Inci Rates'!C:H,6,FALSE)</f>
        <v>17.427226372970985</v>
      </c>
      <c r="F65" s="711">
        <f>VLOOKUP($B65&amp;"_"&amp;$D65,'App5 - CRUK Inci Rates'!C:H,3,FALSE)</f>
        <v>12.96374185444887</v>
      </c>
      <c r="G65" s="712">
        <f>VLOOKUP($B65&amp;"_"&amp;$D65,'App5 - CRUK Inci Rates'!C:J,8,FALSE)</f>
        <v>24586669.333333336</v>
      </c>
      <c r="H65" s="713">
        <f>VLOOKUP($B65&amp;"_"&amp;$D65,'App5 - CRUK Inci Rates'!C:J,7,FALSE)</f>
        <v>12090277.333333334</v>
      </c>
      <c r="I65" s="713">
        <f>VLOOKUP($B65&amp;"_"&amp;$D65,'App5 - CRUK Inci Rates'!C:J,4,FALSE)</f>
        <v>12496392</v>
      </c>
      <c r="J65" s="709">
        <f>VLOOKUP($B65&amp;"_"&amp;$D65,'App5 - CRUK Inci Rates'!C:K,9,FALSE)</f>
        <v>3727</v>
      </c>
      <c r="K65" s="706">
        <f t="shared" si="7"/>
        <v>12293334.666666668</v>
      </c>
      <c r="L65" s="706">
        <f>VLOOKUP("*"&amp;$B65&amp;"*",'S4 - Summ PRS Characteristics'!$C$13:$Q$20,11,FALSE)*$J65</f>
        <v>2635.3527442390455</v>
      </c>
      <c r="M65" s="706">
        <f t="shared" si="8"/>
        <v>1091.6472557609545</v>
      </c>
      <c r="N65" s="706">
        <f>IF($C65="other",(1-$C$7)*L65,(1-(VLOOKUP($C65,'S3 - Screening Tool Metrics'!$C$3:$G$17,5,FALSE)/100))*L65)</f>
        <v>848.5835836449728</v>
      </c>
      <c r="O65" s="706">
        <f>IF($C65="other",$C$7*L65,(VLOOKUP($C65,'S3 - Screening Tool Metrics'!$C$3:$G$17,5,FALSE)/100)*L65)</f>
        <v>1786.7691605940727</v>
      </c>
      <c r="P65" s="706">
        <f t="shared" si="9"/>
        <v>47.941217080602968</v>
      </c>
      <c r="Q65" s="707">
        <f t="shared" si="49"/>
        <v>4917333.8666666672</v>
      </c>
      <c r="R65" s="706">
        <f>VLOOKUP("*"&amp;$B65&amp;"*",'S4 - Summ PRS Characteristics'!$C$13:$Q$20,12,FALSE)*$J65</f>
        <v>1428.7431405783771</v>
      </c>
      <c r="S65" s="706">
        <f t="shared" si="57"/>
        <v>2298.2568594216227</v>
      </c>
      <c r="T65" s="706">
        <f>IF($C65="other",(1-$C56)*R65,(1-(VLOOKUP($C65,'S3 - Screening Tool Metrics'!$C$3:$G$17,5,FALSE)/100))*R65)</f>
        <v>460.05529126623748</v>
      </c>
      <c r="U65" s="706">
        <f>IF($C65="other",$C56*R65,(VLOOKUP($C65,'S3 - Screening Tool Metrics'!$C$3:$G$17,5,FALSE)/100)*R65)</f>
        <v>968.68784931213952</v>
      </c>
      <c r="V65" s="708">
        <f t="shared" si="50"/>
        <v>25.991087987983352</v>
      </c>
      <c r="W65" s="707">
        <f t="shared" si="51"/>
        <v>2458666.9333333336</v>
      </c>
      <c r="X65" s="706">
        <f>VLOOKUP("*"&amp;$B65&amp;"*",'S4 - Summ PRS Characteristics'!$C$13:$Q$20,13,FALSE)*$J65</f>
        <v>859.72523385980492</v>
      </c>
      <c r="Y65" s="706">
        <f t="shared" si="58"/>
        <v>2867.274766140195</v>
      </c>
      <c r="Z65" s="706">
        <f>IF($C65="other",(1-$C56)*X65,(1-(VLOOKUP($C65,'S3 - Screening Tool Metrics'!$C$3:$G$17,5,FALSE)/100))*X65)</f>
        <v>276.83152530285724</v>
      </c>
      <c r="AA65" s="706">
        <f>IF($C65="other",$C56*X65,(VLOOKUP($C65,'S3 - Screening Tool Metrics'!$C$3:$G$17,5,FALSE)/100)*X65)</f>
        <v>582.89370855694767</v>
      </c>
      <c r="AB65" s="708">
        <f t="shared" si="52"/>
        <v>15.639756065386306</v>
      </c>
      <c r="AC65" s="706">
        <f t="shared" si="53"/>
        <v>1229333.4666666668</v>
      </c>
      <c r="AD65" s="706">
        <f>VLOOKUP("*"&amp;$B65&amp;"*",'S4 - Summ PRS Characteristics'!$C$13:$Q$20,14,FALSE)*$J65</f>
        <v>505.68571041855722</v>
      </c>
      <c r="AE65" s="706">
        <f t="shared" si="60"/>
        <v>3221.3142895814426</v>
      </c>
      <c r="AF65" s="706">
        <f>IF($C65="other",(1-$C56)*AD65,(1-(VLOOKUP($C65,'S3 - Screening Tool Metrics'!$C$3:$G$17,5,FALSE)/100))*AD65)</f>
        <v>162.83079875477546</v>
      </c>
      <c r="AG65" s="706">
        <f>IF($C65="other",$C56*AD65,(VLOOKUP($C65,'S3 - Screening Tool Metrics'!$C$3:$G$17,5,FALSE)/100)*AD65)</f>
        <v>342.85491166378176</v>
      </c>
      <c r="AH65" s="708">
        <f t="shared" si="54"/>
        <v>9.1992195241154224</v>
      </c>
      <c r="AI65" s="707">
        <f t="shared" si="55"/>
        <v>245866.69333333336</v>
      </c>
      <c r="AJ65" s="706">
        <f>VLOOKUP("*"&amp;$B65&amp;"*",'S4 - Summ PRS Characteristics'!$C$13:$Q$20,15,FALSE)*$J65</f>
        <v>139.47079568651901</v>
      </c>
      <c r="AK65" s="706">
        <f t="shared" si="59"/>
        <v>3587.5292043134809</v>
      </c>
      <c r="AL65" s="706">
        <f>IF($C65="other",(1-$C56)*AJ65,(1-(VLOOKUP($C65,'S3 - Screening Tool Metrics'!$C$3:$G$17,5,FALSE)/100))*AJ65)</f>
        <v>44.909596211059132</v>
      </c>
      <c r="AM65" s="706">
        <f>IF($C65="other",$C56*AJ65,(VLOOKUP($C65,'S3 - Screening Tool Metrics'!$C$3:$G$17,5,FALSE)/100)*AJ65)</f>
        <v>94.561199475459887</v>
      </c>
      <c r="AN65" s="709">
        <f t="shared" si="56"/>
        <v>2.5371934391054438</v>
      </c>
    </row>
    <row r="66" spans="2:40" x14ac:dyDescent="0.15">
      <c r="B66" s="700" t="s">
        <v>12</v>
      </c>
      <c r="C66" s="721" t="str">
        <f>$C57</f>
        <v>CA19-9_20U/mL cutoff</v>
      </c>
      <c r="D66" s="552" t="s">
        <v>201</v>
      </c>
      <c r="E66" s="710">
        <f>VLOOKUP($B66&amp;"_"&amp;$D66,'App5 - CRUK Inci Rates'!C:H,6,FALSE)</f>
        <v>4.1656285098735539</v>
      </c>
      <c r="F66" s="711">
        <f>VLOOKUP($B66&amp;"_"&amp;$D66,'App5 - CRUK Inci Rates'!C:H,3,FALSE)</f>
        <v>2.9979156476550499</v>
      </c>
      <c r="G66" s="712">
        <f>VLOOKUP($B66&amp;"_"&amp;$D66,'App5 - CRUK Inci Rates'!C:J,8,FALSE)</f>
        <v>8642767.333333334</v>
      </c>
      <c r="H66" s="713">
        <f>VLOOKUP($B66&amp;"_"&amp;$D66,'App5 - CRUK Inci Rates'!C:J,7,FALSE)</f>
        <v>4273064.666666667</v>
      </c>
      <c r="I66" s="713">
        <f>VLOOKUP($B66&amp;"_"&amp;$D66,'App5 - CRUK Inci Rates'!C:J,4,FALSE)</f>
        <v>4369702.666666667</v>
      </c>
      <c r="J66" s="709">
        <f>VLOOKUP($B66&amp;"_"&amp;$D66,'App5 - CRUK Inci Rates'!C:K,9,FALSE)</f>
        <v>309</v>
      </c>
      <c r="K66" s="706">
        <f t="shared" si="7"/>
        <v>4321383.666666667</v>
      </c>
      <c r="L66" s="706">
        <f>VLOOKUP("*"&amp;$B66&amp;"*",'S4 - Summ PRS Characteristics'!$C$13:$Q$20,11,FALSE)*$J66</f>
        <v>218.49315749124366</v>
      </c>
      <c r="M66" s="706">
        <f t="shared" si="8"/>
        <v>90.506842508756336</v>
      </c>
      <c r="N66" s="706">
        <f>IF($C66="other",(1-$C$7)*L66,(1-(VLOOKUP($C66,'S3 - Screening Tool Metrics'!$C$3:$G$17,5,FALSE)/100))*L66)</f>
        <v>70.354796712180473</v>
      </c>
      <c r="O66" s="706">
        <f>IF($C66="other",$C$7*L66,(VLOOKUP($C66,'S3 - Screening Tool Metrics'!$C$3:$G$17,5,FALSE)/100)*L66)</f>
        <v>148.13836077906319</v>
      </c>
      <c r="P66" s="706">
        <f t="shared" si="9"/>
        <v>47.941217080602975</v>
      </c>
      <c r="Q66" s="707">
        <f t="shared" si="49"/>
        <v>1728553.4666666668</v>
      </c>
      <c r="R66" s="706">
        <f>VLOOKUP("*"&amp;$B66&amp;"*",'S4 - Summ PRS Characteristics'!$C$13:$Q$20,12,FALSE)*$J66</f>
        <v>118.45495852930466</v>
      </c>
      <c r="S66" s="706">
        <f t="shared" si="57"/>
        <v>190.54504147069534</v>
      </c>
      <c r="T66" s="706">
        <f>IF($C66="other",(1-$C56)*R66,(1-(VLOOKUP($C66,'S3 - Screening Tool Metrics'!$C$3:$G$17,5,FALSE)/100))*R66)</f>
        <v>38.142496646436108</v>
      </c>
      <c r="U66" s="706">
        <f>IF($C66="other",$C56*R66,(VLOOKUP($C66,'S3 - Screening Tool Metrics'!$C$3:$G$17,5,FALSE)/100)*R66)</f>
        <v>80.312461882868547</v>
      </c>
      <c r="V66" s="708">
        <f t="shared" si="50"/>
        <v>25.991087987983345</v>
      </c>
      <c r="W66" s="707">
        <f t="shared" si="51"/>
        <v>864276.7333333334</v>
      </c>
      <c r="X66" s="706">
        <f>VLOOKUP("*"&amp;$B66&amp;"*",'S4 - Summ PRS Characteristics'!$C$13:$Q$20,13,FALSE)*$J66</f>
        <v>71.278534280300434</v>
      </c>
      <c r="Y66" s="706">
        <f t="shared" si="58"/>
        <v>237.72146571969955</v>
      </c>
      <c r="Z66" s="706">
        <f>IF($C66="other",(1-$C56)*X66,(1-(VLOOKUP($C66,'S3 - Screening Tool Metrics'!$C$3:$G$17,5,FALSE)/100))*X66)</f>
        <v>22.951688038256744</v>
      </c>
      <c r="AA66" s="706">
        <f>IF($C66="other",$C56*X66,(VLOOKUP($C66,'S3 - Screening Tool Metrics'!$C$3:$G$17,5,FALSE)/100)*X66)</f>
        <v>48.326846242043686</v>
      </c>
      <c r="AB66" s="708">
        <f t="shared" si="52"/>
        <v>15.639756065386306</v>
      </c>
      <c r="AC66" s="706">
        <f t="shared" si="53"/>
        <v>432138.3666666667</v>
      </c>
      <c r="AD66" s="706">
        <f>VLOOKUP("*"&amp;$B66&amp;"*",'S4 - Summ PRS Characteristics'!$C$13:$Q$20,14,FALSE)*$J66</f>
        <v>41.925646503711882</v>
      </c>
      <c r="AE66" s="706">
        <f t="shared" si="60"/>
        <v>267.0743534962881</v>
      </c>
      <c r="AF66" s="706">
        <f>IF($C66="other",(1-$C56)*AD66,(1-(VLOOKUP($C66,'S3 - Screening Tool Metrics'!$C$3:$G$17,5,FALSE)/100))*AD66)</f>
        <v>13.500058174195228</v>
      </c>
      <c r="AG66" s="706">
        <f>IF($C66="other",$C56*AD66,(VLOOKUP($C66,'S3 - Screening Tool Metrics'!$C$3:$G$17,5,FALSE)/100)*AD66)</f>
        <v>28.425588329516653</v>
      </c>
      <c r="AH66" s="708">
        <f t="shared" si="54"/>
        <v>9.1992195241154224</v>
      </c>
      <c r="AI66" s="707">
        <f t="shared" si="55"/>
        <v>86427.67333333334</v>
      </c>
      <c r="AJ66" s="706">
        <f>VLOOKUP("*"&amp;$B66&amp;"*",'S4 - Summ PRS Characteristics'!$C$13:$Q$20,15,FALSE)*$J66</f>
        <v>11.563315231321269</v>
      </c>
      <c r="AK66" s="706">
        <f t="shared" si="59"/>
        <v>297.43668476867873</v>
      </c>
      <c r="AL66" s="706">
        <f>IF($C66="other",(1-$C56)*AJ66,(1-(VLOOKUP($C66,'S3 - Screening Tool Metrics'!$C$3:$G$17,5,FALSE)/100))*AJ66)</f>
        <v>3.7233875044854492</v>
      </c>
      <c r="AM66" s="706">
        <f>IF($C66="other",$C56*AJ66,(VLOOKUP($C66,'S3 - Screening Tool Metrics'!$C$3:$G$17,5,FALSE)/100)*AJ66)</f>
        <v>7.8399277268358194</v>
      </c>
      <c r="AN66" s="709">
        <f t="shared" si="56"/>
        <v>2.5371934391054429</v>
      </c>
    </row>
    <row r="67" spans="2:40" x14ac:dyDescent="0.15">
      <c r="B67" s="700" t="s">
        <v>12</v>
      </c>
      <c r="C67" s="721" t="str">
        <f>$C57</f>
        <v>CA19-9_20U/mL cutoff</v>
      </c>
      <c r="D67" s="552" t="s">
        <v>202</v>
      </c>
      <c r="E67" s="710">
        <f>VLOOKUP($B67&amp;"_"&amp;$D67,'App5 - CRUK Inci Rates'!C:H,6,FALSE)</f>
        <v>14.074510258320455</v>
      </c>
      <c r="F67" s="711">
        <f>VLOOKUP($B67&amp;"_"&amp;$D67,'App5 - CRUK Inci Rates'!C:H,3,FALSE)</f>
        <v>10.302553130251624</v>
      </c>
      <c r="G67" s="712">
        <f>VLOOKUP($B67&amp;"_"&amp;$D67,'App5 - CRUK Inci Rates'!C:J,8,FALSE)</f>
        <v>8839716.6666666679</v>
      </c>
      <c r="H67" s="713">
        <f>VLOOKUP($B67&amp;"_"&amp;$D67,'App5 - CRUK Inci Rates'!C:J,7,FALSE)</f>
        <v>4355391.333333333</v>
      </c>
      <c r="I67" s="713">
        <f>VLOOKUP($B67&amp;"_"&amp;$D67,'App5 - CRUK Inci Rates'!C:J,4,FALSE)</f>
        <v>4484325.333333334</v>
      </c>
      <c r="J67" s="709">
        <f>VLOOKUP($B67&amp;"_"&amp;$D67,'App5 - CRUK Inci Rates'!C:K,9,FALSE)</f>
        <v>1075</v>
      </c>
      <c r="K67" s="706">
        <f t="shared" si="7"/>
        <v>4419858.333333334</v>
      </c>
      <c r="L67" s="706">
        <f>VLOOKUP("*"&amp;$B67&amp;"*",'S4 - Summ PRS Characteristics'!$C$13:$Q$20,11,FALSE)*$J67</f>
        <v>760.12991683846906</v>
      </c>
      <c r="M67" s="706">
        <f t="shared" si="8"/>
        <v>314.87008316153094</v>
      </c>
      <c r="N67" s="706">
        <f>IF($C67="other",(1-$C$7)*L67,(1-(VLOOKUP($C67,'S3 - Screening Tool Metrics'!$C$3:$G$17,5,FALSE)/100))*L67)</f>
        <v>244.76183322198708</v>
      </c>
      <c r="O67" s="706">
        <f>IF($C67="other",$C$7*L67,(VLOOKUP($C67,'S3 - Screening Tool Metrics'!$C$3:$G$17,5,FALSE)/100)*L67)</f>
        <v>515.36808361648195</v>
      </c>
      <c r="P67" s="706">
        <f t="shared" si="9"/>
        <v>47.941217080602968</v>
      </c>
      <c r="Q67" s="707">
        <f t="shared" si="49"/>
        <v>1767943.3333333337</v>
      </c>
      <c r="R67" s="706">
        <f>VLOOKUP("*"&amp;$B67&amp;"*",'S4 - Summ PRS Characteristics'!$C$13:$Q$20,12,FALSE)*$J67</f>
        <v>412.10058388026704</v>
      </c>
      <c r="S67" s="706">
        <f t="shared" si="57"/>
        <v>662.8994161197329</v>
      </c>
      <c r="T67" s="706">
        <f>IF($C67="other",(1-$C56)*R67,(1-(VLOOKUP($C67,'S3 - Screening Tool Metrics'!$C$3:$G$17,5,FALSE)/100))*R67)</f>
        <v>132.69638800944603</v>
      </c>
      <c r="U67" s="706">
        <f>IF($C67="other",$C56*R67,(VLOOKUP($C67,'S3 - Screening Tool Metrics'!$C$3:$G$17,5,FALSE)/100)*R67)</f>
        <v>279.40419587082101</v>
      </c>
      <c r="V67" s="708">
        <f t="shared" si="50"/>
        <v>25.991087987983352</v>
      </c>
      <c r="W67" s="707">
        <f t="shared" si="51"/>
        <v>883971.66666666686</v>
      </c>
      <c r="X67" s="706">
        <f>VLOOKUP("*"&amp;$B67&amp;"*",'S4 - Summ PRS Characteristics'!$C$13:$Q$20,13,FALSE)*$J67</f>
        <v>247.97548333761478</v>
      </c>
      <c r="Y67" s="706">
        <f t="shared" si="58"/>
        <v>827.02451666238517</v>
      </c>
      <c r="Z67" s="706">
        <f>IF($C67="other",(1-$C56)*X67,(1-(VLOOKUP($C67,'S3 - Screening Tool Metrics'!$C$3:$G$17,5,FALSE)/100))*X67)</f>
        <v>79.84810563471197</v>
      </c>
      <c r="AA67" s="706">
        <f>IF($C67="other",$C56*X67,(VLOOKUP($C67,'S3 - Screening Tool Metrics'!$C$3:$G$17,5,FALSE)/100)*X67)</f>
        <v>168.12737770290281</v>
      </c>
      <c r="AB67" s="708">
        <f t="shared" si="52"/>
        <v>15.639756065386306</v>
      </c>
      <c r="AC67" s="706">
        <f t="shared" si="53"/>
        <v>441985.83333333343</v>
      </c>
      <c r="AD67" s="706">
        <f>VLOOKUP("*"&amp;$B67&amp;"*",'S4 - Summ PRS Characteristics'!$C$13:$Q$20,14,FALSE)*$J67</f>
        <v>145.8578316876708</v>
      </c>
      <c r="AE67" s="706">
        <f t="shared" si="60"/>
        <v>929.1421683123292</v>
      </c>
      <c r="AF67" s="706">
        <f>IF($C67="other",(1-$C56)*AD67,(1-(VLOOKUP($C67,'S3 - Screening Tool Metrics'!$C$3:$G$17,5,FALSE)/100))*AD67)</f>
        <v>46.966221803430003</v>
      </c>
      <c r="AG67" s="706">
        <f>IF($C67="other",$C56*AD67,(VLOOKUP($C67,'S3 - Screening Tool Metrics'!$C$3:$G$17,5,FALSE)/100)*AD67)</f>
        <v>98.891609884240793</v>
      </c>
      <c r="AH67" s="708">
        <f t="shared" si="54"/>
        <v>9.1992195241154224</v>
      </c>
      <c r="AI67" s="707">
        <f t="shared" si="55"/>
        <v>88397.166666666686</v>
      </c>
      <c r="AJ67" s="706">
        <f>VLOOKUP("*"&amp;$B67&amp;"*",'S4 - Summ PRS Characteristics'!$C$13:$Q$20,15,FALSE)*$J67</f>
        <v>40.228362050713152</v>
      </c>
      <c r="AK67" s="706">
        <f t="shared" si="59"/>
        <v>1034.7716379492867</v>
      </c>
      <c r="AL67" s="706">
        <f>IF($C67="other",(1-$C56)*AJ67,(1-(VLOOKUP($C67,'S3 - Screening Tool Metrics'!$C$3:$G$17,5,FALSE)/100))*AJ67)</f>
        <v>12.953532580329638</v>
      </c>
      <c r="AM67" s="706">
        <f>IF($C67="other",$C56*AJ67,(VLOOKUP($C67,'S3 - Screening Tool Metrics'!$C$3:$G$17,5,FALSE)/100)*AJ67)</f>
        <v>27.274829470383516</v>
      </c>
      <c r="AN67" s="709">
        <f t="shared" si="56"/>
        <v>2.5371934391054434</v>
      </c>
    </row>
    <row r="68" spans="2:40" x14ac:dyDescent="0.15">
      <c r="B68" s="700" t="s">
        <v>12</v>
      </c>
      <c r="C68" s="721" t="str">
        <f>$C57</f>
        <v>CA19-9_20U/mL cutoff</v>
      </c>
      <c r="D68" s="552" t="s">
        <v>203</v>
      </c>
      <c r="E68" s="710">
        <f>VLOOKUP($B68&amp;"_"&amp;$D68,'App5 - CRUK Inci Rates'!C:H,6,FALSE)</f>
        <v>24.676314720532528</v>
      </c>
      <c r="F68" s="711">
        <f>VLOOKUP($B68&amp;"_"&amp;$D68,'App5 - CRUK Inci Rates'!C:H,3,FALSE)</f>
        <v>18.322344301910888</v>
      </c>
      <c r="G68" s="712">
        <f>VLOOKUP($B68&amp;"_"&amp;$D68,'App5 - CRUK Inci Rates'!C:J,8,FALSE)</f>
        <v>15943902</v>
      </c>
      <c r="H68" s="713">
        <f>VLOOKUP($B68&amp;"_"&amp;$D68,'App5 - CRUK Inci Rates'!C:J,7,FALSE)</f>
        <v>7817212.666666666</v>
      </c>
      <c r="I68" s="713">
        <f>VLOOKUP($B68&amp;"_"&amp;$D68,'App5 - CRUK Inci Rates'!C:J,4,FALSE)</f>
        <v>8126689.333333334</v>
      </c>
      <c r="J68" s="709">
        <f>VLOOKUP($B68&amp;"_"&amp;$D68,'App5 - CRUK Inci Rates'!C:K,9,FALSE)</f>
        <v>3418</v>
      </c>
      <c r="K68" s="706">
        <f t="shared" si="7"/>
        <v>7971951</v>
      </c>
      <c r="L68" s="706">
        <f>VLOOKUP("*"&amp;$B68&amp;"*",'S4 - Summ PRS Characteristics'!$C$13:$Q$20,11,FALSE)*$J68</f>
        <v>2416.859586747802</v>
      </c>
      <c r="M68" s="706">
        <f t="shared" si="8"/>
        <v>1001.140413252198</v>
      </c>
      <c r="N68" s="706">
        <f>IF($C68="other",(1-$C$7)*L68,(1-(VLOOKUP($C68,'S3 - Screening Tool Metrics'!$C$3:$G$17,5,FALSE)/100))*L68)</f>
        <v>778.22878693279245</v>
      </c>
      <c r="O68" s="706">
        <f>IF($C68="other",$C$7*L68,(VLOOKUP($C68,'S3 - Screening Tool Metrics'!$C$3:$G$17,5,FALSE)/100)*L68)</f>
        <v>1638.6307998150096</v>
      </c>
      <c r="P68" s="706">
        <f t="shared" si="9"/>
        <v>47.941217080602968</v>
      </c>
      <c r="Q68" s="707">
        <f t="shared" si="49"/>
        <v>3188780.4000000004</v>
      </c>
      <c r="R68" s="706">
        <f>VLOOKUP("*"&amp;$B68&amp;"*",'S4 - Summ PRS Characteristics'!$C$13:$Q$20,12,FALSE)*$J68</f>
        <v>1310.2881820490722</v>
      </c>
      <c r="S68" s="706">
        <f t="shared" si="57"/>
        <v>2107.711817950928</v>
      </c>
      <c r="T68" s="706">
        <f>IF($C68="other",(1-$C56)*R68,(1-(VLOOKUP($C68,'S3 - Screening Tool Metrics'!$C$3:$G$17,5,FALSE)/100))*R68)</f>
        <v>421.91279461980133</v>
      </c>
      <c r="U68" s="706">
        <f>IF($C68="other",$C56*R68,(VLOOKUP($C68,'S3 - Screening Tool Metrics'!$C$3:$G$17,5,FALSE)/100)*R68)</f>
        <v>888.37538742927086</v>
      </c>
      <c r="V68" s="708">
        <f t="shared" si="50"/>
        <v>25.991087987983345</v>
      </c>
      <c r="W68" s="707">
        <f t="shared" si="51"/>
        <v>1594390.2000000002</v>
      </c>
      <c r="X68" s="706">
        <f>VLOOKUP("*"&amp;$B68&amp;"*",'S4 - Summ PRS Characteristics'!$C$13:$Q$20,13,FALSE)*$J68</f>
        <v>788.44669957950441</v>
      </c>
      <c r="Y68" s="706">
        <f t="shared" si="58"/>
        <v>2629.5533004204954</v>
      </c>
      <c r="Z68" s="706">
        <f>IF($C68="other",(1-$C56)*X68,(1-(VLOOKUP($C68,'S3 - Screening Tool Metrics'!$C$3:$G$17,5,FALSE)/100))*X68)</f>
        <v>253.87983726460047</v>
      </c>
      <c r="AA68" s="706">
        <f>IF($C68="other",$C56*X68,(VLOOKUP($C68,'S3 - Screening Tool Metrics'!$C$3:$G$17,5,FALSE)/100)*X68)</f>
        <v>534.56686231490391</v>
      </c>
      <c r="AB68" s="708">
        <f t="shared" si="52"/>
        <v>15.639756065386306</v>
      </c>
      <c r="AC68" s="706">
        <f t="shared" si="53"/>
        <v>797195.10000000009</v>
      </c>
      <c r="AD68" s="706">
        <f>VLOOKUP("*"&amp;$B68&amp;"*",'S4 - Summ PRS Characteristics'!$C$13:$Q$20,14,FALSE)*$J68</f>
        <v>463.76006391484538</v>
      </c>
      <c r="AE68" s="706">
        <f t="shared" si="60"/>
        <v>2954.2399360851546</v>
      </c>
      <c r="AF68" s="706">
        <f>IF($C68="other",(1-$C56)*AD68,(1-(VLOOKUP($C68,'S3 - Screening Tool Metrics'!$C$3:$G$17,5,FALSE)/100))*AD68)</f>
        <v>149.33074058058025</v>
      </c>
      <c r="AG68" s="706">
        <f>IF($C68="other",$C56*AD68,(VLOOKUP($C68,'S3 - Screening Tool Metrics'!$C$3:$G$17,5,FALSE)/100)*AD68)</f>
        <v>314.42932333426512</v>
      </c>
      <c r="AH68" s="708">
        <f t="shared" si="54"/>
        <v>9.1992195241154224</v>
      </c>
      <c r="AI68" s="707">
        <f t="shared" si="55"/>
        <v>159439.01999999999</v>
      </c>
      <c r="AJ68" s="706">
        <f>VLOOKUP("*"&amp;$B68&amp;"*",'S4 - Summ PRS Characteristics'!$C$13:$Q$20,15,FALSE)*$J68</f>
        <v>127.90748045519773</v>
      </c>
      <c r="AK68" s="706">
        <f t="shared" si="59"/>
        <v>3290.0925195448021</v>
      </c>
      <c r="AL68" s="706">
        <f>IF($C68="other",(1-$C56)*AJ68,(1-(VLOOKUP($C68,'S3 - Screening Tool Metrics'!$C$3:$G$17,5,FALSE)/100))*AJ68)</f>
        <v>41.186208706573673</v>
      </c>
      <c r="AM68" s="706">
        <f>IF($C68="other",$C56*AJ68,(VLOOKUP($C68,'S3 - Screening Tool Metrics'!$C$3:$G$17,5,FALSE)/100)*AJ68)</f>
        <v>86.721271748624048</v>
      </c>
      <c r="AN68" s="709">
        <f t="shared" si="56"/>
        <v>2.5371934391054429</v>
      </c>
    </row>
    <row r="69" spans="2:40" x14ac:dyDescent="0.15">
      <c r="B69" s="700" t="s">
        <v>12</v>
      </c>
      <c r="C69" s="721" t="str">
        <f>$C58</f>
        <v>CA19-9_20U/mL cutoff</v>
      </c>
      <c r="D69" s="552" t="s">
        <v>292</v>
      </c>
      <c r="E69" s="710">
        <f>VLOOKUP($B69&amp;"_"&amp;$D69,'App5 - CRUK Inci Rates'!C:H,6,FALSE)</f>
        <v>46.472602362279531</v>
      </c>
      <c r="F69" s="711">
        <f>VLOOKUP($B69&amp;"_"&amp;$D69,'App5 - CRUK Inci Rates'!C:H,3,FALSE)</f>
        <v>34.483589033138493</v>
      </c>
      <c r="G69" s="712">
        <f>VLOOKUP($B69&amp;"_"&amp;$D69,'App5 - CRUK Inci Rates'!C:J,8,FALSE)</f>
        <v>8881256.9603638444</v>
      </c>
      <c r="H69" s="713">
        <f>VLOOKUP($B69&amp;"_"&amp;$D69,'App5 - CRUK Inci Rates'!C:J,7,FALSE)</f>
        <v>4929786.333333333</v>
      </c>
      <c r="I69" s="713">
        <f>VLOOKUP($B69&amp;"_"&amp;$D69,'App5 - CRUK Inci Rates'!C:J,4,FALSE)</f>
        <v>5245973.666666667</v>
      </c>
      <c r="J69" s="709">
        <f>VLOOKUP($B69&amp;"_"&amp;$D69,'App5 - CRUK Inci Rates'!C:K,9,FALSE)</f>
        <v>4100</v>
      </c>
      <c r="K69" s="706">
        <f t="shared" si="7"/>
        <v>4440628.4801819222</v>
      </c>
      <c r="L69" s="706">
        <f>VLOOKUP("*"&amp;$B69&amp;"*",'S4 - Summ PRS Characteristics'!$C$13:$Q$20,11,FALSE)*$J69</f>
        <v>2899.1001479420679</v>
      </c>
      <c r="M69" s="706">
        <f t="shared" si="8"/>
        <v>1200.8998520579321</v>
      </c>
      <c r="N69" s="706">
        <f>IF($C69="other",(1-$C$7)*L69,(1-(VLOOKUP($C69,'S3 - Screening Tool Metrics'!$C$3:$G$17,5,FALSE)/100))*L69)</f>
        <v>933.51024763734608</v>
      </c>
      <c r="O69" s="706">
        <f>IF($C69="other",$C$7*L69,(VLOOKUP($C69,'S3 - Screening Tool Metrics'!$C$3:$G$17,5,FALSE)/100)*L69)</f>
        <v>1965.5899003047218</v>
      </c>
      <c r="P69" s="706">
        <f t="shared" si="9"/>
        <v>47.941217080602968</v>
      </c>
      <c r="Q69" s="707">
        <f t="shared" si="49"/>
        <v>1776251.3920727689</v>
      </c>
      <c r="R69" s="706">
        <f>VLOOKUP("*"&amp;$B69&amp;"*",'S4 - Summ PRS Characteristics'!$C$13:$Q$20,12,FALSE)*$J69</f>
        <v>1571.7324594503209</v>
      </c>
      <c r="S69" s="706">
        <f>$J69-R69</f>
        <v>2528.2675405496793</v>
      </c>
      <c r="T69" s="706">
        <f>IF($C69="other",(1-$C56)*R69,(1-(VLOOKUP($C69,'S3 - Screening Tool Metrics'!$C$3:$G$17,5,FALSE)/100))*R69)</f>
        <v>506.09785194300343</v>
      </c>
      <c r="U69" s="706">
        <f>IF($C69="other",$C56*R69,(VLOOKUP($C69,'S3 - Screening Tool Metrics'!$C$3:$G$17,5,FALSE)/100)*R69)</f>
        <v>1065.6346075073175</v>
      </c>
      <c r="V69" s="708">
        <f t="shared" si="50"/>
        <v>25.991087987983352</v>
      </c>
      <c r="W69" s="707">
        <f t="shared" si="51"/>
        <v>888125.69603638444</v>
      </c>
      <c r="X69" s="706">
        <f>VLOOKUP("*"&amp;$B69&amp;"*",'S4 - Summ PRS Characteristics'!$C$13:$Q$20,13,FALSE)*$J69</f>
        <v>945.76695970625167</v>
      </c>
      <c r="Y69" s="706">
        <f t="shared" si="58"/>
        <v>3154.2330402937482</v>
      </c>
      <c r="Z69" s="706">
        <f>IF($C69="other",(1-$C56)*X69,(1-(VLOOKUP($C69,'S3 - Screening Tool Metrics'!$C$3:$G$17,5,FALSE)/100))*X69)</f>
        <v>304.53696102541312</v>
      </c>
      <c r="AA69" s="706">
        <f>IF($C69="other",$C56*X69,(VLOOKUP($C69,'S3 - Screening Tool Metrics'!$C$3:$G$17,5,FALSE)/100)*X69)</f>
        <v>641.22999868083855</v>
      </c>
      <c r="AB69" s="708">
        <f t="shared" si="52"/>
        <v>15.639756065386306</v>
      </c>
      <c r="AC69" s="706">
        <f t="shared" si="53"/>
        <v>444062.84801819222</v>
      </c>
      <c r="AD69" s="706">
        <f>VLOOKUP("*"&amp;$B69&amp;"*",'S4 - Summ PRS Characteristics'!$C$13:$Q$20,14,FALSE)*$J69</f>
        <v>556.29498597158158</v>
      </c>
      <c r="AE69" s="706">
        <f t="shared" si="60"/>
        <v>3543.7050140284182</v>
      </c>
      <c r="AF69" s="706">
        <f>IF($C69="other",(1-$C56)*AD69,(1-(VLOOKUP($C69,'S3 - Screening Tool Metrics'!$C$3:$G$17,5,FALSE)/100))*AD69)</f>
        <v>179.12698548284931</v>
      </c>
      <c r="AG69" s="706">
        <f>IF($C69="other",$C56*AD69,(VLOOKUP($C69,'S3 - Screening Tool Metrics'!$C$3:$G$17,5,FALSE)/100)*AD69)</f>
        <v>377.16800048873228</v>
      </c>
      <c r="AH69" s="708">
        <f t="shared" si="54"/>
        <v>9.1992195241154207</v>
      </c>
      <c r="AI69" s="707">
        <f t="shared" si="55"/>
        <v>88812.569603638447</v>
      </c>
      <c r="AJ69" s="706">
        <f>VLOOKUP("*"&amp;$B69&amp;"*",'S4 - Summ PRS Characteristics'!$C$13:$Q$20,15,FALSE)*$J69</f>
        <v>153.42910177481295</v>
      </c>
      <c r="AK69" s="706">
        <f t="shared" si="59"/>
        <v>3946.5708982251872</v>
      </c>
      <c r="AL69" s="706">
        <f>IF($C69="other",(1-$C56)*AJ69,(1-(VLOOKUP($C69,'S3 - Screening Tool Metrics'!$C$3:$G$17,5,FALSE)/100))*AJ69)</f>
        <v>49.404170771489781</v>
      </c>
      <c r="AM69" s="706">
        <f>IF($C69="other",$C56*AJ69,(VLOOKUP($C69,'S3 - Screening Tool Metrics'!$C$3:$G$17,5,FALSE)/100)*AJ69)</f>
        <v>104.02493100332318</v>
      </c>
      <c r="AN69" s="709">
        <f t="shared" si="56"/>
        <v>2.5371934391054434</v>
      </c>
    </row>
    <row r="70" spans="2:40" x14ac:dyDescent="0.15">
      <c r="B70" s="700" t="s">
        <v>12</v>
      </c>
      <c r="C70" s="721" t="str">
        <f>$C57</f>
        <v>CA19-9_20U/mL cutoff</v>
      </c>
      <c r="D70" s="552" t="s">
        <v>204</v>
      </c>
      <c r="E70" s="710">
        <f>VLOOKUP($B70&amp;"_"&amp;$D70,'App5 - CRUK Inci Rates'!C:H,6,FALSE)</f>
        <v>27.10494536410576</v>
      </c>
      <c r="F70" s="711">
        <f>VLOOKUP($B70&amp;"_"&amp;$D70,'App5 - CRUK Inci Rates'!C:H,3,FALSE)</f>
        <v>21.188815577273839</v>
      </c>
      <c r="G70" s="712">
        <f>VLOOKUP($B70&amp;"_"&amp;$D70,'App5 - CRUK Inci Rates'!C:J,8,FALSE)</f>
        <v>29847254.666666668</v>
      </c>
      <c r="H70" s="713">
        <f>VLOOKUP($B70&amp;"_"&amp;$D70,'App5 - CRUK Inci Rates'!C:J,7,FALSE)</f>
        <v>14565607.666666668</v>
      </c>
      <c r="I70" s="713">
        <f>VLOOKUP($B70&amp;"_"&amp;$D70,'App5 - CRUK Inci Rates'!C:J,4,FALSE)</f>
        <v>15281647</v>
      </c>
      <c r="J70" s="709">
        <f>VLOOKUP($B70&amp;"_"&amp;$D70,'App5 - CRUK Inci Rates'!C:K,9,FALSE)</f>
        <v>7186</v>
      </c>
      <c r="K70" s="706">
        <f t="shared" si="7"/>
        <v>14923627.333333334</v>
      </c>
      <c r="L70" s="706">
        <f>VLOOKUP("*"&amp;$B70&amp;"*",'S4 - Summ PRS Characteristics'!$C$13:$Q$20,11,FALSE)*$J70</f>
        <v>5081.203332466268</v>
      </c>
      <c r="M70" s="706">
        <f t="shared" si="8"/>
        <v>2104.796667533732</v>
      </c>
      <c r="N70" s="706">
        <f>IF($C70="other",(1-$C$7)*L70,(1-(VLOOKUP($C70,'S3 - Screening Tool Metrics'!$C$3:$G$17,5,FALSE)/100))*L70)</f>
        <v>1636.1474730541386</v>
      </c>
      <c r="O70" s="706">
        <f>IF($C70="other",$C$7*L70,(VLOOKUP($C70,'S3 - Screening Tool Metrics'!$C$3:$G$17,5,FALSE)/100)*L70)</f>
        <v>3445.0558594121294</v>
      </c>
      <c r="P70" s="706">
        <f t="shared" si="9"/>
        <v>47.941217080602968</v>
      </c>
      <c r="Q70" s="707">
        <f t="shared" si="49"/>
        <v>5969450.9333333336</v>
      </c>
      <c r="R70" s="706">
        <f>VLOOKUP("*"&amp;$B70&amp;"*",'S4 - Summ PRS Characteristics'!$C$13:$Q$20,12,FALSE)*$J70</f>
        <v>2754.7486472219525</v>
      </c>
      <c r="S70" s="706">
        <f t="shared" si="57"/>
        <v>4431.2513527780475</v>
      </c>
      <c r="T70" s="706">
        <f>IF($C70="other",(1-$C56)*R70,(1-(VLOOKUP($C70,'S3 - Screening Tool Metrics'!$C$3:$G$17,5,FALSE)/100))*R70)</f>
        <v>887.02906440546894</v>
      </c>
      <c r="U70" s="706">
        <f>IF($C70="other",$C56*R70,(VLOOKUP($C70,'S3 - Screening Tool Metrics'!$C$3:$G$17,5,FALSE)/100)*R70)</f>
        <v>1867.7195828164836</v>
      </c>
      <c r="V70" s="708">
        <f t="shared" si="50"/>
        <v>25.991087987983352</v>
      </c>
      <c r="W70" s="707">
        <f t="shared" si="51"/>
        <v>2984725.4666666668</v>
      </c>
      <c r="X70" s="706">
        <f>VLOOKUP("*"&amp;$B70&amp;"*",'S4 - Summ PRS Characteristics'!$C$13:$Q$20,13,FALSE)*$J70</f>
        <v>1657.6296030363719</v>
      </c>
      <c r="Y70" s="706">
        <f t="shared" si="58"/>
        <v>5528.3703969636281</v>
      </c>
      <c r="Z70" s="706">
        <f>IF($C70="other",(1-$C56)*X70,(1-(VLOOKUP($C70,'S3 - Screening Tool Metrics'!$C$3:$G$17,5,FALSE)/100))*X70)</f>
        <v>533.75673217771191</v>
      </c>
      <c r="AA70" s="706">
        <f>IF($C70="other",$C56*X70,(VLOOKUP($C70,'S3 - Screening Tool Metrics'!$C$3:$G$17,5,FALSE)/100)*X70)</f>
        <v>1123.87287085866</v>
      </c>
      <c r="AB70" s="708">
        <f t="shared" si="52"/>
        <v>15.639756065386306</v>
      </c>
      <c r="AC70" s="706">
        <f t="shared" si="53"/>
        <v>1492362.7333333334</v>
      </c>
      <c r="AD70" s="706">
        <f>VLOOKUP("*"&amp;$B70&amp;"*",'S4 - Summ PRS Characteristics'!$C$13:$Q$20,14,FALSE)*$J70</f>
        <v>975.00872419311838</v>
      </c>
      <c r="AE70" s="706">
        <f t="shared" si="60"/>
        <v>6210.9912758068813</v>
      </c>
      <c r="AF70" s="706">
        <f>IF($C70="other",(1-$C56)*AD70,(1-(VLOOKUP($C70,'S3 - Screening Tool Metrics'!$C$3:$G$17,5,FALSE)/100))*AD70)</f>
        <v>313.95280919018415</v>
      </c>
      <c r="AG70" s="706">
        <f>IF($C70="other",$C56*AD70,(VLOOKUP($C70,'S3 - Screening Tool Metrics'!$C$3:$G$17,5,FALSE)/100)*AD70)</f>
        <v>661.05591500293417</v>
      </c>
      <c r="AH70" s="708">
        <f t="shared" si="54"/>
        <v>9.1992195241154207</v>
      </c>
      <c r="AI70" s="707">
        <f t="shared" si="55"/>
        <v>298472.54666666669</v>
      </c>
      <c r="AJ70" s="706">
        <f>VLOOKUP("*"&amp;$B70&amp;"*",'S4 - Summ PRS Characteristics'!$C$13:$Q$20,15,FALSE)*$J70</f>
        <v>268.91256715946486</v>
      </c>
      <c r="AK70" s="706">
        <f t="shared" si="59"/>
        <v>6917.0874328405353</v>
      </c>
      <c r="AL70" s="706">
        <f>IF($C70="other",(1-$C56)*AJ70,(1-(VLOOKUP($C70,'S3 - Screening Tool Metrics'!$C$3:$G$17,5,FALSE)/100))*AJ70)</f>
        <v>86.589846625347704</v>
      </c>
      <c r="AM70" s="706">
        <f>IF($C70="other",$C56*AJ70,(VLOOKUP($C70,'S3 - Screening Tool Metrics'!$C$3:$G$17,5,FALSE)/100)*AJ70)</f>
        <v>182.32272053411717</v>
      </c>
      <c r="AN70" s="709">
        <f t="shared" si="56"/>
        <v>2.5371934391054434</v>
      </c>
    </row>
    <row r="71" spans="2:40" ht="14" thickBot="1" x14ac:dyDescent="0.2">
      <c r="B71" s="700" t="s">
        <v>12</v>
      </c>
      <c r="C71" s="721" t="str">
        <f>$C58</f>
        <v>CA19-9_20U/mL cutoff</v>
      </c>
      <c r="D71" s="552" t="s">
        <v>205</v>
      </c>
      <c r="E71" s="710">
        <f>VLOOKUP($B71&amp;"_"&amp;$D71,'App5 - CRUK Inci Rates'!C:H,6,FALSE)</f>
        <v>19.3</v>
      </c>
      <c r="F71" s="711">
        <f>VLOOKUP($B71&amp;"_"&amp;$D71,'App5 - CRUK Inci Rates'!C:H,3,FALSE)</f>
        <v>15</v>
      </c>
      <c r="G71" s="712">
        <f>VLOOKUP($B71&amp;"_"&amp;$D71,'App5 - CRUK Inci Rates'!C:J,8,FALSE)</f>
        <v>66041277.666666664</v>
      </c>
      <c r="H71" s="713">
        <f>VLOOKUP($B71&amp;"_"&amp;$D71,'App5 - CRUK Inci Rates'!C:J,7,FALSE)</f>
        <v>32583225.666666668</v>
      </c>
      <c r="I71" s="713">
        <f>VLOOKUP($B71&amp;"_"&amp;$D71,'App5 - CRUK Inci Rates'!C:J,4,FALSE)</f>
        <v>33458051.999999996</v>
      </c>
      <c r="J71" s="709">
        <f>VLOOKUP($B71&amp;"_"&amp;$D71,'App5 - CRUK Inci Rates'!C:K,9,FALSE)</f>
        <v>10452</v>
      </c>
      <c r="K71" s="716"/>
      <c r="L71" s="716"/>
      <c r="M71" s="716"/>
      <c r="N71" s="716"/>
      <c r="O71" s="716"/>
      <c r="P71" s="716"/>
      <c r="Q71" s="715"/>
      <c r="R71" s="716"/>
      <c r="S71" s="716"/>
      <c r="T71" s="716"/>
      <c r="U71" s="716"/>
      <c r="V71" s="717"/>
      <c r="W71" s="715"/>
      <c r="X71" s="716"/>
      <c r="Y71" s="716"/>
      <c r="Z71" s="716"/>
      <c r="AA71" s="716"/>
      <c r="AB71" s="717"/>
      <c r="AC71" s="716"/>
      <c r="AD71" s="716"/>
      <c r="AE71" s="716"/>
      <c r="AF71" s="716"/>
      <c r="AG71" s="716"/>
      <c r="AH71" s="717"/>
      <c r="AI71" s="715"/>
      <c r="AJ71" s="716"/>
      <c r="AK71" s="716"/>
      <c r="AL71" s="716"/>
      <c r="AM71" s="716"/>
      <c r="AN71" s="718"/>
    </row>
    <row r="72" spans="2:40" ht="21" customHeight="1" thickBot="1" x14ac:dyDescent="0.2">
      <c r="B72" s="686" t="s">
        <v>13</v>
      </c>
      <c r="C72" s="687"/>
      <c r="D72" s="688"/>
      <c r="E72" s="689"/>
      <c r="F72" s="690"/>
      <c r="G72" s="691"/>
      <c r="H72" s="692"/>
      <c r="I72" s="692"/>
      <c r="J72" s="693"/>
      <c r="K72" s="694"/>
      <c r="L72" s="694"/>
      <c r="M72" s="694"/>
      <c r="N72" s="694"/>
      <c r="O72" s="694"/>
      <c r="P72" s="694"/>
      <c r="Q72" s="695"/>
      <c r="R72" s="696"/>
      <c r="S72" s="696"/>
      <c r="T72" s="696"/>
      <c r="U72" s="696"/>
      <c r="V72" s="697"/>
      <c r="W72" s="695"/>
      <c r="X72" s="696"/>
      <c r="Y72" s="696"/>
      <c r="Z72" s="696"/>
      <c r="AA72" s="696"/>
      <c r="AB72" s="697"/>
      <c r="AC72" s="696"/>
      <c r="AD72" s="696"/>
      <c r="AE72" s="696"/>
      <c r="AF72" s="696"/>
      <c r="AG72" s="696"/>
      <c r="AH72" s="697"/>
      <c r="AI72" s="695"/>
      <c r="AJ72" s="696"/>
      <c r="AK72" s="696"/>
      <c r="AL72" s="696"/>
      <c r="AM72" s="696"/>
      <c r="AN72" s="699"/>
    </row>
    <row r="73" spans="2:40" x14ac:dyDescent="0.15">
      <c r="B73" s="700" t="s">
        <v>13</v>
      </c>
      <c r="C73" s="720" t="s">
        <v>163</v>
      </c>
      <c r="D73" s="593" t="s">
        <v>192</v>
      </c>
      <c r="E73" s="701">
        <f>VLOOKUP($B73&amp;"_"&amp;$D73,'App5 - CRUK Inci Rates'!C:H,6,FALSE)</f>
        <v>0</v>
      </c>
      <c r="F73" s="702">
        <f>VLOOKUP($B73&amp;"_"&amp;$D73,'App5 - CRUK Inci Rates'!C:H,3,FALSE)</f>
        <v>13.2</v>
      </c>
      <c r="G73" s="703">
        <f>VLOOKUP($B73&amp;"_"&amp;$D73,'App5 - CRUK Inci Rates'!C:J,8,FALSE)</f>
        <v>2054223.3333333333</v>
      </c>
      <c r="H73" s="704">
        <f>VLOOKUP($B73&amp;"_"&amp;$D73,'App5 - CRUK Inci Rates'!C:J,7,FALSE)</f>
        <v>0</v>
      </c>
      <c r="I73" s="704">
        <f>VLOOKUP($B73&amp;"_"&amp;$D73,'App5 - CRUK Inci Rates'!C:J,4,FALSE)</f>
        <v>2054223.3333333333</v>
      </c>
      <c r="J73" s="705">
        <f>VLOOKUP($B73&amp;"_"&amp;$D73,'App5 - CRUK Inci Rates'!C:K,9,FALSE)</f>
        <v>270</v>
      </c>
      <c r="K73" s="706">
        <f t="shared" si="7"/>
        <v>1027111.6666666666</v>
      </c>
      <c r="L73" s="706">
        <f>VLOOKUP("*"&amp;$B73&amp;"*",'S4 - Summ PRS Characteristics'!$C$13:$Q$20,11,FALSE)*$J73</f>
        <v>177.93463175013753</v>
      </c>
      <c r="M73" s="706">
        <f t="shared" si="8"/>
        <v>92.065368249862473</v>
      </c>
      <c r="N73" s="706">
        <f>IF($C73="other",(1-$C$7)*L73,(1-(VLOOKUP($C73,'S3 - Screening Tool Metrics'!$C$3:$G$17,5,FALSE)/100))*L73)</f>
        <v>28.469541080022008</v>
      </c>
      <c r="O73" s="706">
        <f>IF($C73="other",$C$7*L73,(VLOOKUP($C73,'S3 - Screening Tool Metrics'!$C$3:$G$17,5,FALSE)/100)*L73)</f>
        <v>149.46509067011553</v>
      </c>
      <c r="P73" s="706">
        <f t="shared" si="9"/>
        <v>55.357440988931671</v>
      </c>
      <c r="Q73" s="707">
        <f t="shared" ref="Q73:Q86" si="61">$G73*Q$3</f>
        <v>410844.66666666669</v>
      </c>
      <c r="R73" s="706">
        <f>VLOOKUP("*"&amp;$B73&amp;"*",'S4 - Summ PRS Characteristics'!$C$13:$Q$20,12,FALSE)*$J73</f>
        <v>89.890889591351126</v>
      </c>
      <c r="S73" s="706">
        <f>$J73-R73</f>
        <v>180.10911040864886</v>
      </c>
      <c r="T73" s="706">
        <f>IF($C73="other",(1-$C72)*R73,(1-(VLOOKUP($C73,'S3 - Screening Tool Metrics'!$C$3:$G$17,5,FALSE)/100))*R73)</f>
        <v>14.382542334616183</v>
      </c>
      <c r="U73" s="706">
        <f>IF($C73="other",$C72*R73,(VLOOKUP($C73,'S3 - Screening Tool Metrics'!$C$3:$G$17,5,FALSE)/100)*R73)</f>
        <v>75.508347256734936</v>
      </c>
      <c r="V73" s="708">
        <f t="shared" ref="V73:V86" si="62">U73/J73*100</f>
        <v>27.966054539531459</v>
      </c>
      <c r="W73" s="707">
        <f t="shared" ref="W73:W86" si="63">$G73*W$3</f>
        <v>205422.33333333334</v>
      </c>
      <c r="X73" s="706">
        <f>VLOOKUP("*"&amp;$B73&amp;"*",'S4 - Summ PRS Characteristics'!$C$13:$Q$20,13,FALSE)*$J73</f>
        <v>51.750121766126405</v>
      </c>
      <c r="Y73" s="706">
        <f>$J73-X73</f>
        <v>218.2498782338736</v>
      </c>
      <c r="Z73" s="706">
        <f>IF($C73="other",(1-$C72)*X73,(1-(VLOOKUP($C73,'S3 - Screening Tool Metrics'!$C$3:$G$17,5,FALSE)/100))*X73)</f>
        <v>8.2800194825802258</v>
      </c>
      <c r="AA73" s="706">
        <f>IF($C73="other",$C72*X73,(VLOOKUP($C73,'S3 - Screening Tool Metrics'!$C$3:$G$17,5,FALSE)/100)*X73)</f>
        <v>43.470102283546176</v>
      </c>
      <c r="AB73" s="708">
        <f t="shared" ref="AB73:AB86" si="64">$AA73/$J73*100</f>
        <v>16.100037882794879</v>
      </c>
      <c r="AC73" s="706">
        <f t="shared" ref="AC73:AC86" si="65">$G73*AC$3</f>
        <v>102711.16666666667</v>
      </c>
      <c r="AD73" s="706">
        <f>VLOOKUP("*"&amp;$B73&amp;"*",'S4 - Summ PRS Characteristics'!$C$13:$Q$20,14,FALSE)*$J73</f>
        <v>29.268531844242919</v>
      </c>
      <c r="AE73" s="706">
        <f>$J73-AD73</f>
        <v>240.73146815575709</v>
      </c>
      <c r="AF73" s="706">
        <f>IF($C73="other",(1-$C72)*AD73,(1-(VLOOKUP($C73,'S3 - Screening Tool Metrics'!$C$3:$G$17,5,FALSE)/100))*AD73)</f>
        <v>4.6829650950788677</v>
      </c>
      <c r="AG73" s="706">
        <f>IF($C73="other",$C72*AD73,(VLOOKUP($C73,'S3 - Screening Tool Metrics'!$C$3:$G$17,5,FALSE)/100)*AD73)</f>
        <v>24.585566749164052</v>
      </c>
      <c r="AH73" s="708">
        <f t="shared" ref="AH73:AH86" si="66">$AG73/$J73*100</f>
        <v>9.105765462653352</v>
      </c>
      <c r="AI73" s="707">
        <f t="shared" ref="AI73:AI86" si="67">$G73*AI$3</f>
        <v>20542.233333333334</v>
      </c>
      <c r="AJ73" s="706">
        <f>VLOOKUP("*"&amp;$B73&amp;"*",'S4 - Summ PRS Characteristics'!$C$13:$Q$20,15,FALSE)*$J73</f>
        <v>7.4645736642547194</v>
      </c>
      <c r="AK73" s="706">
        <f>$J73-AJ73</f>
        <v>262.53542633574529</v>
      </c>
      <c r="AL73" s="706">
        <f>IF($C73="other",(1-$C72)*AJ73,(1-(VLOOKUP($C73,'S3 - Screening Tool Metrics'!$C$3:$G$17,5,FALSE)/100))*AJ73)</f>
        <v>1.1943317862807554</v>
      </c>
      <c r="AM73" s="706">
        <f>IF($C73="other",$C72*AJ73,(VLOOKUP($C73,'S3 - Screening Tool Metrics'!$C$3:$G$17,5,FALSE)/100)*AJ73)</f>
        <v>6.2702418779739642</v>
      </c>
      <c r="AN73" s="709">
        <f t="shared" ref="AN73:AN86" si="68">$AM73/$J73*100</f>
        <v>2.3223118066570239</v>
      </c>
    </row>
    <row r="74" spans="2:40" x14ac:dyDescent="0.15">
      <c r="B74" s="700" t="s">
        <v>13</v>
      </c>
      <c r="C74" s="721" t="str">
        <f>$C73</f>
        <v>MMS (CA-125 + TVU)</v>
      </c>
      <c r="D74" s="552" t="s">
        <v>193</v>
      </c>
      <c r="E74" s="710">
        <f>VLOOKUP($B74&amp;"_"&amp;$D74,'App5 - CRUK Inci Rates'!C:H,6,FALSE)</f>
        <v>0</v>
      </c>
      <c r="F74" s="711">
        <f>VLOOKUP($B74&amp;"_"&amp;$D74,'App5 - CRUK Inci Rates'!C:H,3,FALSE)</f>
        <v>19.399999999999999</v>
      </c>
      <c r="G74" s="712">
        <f>VLOOKUP($B74&amp;"_"&amp;$D74,'App5 - CRUK Inci Rates'!C:J,8,FALSE)</f>
        <v>2315479.3333333335</v>
      </c>
      <c r="H74" s="713">
        <f>VLOOKUP($B74&amp;"_"&amp;$D74,'App5 - CRUK Inci Rates'!C:J,7,FALSE)</f>
        <v>0</v>
      </c>
      <c r="I74" s="713">
        <f>VLOOKUP($B74&amp;"_"&amp;$D74,'App5 - CRUK Inci Rates'!C:J,4,FALSE)</f>
        <v>2315479.3333333335</v>
      </c>
      <c r="J74" s="709">
        <f>VLOOKUP($B74&amp;"_"&amp;$D74,'App5 - CRUK Inci Rates'!C:K,9,FALSE)</f>
        <v>448</v>
      </c>
      <c r="K74" s="706">
        <f t="shared" ref="K74:K137" si="69">$G74*$K$3</f>
        <v>1157739.6666666667</v>
      </c>
      <c r="L74" s="706">
        <f>VLOOKUP("*"&amp;$B74&amp;"*",'S4 - Summ PRS Characteristics'!$C$13:$Q$20,11,FALSE)*$J74</f>
        <v>295.23968527430225</v>
      </c>
      <c r="M74" s="706">
        <f t="shared" ref="M74:M137" si="70">$J74-$L74</f>
        <v>152.76031472569775</v>
      </c>
      <c r="N74" s="706">
        <f>IF($C74="other",(1-$C$7)*L74,(1-(VLOOKUP($C74,'S3 - Screening Tool Metrics'!$C$3:$G$17,5,FALSE)/100))*L74)</f>
        <v>47.23834964388837</v>
      </c>
      <c r="O74" s="706">
        <f>IF($C74="other",$C$7*L74,(VLOOKUP($C74,'S3 - Screening Tool Metrics'!$C$3:$G$17,5,FALSE)/100)*L74)</f>
        <v>248.00133563041388</v>
      </c>
      <c r="P74" s="706">
        <f t="shared" ref="P74:P137" si="71">O74/J74*100</f>
        <v>55.357440988931671</v>
      </c>
      <c r="Q74" s="707">
        <f t="shared" si="61"/>
        <v>463095.8666666667</v>
      </c>
      <c r="R74" s="706">
        <f>VLOOKUP("*"&amp;$B74&amp;"*",'S4 - Summ PRS Characteristics'!$C$13:$Q$20,12,FALSE)*$J74</f>
        <v>149.15229087750114</v>
      </c>
      <c r="S74" s="706">
        <f t="shared" ref="S74:S86" si="72">$J74-R74</f>
        <v>298.84770912249883</v>
      </c>
      <c r="T74" s="706">
        <f>IF($C74="other",(1-$C72)*R74,(1-(VLOOKUP($C74,'S3 - Screening Tool Metrics'!$C$3:$G$17,5,FALSE)/100))*R74)</f>
        <v>23.864366540400187</v>
      </c>
      <c r="U74" s="706">
        <f>IF($C74="other",$C72*R74,(VLOOKUP($C74,'S3 - Screening Tool Metrics'!$C$3:$G$17,5,FALSE)/100)*R74)</f>
        <v>125.28792433710096</v>
      </c>
      <c r="V74" s="708">
        <f t="shared" si="62"/>
        <v>27.966054539531466</v>
      </c>
      <c r="W74" s="707">
        <f t="shared" si="63"/>
        <v>231547.93333333335</v>
      </c>
      <c r="X74" s="706">
        <f>VLOOKUP("*"&amp;$B74&amp;"*",'S4 - Summ PRS Characteristics'!$C$13:$Q$20,13,FALSE)*$J74</f>
        <v>85.866868708239366</v>
      </c>
      <c r="Y74" s="706">
        <f t="shared" ref="Y74:Y86" si="73">$J74-X74</f>
        <v>362.13313129176061</v>
      </c>
      <c r="Z74" s="706">
        <f>IF($C74="other",(1-$C72)*X74,(1-(VLOOKUP($C74,'S3 - Screening Tool Metrics'!$C$3:$G$17,5,FALSE)/100))*X74)</f>
        <v>13.738698993318302</v>
      </c>
      <c r="AA74" s="706">
        <f>IF($C74="other",$C72*X74,(VLOOKUP($C74,'S3 - Screening Tool Metrics'!$C$3:$G$17,5,FALSE)/100)*X74)</f>
        <v>72.128169714921071</v>
      </c>
      <c r="AB74" s="708">
        <f t="shared" si="64"/>
        <v>16.100037882794883</v>
      </c>
      <c r="AC74" s="706">
        <f t="shared" si="65"/>
        <v>115773.96666666667</v>
      </c>
      <c r="AD74" s="706">
        <f>VLOOKUP("*"&amp;$B74&amp;"*",'S4 - Summ PRS Characteristics'!$C$13:$Q$20,14,FALSE)*$J74</f>
        <v>48.564082467484546</v>
      </c>
      <c r="AE74" s="706">
        <f>$J74-AD74</f>
        <v>399.43591753251548</v>
      </c>
      <c r="AF74" s="706">
        <f>IF($C74="other",(1-$C72)*AD74,(1-(VLOOKUP($C74,'S3 - Screening Tool Metrics'!$C$3:$G$17,5,FALSE)/100))*AD74)</f>
        <v>7.7702531947975286</v>
      </c>
      <c r="AG74" s="706">
        <f>IF($C74="other",$C72*AD74,(VLOOKUP($C74,'S3 - Screening Tool Metrics'!$C$3:$G$17,5,FALSE)/100)*AD74)</f>
        <v>40.79382927268702</v>
      </c>
      <c r="AH74" s="708">
        <f t="shared" si="66"/>
        <v>9.105765462653352</v>
      </c>
      <c r="AI74" s="707">
        <f t="shared" si="67"/>
        <v>23154.793333333335</v>
      </c>
      <c r="AJ74" s="706">
        <f>VLOOKUP("*"&amp;$B74&amp;"*",'S4 - Summ PRS Characteristics'!$C$13:$Q$20,15,FALSE)*$J74</f>
        <v>12.38566296883746</v>
      </c>
      <c r="AK74" s="706">
        <f t="shared" ref="AK74:AK86" si="74">$J74-AJ74</f>
        <v>435.61433703116256</v>
      </c>
      <c r="AL74" s="706">
        <f>IF($C74="other",(1-$C72)*AJ74,(1-(VLOOKUP($C74,'S3 - Screening Tool Metrics'!$C$3:$G$17,5,FALSE)/100))*AJ74)</f>
        <v>1.9817060750139939</v>
      </c>
      <c r="AM74" s="706">
        <f>IF($C74="other",$C72*AJ74,(VLOOKUP($C74,'S3 - Screening Tool Metrics'!$C$3:$G$17,5,FALSE)/100)*AJ74)</f>
        <v>10.403956893823466</v>
      </c>
      <c r="AN74" s="709">
        <f t="shared" si="68"/>
        <v>2.3223118066570239</v>
      </c>
    </row>
    <row r="75" spans="2:40" x14ac:dyDescent="0.15">
      <c r="B75" s="700" t="s">
        <v>13</v>
      </c>
      <c r="C75" s="721" t="str">
        <f>$C73</f>
        <v>MMS (CA-125 + TVU)</v>
      </c>
      <c r="D75" s="552" t="s">
        <v>194</v>
      </c>
      <c r="E75" s="710">
        <f>VLOOKUP($B75&amp;"_"&amp;$D75,'App5 - CRUK Inci Rates'!C:H,6,FALSE)</f>
        <v>0</v>
      </c>
      <c r="F75" s="711">
        <f>VLOOKUP($B75&amp;"_"&amp;$D75,'App5 - CRUK Inci Rates'!C:H,3,FALSE)</f>
        <v>27.1</v>
      </c>
      <c r="G75" s="712">
        <f>VLOOKUP($B75&amp;"_"&amp;$D75,'App5 - CRUK Inci Rates'!C:J,8,FALSE)</f>
        <v>2364638</v>
      </c>
      <c r="H75" s="713">
        <f>VLOOKUP($B75&amp;"_"&amp;$D75,'App5 - CRUK Inci Rates'!C:J,7,FALSE)</f>
        <v>0</v>
      </c>
      <c r="I75" s="713">
        <f>VLOOKUP($B75&amp;"_"&amp;$D75,'App5 - CRUK Inci Rates'!C:J,4,FALSE)</f>
        <v>2364638</v>
      </c>
      <c r="J75" s="709">
        <f>VLOOKUP($B75&amp;"_"&amp;$D75,'App5 - CRUK Inci Rates'!C:K,9,FALSE)</f>
        <v>640</v>
      </c>
      <c r="K75" s="706">
        <f t="shared" si="69"/>
        <v>1182319</v>
      </c>
      <c r="L75" s="706">
        <f>VLOOKUP("*"&amp;$B75&amp;"*",'S4 - Summ PRS Characteristics'!$C$13:$Q$20,11,FALSE)*$J75</f>
        <v>421.77097896328894</v>
      </c>
      <c r="M75" s="706">
        <f t="shared" si="70"/>
        <v>218.22902103671106</v>
      </c>
      <c r="N75" s="706">
        <f>IF($C75="other",(1-$C$7)*L75,(1-(VLOOKUP($C75,'S3 - Screening Tool Metrics'!$C$3:$G$17,5,FALSE)/100))*L75)</f>
        <v>67.483356634126238</v>
      </c>
      <c r="O75" s="706">
        <f>IF($C75="other",$C$7*L75,(VLOOKUP($C75,'S3 - Screening Tool Metrics'!$C$3:$G$17,5,FALSE)/100)*L75)</f>
        <v>354.28762232916267</v>
      </c>
      <c r="P75" s="706">
        <f t="shared" si="71"/>
        <v>55.357440988931671</v>
      </c>
      <c r="Q75" s="707">
        <f t="shared" si="61"/>
        <v>472927.60000000003</v>
      </c>
      <c r="R75" s="706">
        <f>VLOOKUP("*"&amp;$B75&amp;"*",'S4 - Summ PRS Characteristics'!$C$13:$Q$20,12,FALSE)*$J75</f>
        <v>213.07470125357304</v>
      </c>
      <c r="S75" s="706">
        <f t="shared" si="72"/>
        <v>426.92529874642696</v>
      </c>
      <c r="T75" s="706">
        <f>IF($C75="other",(1-$C72)*R75,(1-(VLOOKUP($C75,'S3 - Screening Tool Metrics'!$C$3:$G$17,5,FALSE)/100))*R75)</f>
        <v>34.09195220057169</v>
      </c>
      <c r="U75" s="706">
        <f>IF($C75="other",$C72*R75,(VLOOKUP($C75,'S3 - Screening Tool Metrics'!$C$3:$G$17,5,FALSE)/100)*R75)</f>
        <v>178.98274905300136</v>
      </c>
      <c r="V75" s="708">
        <f t="shared" si="62"/>
        <v>27.966054539531459</v>
      </c>
      <c r="W75" s="707">
        <f t="shared" si="63"/>
        <v>236463.80000000002</v>
      </c>
      <c r="X75" s="706">
        <f>VLOOKUP("*"&amp;$B75&amp;"*",'S4 - Summ PRS Characteristics'!$C$13:$Q$20,13,FALSE)*$J75</f>
        <v>122.66695529748482</v>
      </c>
      <c r="Y75" s="706">
        <f t="shared" si="73"/>
        <v>517.33304470251517</v>
      </c>
      <c r="Z75" s="706">
        <f>IF($C75="other",(1-$C72)*X75,(1-(VLOOKUP($C75,'S3 - Screening Tool Metrics'!$C$3:$G$17,5,FALSE)/100))*X75)</f>
        <v>19.626712847597574</v>
      </c>
      <c r="AA75" s="706">
        <f>IF($C75="other",$C72*X75,(VLOOKUP($C75,'S3 - Screening Tool Metrics'!$C$3:$G$17,5,FALSE)/100)*X75)</f>
        <v>103.04024244988724</v>
      </c>
      <c r="AB75" s="708">
        <f t="shared" si="64"/>
        <v>16.100037882794883</v>
      </c>
      <c r="AC75" s="706">
        <f t="shared" si="65"/>
        <v>118231.90000000001</v>
      </c>
      <c r="AD75" s="706">
        <f>VLOOKUP("*"&amp;$B75&amp;"*",'S4 - Summ PRS Characteristics'!$C$13:$Q$20,14,FALSE)*$J75</f>
        <v>69.37726066783506</v>
      </c>
      <c r="AE75" s="706">
        <f t="shared" ref="AE75:AE86" si="75">$J75-AD75</f>
        <v>570.62273933216488</v>
      </c>
      <c r="AF75" s="706">
        <f>IF($C75="other",(1-$C72)*AD75,(1-(VLOOKUP($C75,'S3 - Screening Tool Metrics'!$C$3:$G$17,5,FALSE)/100))*AD75)</f>
        <v>11.100361706853612</v>
      </c>
      <c r="AG75" s="706">
        <f>IF($C75="other",$C72*AD75,(VLOOKUP($C75,'S3 - Screening Tool Metrics'!$C$3:$G$17,5,FALSE)/100)*AD75)</f>
        <v>58.276898960981448</v>
      </c>
      <c r="AH75" s="708">
        <f t="shared" si="66"/>
        <v>9.1057654626533502</v>
      </c>
      <c r="AI75" s="707">
        <f t="shared" si="67"/>
        <v>23646.38</v>
      </c>
      <c r="AJ75" s="706">
        <f>VLOOKUP("*"&amp;$B75&amp;"*",'S4 - Summ PRS Characteristics'!$C$13:$Q$20,15,FALSE)*$J75</f>
        <v>17.693804241196371</v>
      </c>
      <c r="AK75" s="706">
        <f t="shared" si="74"/>
        <v>622.3061957588036</v>
      </c>
      <c r="AL75" s="706">
        <f>IF($C75="other",(1-$C72)*AJ75,(1-(VLOOKUP($C75,'S3 - Screening Tool Metrics'!$C$3:$G$17,5,FALSE)/100))*AJ75)</f>
        <v>2.8310086785914201</v>
      </c>
      <c r="AM75" s="706">
        <f>IF($C75="other",$C72*AJ75,(VLOOKUP($C75,'S3 - Screening Tool Metrics'!$C$3:$G$17,5,FALSE)/100)*AJ75)</f>
        <v>14.862795562604951</v>
      </c>
      <c r="AN75" s="709">
        <f t="shared" si="68"/>
        <v>2.3223118066570239</v>
      </c>
    </row>
    <row r="76" spans="2:40" x14ac:dyDescent="0.15">
      <c r="B76" s="700" t="s">
        <v>13</v>
      </c>
      <c r="C76" s="721" t="str">
        <f>$C73</f>
        <v>MMS (CA-125 + TVU)</v>
      </c>
      <c r="D76" s="552" t="s">
        <v>195</v>
      </c>
      <c r="E76" s="710">
        <f>VLOOKUP($B76&amp;"_"&amp;$D76,'App5 - CRUK Inci Rates'!C:H,6,FALSE)</f>
        <v>0</v>
      </c>
      <c r="F76" s="711">
        <f>VLOOKUP($B76&amp;"_"&amp;$D76,'App5 - CRUK Inci Rates'!C:H,3,FALSE)</f>
        <v>34.799999999999997</v>
      </c>
      <c r="G76" s="712">
        <f>VLOOKUP($B76&amp;"_"&amp;$D76,'App5 - CRUK Inci Rates'!C:J,8,FALSE)</f>
        <v>2119687.3333333335</v>
      </c>
      <c r="H76" s="713">
        <f>VLOOKUP($B76&amp;"_"&amp;$D76,'App5 - CRUK Inci Rates'!C:J,7,FALSE)</f>
        <v>0</v>
      </c>
      <c r="I76" s="713">
        <f>VLOOKUP($B76&amp;"_"&amp;$D76,'App5 - CRUK Inci Rates'!C:J,4,FALSE)</f>
        <v>2119687.3333333335</v>
      </c>
      <c r="J76" s="709">
        <f>VLOOKUP($B76&amp;"_"&amp;$D76,'App5 - CRUK Inci Rates'!C:K,9,FALSE)</f>
        <v>738</v>
      </c>
      <c r="K76" s="706">
        <f t="shared" si="69"/>
        <v>1059843.6666666667</v>
      </c>
      <c r="L76" s="706">
        <f>VLOOKUP("*"&amp;$B76&amp;"*",'S4 - Summ PRS Characteristics'!$C$13:$Q$20,11,FALSE)*$J76</f>
        <v>486.35466011704256</v>
      </c>
      <c r="M76" s="706">
        <f t="shared" si="70"/>
        <v>251.64533988295744</v>
      </c>
      <c r="N76" s="706">
        <f>IF($C76="other",(1-$C$7)*L76,(1-(VLOOKUP($C76,'S3 - Screening Tool Metrics'!$C$3:$G$17,5,FALSE)/100))*L76)</f>
        <v>77.816745618726827</v>
      </c>
      <c r="O76" s="706">
        <f>IF($C76="other",$C$7*L76,(VLOOKUP($C76,'S3 - Screening Tool Metrics'!$C$3:$G$17,5,FALSE)/100)*L76)</f>
        <v>408.53791449831573</v>
      </c>
      <c r="P76" s="706">
        <f t="shared" si="71"/>
        <v>55.357440988931671</v>
      </c>
      <c r="Q76" s="707">
        <f t="shared" si="61"/>
        <v>423937.46666666673</v>
      </c>
      <c r="R76" s="706">
        <f>VLOOKUP("*"&amp;$B76&amp;"*",'S4 - Summ PRS Characteristics'!$C$13:$Q$20,12,FALSE)*$J76</f>
        <v>245.70176488302641</v>
      </c>
      <c r="S76" s="706">
        <f t="shared" si="72"/>
        <v>492.29823511697361</v>
      </c>
      <c r="T76" s="706">
        <f>IF($C76="other",(1-$C72)*R76,(1-(VLOOKUP($C76,'S3 - Screening Tool Metrics'!$C$3:$G$17,5,FALSE)/100))*R76)</f>
        <v>39.312282381284234</v>
      </c>
      <c r="U76" s="706">
        <f>IF($C76="other",$C72*R76,(VLOOKUP($C76,'S3 - Screening Tool Metrics'!$C$3:$G$17,5,FALSE)/100)*R76)</f>
        <v>206.38948250174218</v>
      </c>
      <c r="V76" s="708">
        <f t="shared" si="62"/>
        <v>27.966054539531459</v>
      </c>
      <c r="W76" s="707">
        <f t="shared" si="63"/>
        <v>211968.73333333337</v>
      </c>
      <c r="X76" s="706">
        <f>VLOOKUP("*"&amp;$B76&amp;"*",'S4 - Summ PRS Characteristics'!$C$13:$Q$20,13,FALSE)*$J76</f>
        <v>141.45033282741218</v>
      </c>
      <c r="Y76" s="706">
        <f t="shared" si="73"/>
        <v>596.54966717258776</v>
      </c>
      <c r="Z76" s="706">
        <f>IF($C76="other",(1-$C72)*X76,(1-(VLOOKUP($C76,'S3 - Screening Tool Metrics'!$C$3:$G$17,5,FALSE)/100))*X76)</f>
        <v>22.632053252385955</v>
      </c>
      <c r="AA76" s="706">
        <f>IF($C76="other",$C72*X76,(VLOOKUP($C76,'S3 - Screening Tool Metrics'!$C$3:$G$17,5,FALSE)/100)*X76)</f>
        <v>118.81827957502622</v>
      </c>
      <c r="AB76" s="708">
        <f t="shared" si="64"/>
        <v>16.100037882794883</v>
      </c>
      <c r="AC76" s="706">
        <f t="shared" si="65"/>
        <v>105984.36666666668</v>
      </c>
      <c r="AD76" s="706">
        <f>VLOOKUP("*"&amp;$B76&amp;"*",'S4 - Summ PRS Characteristics'!$C$13:$Q$20,14,FALSE)*$J76</f>
        <v>80.000653707597309</v>
      </c>
      <c r="AE76" s="706">
        <f t="shared" si="75"/>
        <v>657.99934629240272</v>
      </c>
      <c r="AF76" s="706">
        <f>IF($C76="other",(1-$C72)*AD76,(1-(VLOOKUP($C76,'S3 - Screening Tool Metrics'!$C$3:$G$17,5,FALSE)/100))*AD76)</f>
        <v>12.800104593215572</v>
      </c>
      <c r="AG76" s="706">
        <f>IF($C76="other",$C72*AD76,(VLOOKUP($C76,'S3 - Screening Tool Metrics'!$C$3:$G$17,5,FALSE)/100)*AD76)</f>
        <v>67.200549114381744</v>
      </c>
      <c r="AH76" s="708">
        <f t="shared" si="66"/>
        <v>9.105765462653352</v>
      </c>
      <c r="AI76" s="707">
        <f t="shared" si="67"/>
        <v>21196.873333333337</v>
      </c>
      <c r="AJ76" s="706">
        <f>VLOOKUP("*"&amp;$B76&amp;"*",'S4 - Summ PRS Characteristics'!$C$13:$Q$20,15,FALSE)*$J76</f>
        <v>20.403168015629564</v>
      </c>
      <c r="AK76" s="706">
        <f t="shared" si="74"/>
        <v>717.5968319843704</v>
      </c>
      <c r="AL76" s="706">
        <f>IF($C76="other",(1-$C72)*AJ76,(1-(VLOOKUP($C76,'S3 - Screening Tool Metrics'!$C$3:$G$17,5,FALSE)/100))*AJ76)</f>
        <v>3.2645068825007311</v>
      </c>
      <c r="AM76" s="706">
        <f>IF($C76="other",$C72*AJ76,(VLOOKUP($C76,'S3 - Screening Tool Metrics'!$C$3:$G$17,5,FALSE)/100)*AJ76)</f>
        <v>17.138661133128835</v>
      </c>
      <c r="AN76" s="709">
        <f t="shared" si="68"/>
        <v>2.3223118066570239</v>
      </c>
    </row>
    <row r="77" spans="2:40" x14ac:dyDescent="0.15">
      <c r="B77" s="700" t="s">
        <v>13</v>
      </c>
      <c r="C77" s="721" t="str">
        <f>$C73</f>
        <v>MMS (CA-125 + TVU)</v>
      </c>
      <c r="D77" s="552" t="s">
        <v>196</v>
      </c>
      <c r="E77" s="710">
        <f>VLOOKUP($B77&amp;"_"&amp;$D77,'App5 - CRUK Inci Rates'!C:H,6,FALSE)</f>
        <v>0</v>
      </c>
      <c r="F77" s="711">
        <f>VLOOKUP($B77&amp;"_"&amp;$D77,'App5 - CRUK Inci Rates'!C:H,3,FALSE)</f>
        <v>41.6</v>
      </c>
      <c r="G77" s="712">
        <f>VLOOKUP($B77&amp;"_"&amp;$D77,'App5 - CRUK Inci Rates'!C:J,8,FALSE)</f>
        <v>1837174</v>
      </c>
      <c r="H77" s="713">
        <f>VLOOKUP($B77&amp;"_"&amp;$D77,'App5 - CRUK Inci Rates'!C:J,7,FALSE)</f>
        <v>0</v>
      </c>
      <c r="I77" s="713">
        <f>VLOOKUP($B77&amp;"_"&amp;$D77,'App5 - CRUK Inci Rates'!C:J,4,FALSE)</f>
        <v>1837174</v>
      </c>
      <c r="J77" s="709">
        <f>VLOOKUP($B77&amp;"_"&amp;$D77,'App5 - CRUK Inci Rates'!C:K,9,FALSE)</f>
        <v>764</v>
      </c>
      <c r="K77" s="706">
        <f t="shared" si="69"/>
        <v>918587</v>
      </c>
      <c r="L77" s="706">
        <f>VLOOKUP("*"&amp;$B77&amp;"*",'S4 - Summ PRS Characteristics'!$C$13:$Q$20,11,FALSE)*$J77</f>
        <v>503.48910613742618</v>
      </c>
      <c r="M77" s="706">
        <f t="shared" si="70"/>
        <v>260.51089386257382</v>
      </c>
      <c r="N77" s="706">
        <f>IF($C77="other",(1-$C$7)*L77,(1-(VLOOKUP($C77,'S3 - Screening Tool Metrics'!$C$3:$G$17,5,FALSE)/100))*L77)</f>
        <v>80.558256981988208</v>
      </c>
      <c r="O77" s="706">
        <f>IF($C77="other",$C$7*L77,(VLOOKUP($C77,'S3 - Screening Tool Metrics'!$C$3:$G$17,5,FALSE)/100)*L77)</f>
        <v>422.93084915543795</v>
      </c>
      <c r="P77" s="706">
        <f t="shared" si="71"/>
        <v>55.357440988931671</v>
      </c>
      <c r="Q77" s="707">
        <f t="shared" si="61"/>
        <v>367434.80000000005</v>
      </c>
      <c r="R77" s="706">
        <f>VLOOKUP("*"&amp;$B77&amp;"*",'S4 - Summ PRS Characteristics'!$C$13:$Q$20,12,FALSE)*$J77</f>
        <v>254.35792462145284</v>
      </c>
      <c r="S77" s="706">
        <f t="shared" si="72"/>
        <v>509.64207537854713</v>
      </c>
      <c r="T77" s="706">
        <f>IF($C77="other",(1-$C72)*R77,(1-(VLOOKUP($C77,'S3 - Screening Tool Metrics'!$C$3:$G$17,5,FALSE)/100))*R77)</f>
        <v>40.697267939432464</v>
      </c>
      <c r="U77" s="706">
        <f>IF($C77="other",$C72*R77,(VLOOKUP($C77,'S3 - Screening Tool Metrics'!$C$3:$G$17,5,FALSE)/100)*R77)</f>
        <v>213.66065668202037</v>
      </c>
      <c r="V77" s="708">
        <f t="shared" si="62"/>
        <v>27.966054539531466</v>
      </c>
      <c r="W77" s="707">
        <f t="shared" si="63"/>
        <v>183717.40000000002</v>
      </c>
      <c r="X77" s="706">
        <f>VLOOKUP("*"&amp;$B77&amp;"*",'S4 - Summ PRS Characteristics'!$C$13:$Q$20,13,FALSE)*$J77</f>
        <v>146.43367788637249</v>
      </c>
      <c r="Y77" s="706">
        <f t="shared" si="73"/>
        <v>617.56632211362751</v>
      </c>
      <c r="Z77" s="706">
        <f>IF($C77="other",(1-$C72)*X77,(1-(VLOOKUP($C77,'S3 - Screening Tool Metrics'!$C$3:$G$17,5,FALSE)/100))*X77)</f>
        <v>23.429388461819602</v>
      </c>
      <c r="AA77" s="706">
        <f>IF($C77="other",$C72*X77,(VLOOKUP($C77,'S3 - Screening Tool Metrics'!$C$3:$G$17,5,FALSE)/100)*X77)</f>
        <v>123.00428942455289</v>
      </c>
      <c r="AB77" s="708">
        <f t="shared" si="64"/>
        <v>16.100037882794883</v>
      </c>
      <c r="AC77" s="706">
        <f t="shared" si="65"/>
        <v>91858.700000000012</v>
      </c>
      <c r="AD77" s="706">
        <f>VLOOKUP("*"&amp;$B77&amp;"*",'S4 - Summ PRS Characteristics'!$C$13:$Q$20,14,FALSE)*$J77</f>
        <v>82.819104922228107</v>
      </c>
      <c r="AE77" s="706">
        <f t="shared" si="75"/>
        <v>681.18089507777188</v>
      </c>
      <c r="AF77" s="706">
        <f>IF($C77="other",(1-$C72)*AD77,(1-(VLOOKUP($C77,'S3 - Screening Tool Metrics'!$C$3:$G$17,5,FALSE)/100))*AD77)</f>
        <v>13.2510567875565</v>
      </c>
      <c r="AG77" s="706">
        <f>IF($C77="other",$C72*AD77,(VLOOKUP($C77,'S3 - Screening Tool Metrics'!$C$3:$G$17,5,FALSE)/100)*AD77)</f>
        <v>69.568048134671614</v>
      </c>
      <c r="AH77" s="708">
        <f t="shared" si="66"/>
        <v>9.105765462653352</v>
      </c>
      <c r="AI77" s="707">
        <f t="shared" si="67"/>
        <v>18371.740000000002</v>
      </c>
      <c r="AJ77" s="706">
        <f>VLOOKUP("*"&amp;$B77&amp;"*",'S4 - Summ PRS Characteristics'!$C$13:$Q$20,15,FALSE)*$J77</f>
        <v>21.12197881292817</v>
      </c>
      <c r="AK77" s="706">
        <f t="shared" si="74"/>
        <v>742.87802118707179</v>
      </c>
      <c r="AL77" s="706">
        <f>IF($C77="other",(1-$C72)*AJ77,(1-(VLOOKUP($C77,'S3 - Screening Tool Metrics'!$C$3:$G$17,5,FALSE)/100))*AJ77)</f>
        <v>3.3795166100685079</v>
      </c>
      <c r="AM77" s="706">
        <f>IF($C77="other",$C72*AJ77,(VLOOKUP($C77,'S3 - Screening Tool Metrics'!$C$3:$G$17,5,FALSE)/100)*AJ77)</f>
        <v>17.742462202859663</v>
      </c>
      <c r="AN77" s="709">
        <f t="shared" si="68"/>
        <v>2.3223118066570239</v>
      </c>
    </row>
    <row r="78" spans="2:40" x14ac:dyDescent="0.15">
      <c r="B78" s="700" t="s">
        <v>13</v>
      </c>
      <c r="C78" s="721" t="str">
        <f>$C73</f>
        <v>MMS (CA-125 + TVU)</v>
      </c>
      <c r="D78" s="552" t="s">
        <v>197</v>
      </c>
      <c r="E78" s="710">
        <f>VLOOKUP($B78&amp;"_"&amp;$D78,'App5 - CRUK Inci Rates'!C:H,6,FALSE)</f>
        <v>0</v>
      </c>
      <c r="F78" s="711">
        <f>VLOOKUP($B78&amp;"_"&amp;$D78,'App5 - CRUK Inci Rates'!C:H,3,FALSE)</f>
        <v>52.3</v>
      </c>
      <c r="G78" s="712">
        <f>VLOOKUP($B78&amp;"_"&amp;$D78,'App5 - CRUK Inci Rates'!C:J,8,FALSE)</f>
        <v>1805190</v>
      </c>
      <c r="H78" s="713">
        <f>VLOOKUP($B78&amp;"_"&amp;$D78,'App5 - CRUK Inci Rates'!C:J,7,FALSE)</f>
        <v>0</v>
      </c>
      <c r="I78" s="713">
        <f>VLOOKUP($B78&amp;"_"&amp;$D78,'App5 - CRUK Inci Rates'!C:J,4,FALSE)</f>
        <v>1805190</v>
      </c>
      <c r="J78" s="709">
        <f>VLOOKUP($B78&amp;"_"&amp;$D78,'App5 - CRUK Inci Rates'!C:K,9,FALSE)</f>
        <v>944</v>
      </c>
      <c r="K78" s="706">
        <f t="shared" si="69"/>
        <v>902595</v>
      </c>
      <c r="L78" s="706">
        <f>VLOOKUP("*"&amp;$B78&amp;"*",'S4 - Summ PRS Characteristics'!$C$13:$Q$20,11,FALSE)*$J78</f>
        <v>622.11219397085119</v>
      </c>
      <c r="M78" s="706">
        <f t="shared" si="70"/>
        <v>321.88780602914881</v>
      </c>
      <c r="N78" s="706">
        <f>IF($C78="other",(1-$C$7)*L78,(1-(VLOOKUP($C78,'S3 - Screening Tool Metrics'!$C$3:$G$17,5,FALSE)/100))*L78)</f>
        <v>99.537951035336206</v>
      </c>
      <c r="O78" s="706">
        <f>IF($C78="other",$C$7*L78,(VLOOKUP($C78,'S3 - Screening Tool Metrics'!$C$3:$G$17,5,FALSE)/100)*L78)</f>
        <v>522.57424293551503</v>
      </c>
      <c r="P78" s="706">
        <f t="shared" si="71"/>
        <v>55.357440988931671</v>
      </c>
      <c r="Q78" s="707">
        <f t="shared" si="61"/>
        <v>361038</v>
      </c>
      <c r="R78" s="706">
        <f>VLOOKUP("*"&amp;$B78&amp;"*",'S4 - Summ PRS Characteristics'!$C$13:$Q$20,12,FALSE)*$J78</f>
        <v>314.28518434902026</v>
      </c>
      <c r="S78" s="706">
        <f t="shared" si="72"/>
        <v>629.71481565097974</v>
      </c>
      <c r="T78" s="706">
        <f>IF($C78="other",(1-$C72)*R78,(1-(VLOOKUP($C78,'S3 - Screening Tool Metrics'!$C$3:$G$17,5,FALSE)/100))*R78)</f>
        <v>50.285629495843253</v>
      </c>
      <c r="U78" s="706">
        <f>IF($C78="other",$C72*R78,(VLOOKUP($C78,'S3 - Screening Tool Metrics'!$C$3:$G$17,5,FALSE)/100)*R78)</f>
        <v>263.99955485317702</v>
      </c>
      <c r="V78" s="708">
        <f t="shared" si="62"/>
        <v>27.966054539531466</v>
      </c>
      <c r="W78" s="707">
        <f t="shared" si="63"/>
        <v>180519</v>
      </c>
      <c r="X78" s="706">
        <f>VLOOKUP("*"&amp;$B78&amp;"*",'S4 - Summ PRS Characteristics'!$C$13:$Q$20,13,FALSE)*$J78</f>
        <v>180.93375906379012</v>
      </c>
      <c r="Y78" s="706">
        <f t="shared" si="73"/>
        <v>763.06624093620985</v>
      </c>
      <c r="Z78" s="706">
        <f>IF($C78="other",(1-$C72)*X78,(1-(VLOOKUP($C78,'S3 - Screening Tool Metrics'!$C$3:$G$17,5,FALSE)/100))*X78)</f>
        <v>28.949401450206423</v>
      </c>
      <c r="AA78" s="706">
        <f>IF($C78="other",$C72*X78,(VLOOKUP($C78,'S3 - Screening Tool Metrics'!$C$3:$G$17,5,FALSE)/100)*X78)</f>
        <v>151.98435761358368</v>
      </c>
      <c r="AB78" s="708">
        <f t="shared" si="64"/>
        <v>16.100037882794883</v>
      </c>
      <c r="AC78" s="706">
        <f t="shared" si="65"/>
        <v>90259.5</v>
      </c>
      <c r="AD78" s="706">
        <f>VLOOKUP("*"&amp;$B78&amp;"*",'S4 - Summ PRS Characteristics'!$C$13:$Q$20,14,FALSE)*$J78</f>
        <v>102.33145948505671</v>
      </c>
      <c r="AE78" s="706">
        <f t="shared" si="75"/>
        <v>841.66854051494329</v>
      </c>
      <c r="AF78" s="706">
        <f>IF($C78="other",(1-$C72)*AD78,(1-(VLOOKUP($C78,'S3 - Screening Tool Metrics'!$C$3:$G$17,5,FALSE)/100))*AD78)</f>
        <v>16.373033517609077</v>
      </c>
      <c r="AG78" s="706">
        <f>IF($C78="other",$C72*AD78,(VLOOKUP($C78,'S3 - Screening Tool Metrics'!$C$3:$G$17,5,FALSE)/100)*AD78)</f>
        <v>85.958425967447639</v>
      </c>
      <c r="AH78" s="708">
        <f t="shared" si="66"/>
        <v>9.105765462653352</v>
      </c>
      <c r="AI78" s="707">
        <f t="shared" si="67"/>
        <v>18051.900000000001</v>
      </c>
      <c r="AJ78" s="706">
        <f>VLOOKUP("*"&amp;$B78&amp;"*",'S4 - Summ PRS Characteristics'!$C$13:$Q$20,15,FALSE)*$J78</f>
        <v>26.098361255764647</v>
      </c>
      <c r="AK78" s="706">
        <f t="shared" si="74"/>
        <v>917.90163874423536</v>
      </c>
      <c r="AL78" s="706">
        <f>IF($C78="other",(1-$C72)*AJ78,(1-(VLOOKUP($C78,'S3 - Screening Tool Metrics'!$C$3:$G$17,5,FALSE)/100))*AJ78)</f>
        <v>4.1757378009223443</v>
      </c>
      <c r="AM78" s="706">
        <f>IF($C78="other",$C72*AJ78,(VLOOKUP($C78,'S3 - Screening Tool Metrics'!$C$3:$G$17,5,FALSE)/100)*AJ78)</f>
        <v>21.922623454842302</v>
      </c>
      <c r="AN78" s="709">
        <f t="shared" si="68"/>
        <v>2.3223118066570239</v>
      </c>
    </row>
    <row r="79" spans="2:40" x14ac:dyDescent="0.15">
      <c r="B79" s="700" t="s">
        <v>13</v>
      </c>
      <c r="C79" s="721" t="str">
        <f>$C73</f>
        <v>MMS (CA-125 + TVU)</v>
      </c>
      <c r="D79" s="552" t="s">
        <v>198</v>
      </c>
      <c r="E79" s="710">
        <f>VLOOKUP($B79&amp;"_"&amp;$D79,'App5 - CRUK Inci Rates'!C:H,6,FALSE)</f>
        <v>0</v>
      </c>
      <c r="F79" s="711">
        <f>VLOOKUP($B79&amp;"_"&amp;$D79,'App5 - CRUK Inci Rates'!C:H,3,FALSE)</f>
        <v>60.8</v>
      </c>
      <c r="G79" s="712">
        <f>VLOOKUP($B79&amp;"_"&amp;$D79,'App5 - CRUK Inci Rates'!C:J,8,FALSE)</f>
        <v>1603609.6666666667</v>
      </c>
      <c r="H79" s="713">
        <f>VLOOKUP($B79&amp;"_"&amp;$D79,'App5 - CRUK Inci Rates'!C:J,7,FALSE)</f>
        <v>0</v>
      </c>
      <c r="I79" s="713">
        <f>VLOOKUP($B79&amp;"_"&amp;$D79,'App5 - CRUK Inci Rates'!C:J,4,FALSE)</f>
        <v>1603609.6666666667</v>
      </c>
      <c r="J79" s="709">
        <f>VLOOKUP($B79&amp;"_"&amp;$D79,'App5 - CRUK Inci Rates'!C:K,9,FALSE)</f>
        <v>975</v>
      </c>
      <c r="K79" s="706">
        <f t="shared" si="69"/>
        <v>801804.83333333337</v>
      </c>
      <c r="L79" s="706">
        <f>VLOOKUP("*"&amp;$B79&amp;"*",'S4 - Summ PRS Characteristics'!$C$13:$Q$20,11,FALSE)*$J79</f>
        <v>642.54172576438555</v>
      </c>
      <c r="M79" s="706">
        <f t="shared" si="70"/>
        <v>332.45827423561445</v>
      </c>
      <c r="N79" s="706">
        <f>IF($C79="other",(1-$C$7)*L79,(1-(VLOOKUP($C79,'S3 - Screening Tool Metrics'!$C$3:$G$17,5,FALSE)/100))*L79)</f>
        <v>102.80667612230171</v>
      </c>
      <c r="O79" s="706">
        <f>IF($C79="other",$C$7*L79,(VLOOKUP($C79,'S3 - Screening Tool Metrics'!$C$3:$G$17,5,FALSE)/100)*L79)</f>
        <v>539.73504964208382</v>
      </c>
      <c r="P79" s="706">
        <f t="shared" si="71"/>
        <v>55.357440988931671</v>
      </c>
      <c r="Q79" s="707">
        <f t="shared" si="61"/>
        <v>320721.93333333335</v>
      </c>
      <c r="R79" s="706">
        <f>VLOOKUP("*"&amp;$B79&amp;"*",'S4 - Summ PRS Characteristics'!$C$13:$Q$20,12,FALSE)*$J79</f>
        <v>324.60599019099021</v>
      </c>
      <c r="S79" s="706">
        <f t="shared" si="72"/>
        <v>650.39400980900973</v>
      </c>
      <c r="T79" s="706">
        <f>IF($C79="other",(1-$C72)*R79,(1-(VLOOKUP($C79,'S3 - Screening Tool Metrics'!$C$3:$G$17,5,FALSE)/100))*R79)</f>
        <v>51.936958430558441</v>
      </c>
      <c r="U79" s="706">
        <f>IF($C79="other",$C72*R79,(VLOOKUP($C79,'S3 - Screening Tool Metrics'!$C$3:$G$17,5,FALSE)/100)*R79)</f>
        <v>272.66903176043178</v>
      </c>
      <c r="V79" s="708">
        <f t="shared" si="62"/>
        <v>27.966054539531466</v>
      </c>
      <c r="W79" s="707">
        <f t="shared" si="63"/>
        <v>160360.96666666667</v>
      </c>
      <c r="X79" s="706">
        <f>VLOOKUP("*"&amp;$B79&amp;"*",'S4 - Summ PRS Characteristics'!$C$13:$Q$20,13,FALSE)*$J79</f>
        <v>186.87543971101204</v>
      </c>
      <c r="Y79" s="706">
        <f t="shared" si="73"/>
        <v>788.12456028898794</v>
      </c>
      <c r="Z79" s="706">
        <f>IF($C79="other",(1-$C72)*X79,(1-(VLOOKUP($C79,'S3 - Screening Tool Metrics'!$C$3:$G$17,5,FALSE)/100))*X79)</f>
        <v>29.900070353761933</v>
      </c>
      <c r="AA79" s="706">
        <f>IF($C79="other",$C72*X79,(VLOOKUP($C79,'S3 - Screening Tool Metrics'!$C$3:$G$17,5,FALSE)/100)*X79)</f>
        <v>156.97536935725012</v>
      </c>
      <c r="AB79" s="708">
        <f t="shared" si="64"/>
        <v>16.100037882794886</v>
      </c>
      <c r="AC79" s="706">
        <f t="shared" si="65"/>
        <v>80180.483333333337</v>
      </c>
      <c r="AD79" s="706">
        <f>VLOOKUP("*"&amp;$B79&amp;"*",'S4 - Summ PRS Characteristics'!$C$13:$Q$20,14,FALSE)*$J79</f>
        <v>105.69192054865498</v>
      </c>
      <c r="AE79" s="706">
        <f t="shared" si="75"/>
        <v>869.30807945134507</v>
      </c>
      <c r="AF79" s="706">
        <f>IF($C79="other",(1-$C72)*AD79,(1-(VLOOKUP($C79,'S3 - Screening Tool Metrics'!$C$3:$G$17,5,FALSE)/100))*AD79)</f>
        <v>16.910707287784799</v>
      </c>
      <c r="AG79" s="706">
        <f>IF($C79="other",$C72*AD79,(VLOOKUP($C79,'S3 - Screening Tool Metrics'!$C$3:$G$17,5,FALSE)/100)*AD79)</f>
        <v>88.781213260870175</v>
      </c>
      <c r="AH79" s="708">
        <f t="shared" si="66"/>
        <v>9.1057654626533502</v>
      </c>
      <c r="AI79" s="707">
        <f t="shared" si="67"/>
        <v>16036.096666666668</v>
      </c>
      <c r="AJ79" s="706">
        <f>VLOOKUP("*"&amp;$B79&amp;"*",'S4 - Summ PRS Characteristics'!$C$13:$Q$20,15,FALSE)*$J79</f>
        <v>26.955404898697598</v>
      </c>
      <c r="AK79" s="706">
        <f t="shared" si="74"/>
        <v>948.04459510130243</v>
      </c>
      <c r="AL79" s="706">
        <f>IF($C79="other",(1-$C72)*AJ79,(1-(VLOOKUP($C79,'S3 - Screening Tool Metrics'!$C$3:$G$17,5,FALSE)/100))*AJ79)</f>
        <v>4.3128647837916168</v>
      </c>
      <c r="AM79" s="706">
        <f>IF($C79="other",$C72*AJ79,(VLOOKUP($C79,'S3 - Screening Tool Metrics'!$C$3:$G$17,5,FALSE)/100)*AJ79)</f>
        <v>22.64254011490598</v>
      </c>
      <c r="AN79" s="709">
        <f t="shared" si="68"/>
        <v>2.3223118066570239</v>
      </c>
    </row>
    <row r="80" spans="2:40" x14ac:dyDescent="0.15">
      <c r="B80" s="700" t="s">
        <v>13</v>
      </c>
      <c r="C80" s="721" t="str">
        <f>$C73</f>
        <v>MMS (CA-125 + TVU)</v>
      </c>
      <c r="D80" s="552" t="s">
        <v>199</v>
      </c>
      <c r="E80" s="710">
        <f>VLOOKUP($B80&amp;"_"&amp;$D80,'App5 - CRUK Inci Rates'!C:H,6,FALSE)</f>
        <v>0</v>
      </c>
      <c r="F80" s="711">
        <f>VLOOKUP($B80&amp;"_"&amp;$D80,'App5 - CRUK Inci Rates'!C:H,3,FALSE)</f>
        <v>73.8</v>
      </c>
      <c r="G80" s="712">
        <f>VLOOKUP($B80&amp;"_"&amp;$D80,'App5 - CRUK Inci Rates'!C:J,8,FALSE)</f>
        <v>1181645.3333333333</v>
      </c>
      <c r="H80" s="713">
        <f>VLOOKUP($B80&amp;"_"&amp;$D80,'App5 - CRUK Inci Rates'!C:J,7,FALSE)</f>
        <v>0</v>
      </c>
      <c r="I80" s="713">
        <f>VLOOKUP($B80&amp;"_"&amp;$D80,'App5 - CRUK Inci Rates'!C:J,4,FALSE)</f>
        <v>1181645.3333333333</v>
      </c>
      <c r="J80" s="709">
        <f>VLOOKUP($B80&amp;"_"&amp;$D80,'App5 - CRUK Inci Rates'!C:K,9,FALSE)</f>
        <v>872</v>
      </c>
      <c r="K80" s="706">
        <f t="shared" si="69"/>
        <v>590822.66666666663</v>
      </c>
      <c r="L80" s="706">
        <f>VLOOKUP("*"&amp;$B80&amp;"*",'S4 - Summ PRS Characteristics'!$C$13:$Q$20,11,FALSE)*$J80</f>
        <v>574.66295883748126</v>
      </c>
      <c r="M80" s="706">
        <f t="shared" si="70"/>
        <v>297.33704116251874</v>
      </c>
      <c r="N80" s="706">
        <f>IF($C80="other",(1-$C$7)*L80,(1-(VLOOKUP($C80,'S3 - Screening Tool Metrics'!$C$3:$G$17,5,FALSE)/100))*L80)</f>
        <v>91.946073413997013</v>
      </c>
      <c r="O80" s="706">
        <f>IF($C80="other",$C$7*L80,(VLOOKUP($C80,'S3 - Screening Tool Metrics'!$C$3:$G$17,5,FALSE)/100)*L80)</f>
        <v>482.71688542348426</v>
      </c>
      <c r="P80" s="706">
        <f t="shared" si="71"/>
        <v>55.357440988931685</v>
      </c>
      <c r="Q80" s="707">
        <f t="shared" si="61"/>
        <v>236329.06666666665</v>
      </c>
      <c r="R80" s="706">
        <f>VLOOKUP("*"&amp;$B80&amp;"*",'S4 - Summ PRS Characteristics'!$C$13:$Q$20,12,FALSE)*$J80</f>
        <v>290.31428045799328</v>
      </c>
      <c r="S80" s="706">
        <f t="shared" si="72"/>
        <v>581.68571954200672</v>
      </c>
      <c r="T80" s="706">
        <f>IF($C80="other",(1-$C72)*R80,(1-(VLOOKUP($C80,'S3 - Screening Tool Metrics'!$C$3:$G$17,5,FALSE)/100))*R80)</f>
        <v>46.450284873278932</v>
      </c>
      <c r="U80" s="706">
        <f>IF($C80="other",$C72*R80,(VLOOKUP($C80,'S3 - Screening Tool Metrics'!$C$3:$G$17,5,FALSE)/100)*R80)</f>
        <v>243.86399558471433</v>
      </c>
      <c r="V80" s="708">
        <f t="shared" si="62"/>
        <v>27.966054539531459</v>
      </c>
      <c r="W80" s="707">
        <f t="shared" si="63"/>
        <v>118164.53333333333</v>
      </c>
      <c r="X80" s="706">
        <f>VLOOKUP("*"&amp;$B80&amp;"*",'S4 - Summ PRS Characteristics'!$C$13:$Q$20,13,FALSE)*$J80</f>
        <v>167.13372659282305</v>
      </c>
      <c r="Y80" s="706">
        <f t="shared" si="73"/>
        <v>704.866273407177</v>
      </c>
      <c r="Z80" s="706">
        <f>IF($C80="other",(1-$C72)*X80,(1-(VLOOKUP($C80,'S3 - Screening Tool Metrics'!$C$3:$G$17,5,FALSE)/100))*X80)</f>
        <v>26.741396254851693</v>
      </c>
      <c r="AA80" s="706">
        <f>IF($C80="other",$C72*X80,(VLOOKUP($C80,'S3 - Screening Tool Metrics'!$C$3:$G$17,5,FALSE)/100)*X80)</f>
        <v>140.39233033797134</v>
      </c>
      <c r="AB80" s="708">
        <f t="shared" si="64"/>
        <v>16.100037882794879</v>
      </c>
      <c r="AC80" s="706">
        <f t="shared" si="65"/>
        <v>59082.266666666663</v>
      </c>
      <c r="AD80" s="706">
        <f>VLOOKUP("*"&amp;$B80&amp;"*",'S4 - Summ PRS Characteristics'!$C$13:$Q$20,14,FALSE)*$J80</f>
        <v>94.526517659925275</v>
      </c>
      <c r="AE80" s="706">
        <f t="shared" si="75"/>
        <v>777.47348234007472</v>
      </c>
      <c r="AF80" s="706">
        <f>IF($C80="other",(1-$C72)*AD80,(1-(VLOOKUP($C80,'S3 - Screening Tool Metrics'!$C$3:$G$17,5,FALSE)/100))*AD80)</f>
        <v>15.124242825588047</v>
      </c>
      <c r="AG80" s="706">
        <f>IF($C80="other",$C72*AD80,(VLOOKUP($C80,'S3 - Screening Tool Metrics'!$C$3:$G$17,5,FALSE)/100)*AD80)</f>
        <v>79.402274834337234</v>
      </c>
      <c r="AH80" s="708">
        <f t="shared" si="66"/>
        <v>9.105765462653352</v>
      </c>
      <c r="AI80" s="707">
        <f t="shared" si="67"/>
        <v>11816.453333333333</v>
      </c>
      <c r="AJ80" s="706">
        <f>VLOOKUP("*"&amp;$B80&amp;"*",'S4 - Summ PRS Characteristics'!$C$13:$Q$20,15,FALSE)*$J80</f>
        <v>24.107808278630056</v>
      </c>
      <c r="AK80" s="706">
        <f t="shared" si="74"/>
        <v>847.89219172136995</v>
      </c>
      <c r="AL80" s="706">
        <f>IF($C80="other",(1-$C72)*AJ80,(1-(VLOOKUP($C80,'S3 - Screening Tool Metrics'!$C$3:$G$17,5,FALSE)/100))*AJ80)</f>
        <v>3.8572493245808097</v>
      </c>
      <c r="AM80" s="706">
        <f>IF($C80="other",$C72*AJ80,(VLOOKUP($C80,'S3 - Screening Tool Metrics'!$C$3:$G$17,5,FALSE)/100)*AJ80)</f>
        <v>20.250558954049247</v>
      </c>
      <c r="AN80" s="709">
        <f t="shared" si="68"/>
        <v>2.3223118066570239</v>
      </c>
    </row>
    <row r="81" spans="2:40" x14ac:dyDescent="0.15">
      <c r="B81" s="700" t="s">
        <v>13</v>
      </c>
      <c r="C81" s="721" t="str">
        <f>$C73</f>
        <v>MMS (CA-125 + TVU)</v>
      </c>
      <c r="D81" s="552" t="s">
        <v>200</v>
      </c>
      <c r="E81" s="710">
        <f>VLOOKUP($B81&amp;"_"&amp;$D81,'App5 - CRUK Inci Rates'!C:H,6,FALSE)</f>
        <v>0</v>
      </c>
      <c r="F81" s="711">
        <f>VLOOKUP($B81&amp;"_"&amp;$D81,'App5 - CRUK Inci Rates'!C:H,3,FALSE)</f>
        <v>30.440786428594748</v>
      </c>
      <c r="G81" s="712">
        <f>VLOOKUP($B81&amp;"_"&amp;$D81,'App5 - CRUK Inci Rates'!C:J,8,FALSE)</f>
        <v>12496392</v>
      </c>
      <c r="H81" s="713">
        <f>VLOOKUP($B81&amp;"_"&amp;$D81,'App5 - CRUK Inci Rates'!C:J,7,FALSE)</f>
        <v>0</v>
      </c>
      <c r="I81" s="713">
        <f>VLOOKUP($B81&amp;"_"&amp;$D81,'App5 - CRUK Inci Rates'!C:J,4,FALSE)</f>
        <v>12496392</v>
      </c>
      <c r="J81" s="709">
        <f>VLOOKUP($B81&amp;"_"&amp;$D81,'App5 - CRUK Inci Rates'!C:K,9,FALSE)</f>
        <v>3804</v>
      </c>
      <c r="K81" s="706">
        <f t="shared" si="69"/>
        <v>6248196</v>
      </c>
      <c r="L81" s="706">
        <f>VLOOKUP("*"&amp;$B81&amp;"*",'S4 - Summ PRS Characteristics'!$C$13:$Q$20,11,FALSE)*$J81</f>
        <v>2506.9012562130488</v>
      </c>
      <c r="M81" s="706">
        <f t="shared" si="70"/>
        <v>1297.0987437869512</v>
      </c>
      <c r="N81" s="706">
        <f>IF($C81="other",(1-$C$7)*L81,(1-(VLOOKUP($C81,'S3 - Screening Tool Metrics'!$C$3:$G$17,5,FALSE)/100))*L81)</f>
        <v>401.10420099408788</v>
      </c>
      <c r="O81" s="706">
        <f>IF($C81="other",$C$7*L81,(VLOOKUP($C81,'S3 - Screening Tool Metrics'!$C$3:$G$17,5,FALSE)/100)*L81)</f>
        <v>2105.7970552189608</v>
      </c>
      <c r="P81" s="706">
        <f t="shared" si="71"/>
        <v>55.357440988931671</v>
      </c>
      <c r="Q81" s="707">
        <f t="shared" si="61"/>
        <v>2499278.4</v>
      </c>
      <c r="R81" s="706">
        <f>VLOOKUP("*"&amp;$B81&amp;"*",'S4 - Summ PRS Characteristics'!$C$13:$Q$20,12,FALSE)*$J81</f>
        <v>1266.4627555759248</v>
      </c>
      <c r="S81" s="706">
        <f t="shared" si="72"/>
        <v>2537.5372444240752</v>
      </c>
      <c r="T81" s="706">
        <f>IF($C81="other",(1-$C72)*R81,(1-(VLOOKUP($C81,'S3 - Screening Tool Metrics'!$C$3:$G$17,5,FALSE)/100))*R81)</f>
        <v>202.63404089214802</v>
      </c>
      <c r="U81" s="706">
        <f>IF($C81="other",$C72*R81,(VLOOKUP($C81,'S3 - Screening Tool Metrics'!$C$3:$G$17,5,FALSE)/100)*R81)</f>
        <v>1063.8287146837768</v>
      </c>
      <c r="V81" s="708">
        <f t="shared" si="62"/>
        <v>27.966054539531459</v>
      </c>
      <c r="W81" s="707">
        <f t="shared" si="63"/>
        <v>1249639.2</v>
      </c>
      <c r="X81" s="706">
        <f>VLOOKUP("*"&amp;$B81&amp;"*",'S4 - Summ PRS Characteristics'!$C$13:$Q$20,13,FALSE)*$J81</f>
        <v>729.10171554942542</v>
      </c>
      <c r="Y81" s="706">
        <f t="shared" si="73"/>
        <v>3074.8982844505745</v>
      </c>
      <c r="Z81" s="706">
        <f>IF($C81="other",(1-$C72)*X81,(1-(VLOOKUP($C81,'S3 - Screening Tool Metrics'!$C$3:$G$17,5,FALSE)/100))*X81)</f>
        <v>116.65627448790809</v>
      </c>
      <c r="AA81" s="706">
        <f>IF($C81="other",$C72*X81,(VLOOKUP($C81,'S3 - Screening Tool Metrics'!$C$3:$G$17,5,FALSE)/100)*X81)</f>
        <v>612.44544106151739</v>
      </c>
      <c r="AB81" s="708">
        <f t="shared" si="64"/>
        <v>16.100037882794886</v>
      </c>
      <c r="AC81" s="706">
        <f t="shared" si="65"/>
        <v>624819.6</v>
      </c>
      <c r="AD81" s="706">
        <f>VLOOKUP("*"&amp;$B81&amp;"*",'S4 - Summ PRS Characteristics'!$C$13:$Q$20,14,FALSE)*$J81</f>
        <v>412.36109309444464</v>
      </c>
      <c r="AE81" s="706">
        <f t="shared" si="75"/>
        <v>3391.6389069055554</v>
      </c>
      <c r="AF81" s="706">
        <f>IF($C81="other",(1-$C72)*AD81,(1-(VLOOKUP($C81,'S3 - Screening Tool Metrics'!$C$3:$G$17,5,FALSE)/100))*AD81)</f>
        <v>65.977774895111153</v>
      </c>
      <c r="AG81" s="706">
        <f>IF($C81="other",$C72*AD81,(VLOOKUP($C81,'S3 - Screening Tool Metrics'!$C$3:$G$17,5,FALSE)/100)*AD81)</f>
        <v>346.38331819933347</v>
      </c>
      <c r="AH81" s="708">
        <f t="shared" si="66"/>
        <v>9.1057654626533502</v>
      </c>
      <c r="AI81" s="707">
        <f t="shared" si="67"/>
        <v>124963.92</v>
      </c>
      <c r="AJ81" s="706">
        <f>VLOOKUP("*"&amp;$B81&amp;"*",'S4 - Summ PRS Characteristics'!$C$13:$Q$20,15,FALSE)*$J81</f>
        <v>105.16754895861094</v>
      </c>
      <c r="AK81" s="706">
        <f t="shared" si="74"/>
        <v>3698.832451041389</v>
      </c>
      <c r="AL81" s="706">
        <f>IF($C81="other",(1-$C72)*AJ81,(1-(VLOOKUP($C81,'S3 - Screening Tool Metrics'!$C$3:$G$17,5,FALSE)/100))*AJ81)</f>
        <v>16.826807833377753</v>
      </c>
      <c r="AM81" s="706">
        <f>IF($C81="other",$C72*AJ81,(VLOOKUP($C81,'S3 - Screening Tool Metrics'!$C$3:$G$17,5,FALSE)/100)*AJ81)</f>
        <v>88.34074112523318</v>
      </c>
      <c r="AN81" s="709">
        <f t="shared" si="68"/>
        <v>2.3223118066570239</v>
      </c>
    </row>
    <row r="82" spans="2:40" x14ac:dyDescent="0.15">
      <c r="B82" s="700" t="s">
        <v>13</v>
      </c>
      <c r="C82" s="721" t="str">
        <f>$C73</f>
        <v>MMS (CA-125 + TVU)</v>
      </c>
      <c r="D82" s="552" t="s">
        <v>201</v>
      </c>
      <c r="E82" s="710">
        <f>VLOOKUP($B82&amp;"_"&amp;$D82,'App5 - CRUK Inci Rates'!C:H,6,FALSE)</f>
        <v>0</v>
      </c>
      <c r="F82" s="711">
        <f>VLOOKUP($B82&amp;"_"&amp;$D82,'App5 - CRUK Inci Rates'!C:H,3,FALSE)</f>
        <v>16.431323931422334</v>
      </c>
      <c r="G82" s="712">
        <f>VLOOKUP($B82&amp;"_"&amp;$D82,'App5 - CRUK Inci Rates'!C:J,8,FALSE)</f>
        <v>4369702.666666667</v>
      </c>
      <c r="H82" s="713">
        <f>VLOOKUP($B82&amp;"_"&amp;$D82,'App5 - CRUK Inci Rates'!C:J,7,FALSE)</f>
        <v>0</v>
      </c>
      <c r="I82" s="713">
        <f>VLOOKUP($B82&amp;"_"&amp;$D82,'App5 - CRUK Inci Rates'!C:J,4,FALSE)</f>
        <v>4369702.666666667</v>
      </c>
      <c r="J82" s="709">
        <f>VLOOKUP($B82&amp;"_"&amp;$D82,'App5 - CRUK Inci Rates'!C:K,9,FALSE)</f>
        <v>718</v>
      </c>
      <c r="K82" s="706">
        <f t="shared" si="69"/>
        <v>2184851.3333333335</v>
      </c>
      <c r="L82" s="706">
        <f>VLOOKUP("*"&amp;$B82&amp;"*",'S4 - Summ PRS Characteristics'!$C$13:$Q$20,11,FALSE)*$J82</f>
        <v>473.1743170244398</v>
      </c>
      <c r="M82" s="706">
        <f t="shared" si="70"/>
        <v>244.8256829755602</v>
      </c>
      <c r="N82" s="706">
        <f>IF($C82="other",(1-$C$7)*L82,(1-(VLOOKUP($C82,'S3 - Screening Tool Metrics'!$C$3:$G$17,5,FALSE)/100))*L82)</f>
        <v>75.707890723910381</v>
      </c>
      <c r="O82" s="706">
        <f>IF($C82="other",$C$7*L82,(VLOOKUP($C82,'S3 - Screening Tool Metrics'!$C$3:$G$17,5,FALSE)/100)*L82)</f>
        <v>397.46642630052941</v>
      </c>
      <c r="P82" s="706">
        <f t="shared" si="71"/>
        <v>55.357440988931671</v>
      </c>
      <c r="Q82" s="707">
        <f t="shared" si="61"/>
        <v>873940.53333333344</v>
      </c>
      <c r="R82" s="706">
        <f>VLOOKUP("*"&amp;$B82&amp;"*",'S4 - Summ PRS Characteristics'!$C$13:$Q$20,12,FALSE)*$J82</f>
        <v>239.04318046885226</v>
      </c>
      <c r="S82" s="706">
        <f t="shared" si="72"/>
        <v>478.95681953114774</v>
      </c>
      <c r="T82" s="706">
        <f>IF($C82="other",(1-$C72)*R82,(1-(VLOOKUP($C82,'S3 - Screening Tool Metrics'!$C$3:$G$17,5,FALSE)/100))*R82)</f>
        <v>38.246908875016366</v>
      </c>
      <c r="U82" s="706">
        <f>IF($C82="other",$C72*R82,(VLOOKUP($C82,'S3 - Screening Tool Metrics'!$C$3:$G$17,5,FALSE)/100)*R82)</f>
        <v>200.79627159383588</v>
      </c>
      <c r="V82" s="708">
        <f t="shared" si="62"/>
        <v>27.966054539531459</v>
      </c>
      <c r="W82" s="707">
        <f t="shared" si="63"/>
        <v>436970.26666666672</v>
      </c>
      <c r="X82" s="706">
        <f>VLOOKUP("*"&amp;$B82&amp;"*",'S4 - Summ PRS Characteristics'!$C$13:$Q$20,13,FALSE)*$J82</f>
        <v>137.61699047436579</v>
      </c>
      <c r="Y82" s="706">
        <f t="shared" si="73"/>
        <v>580.38300952563418</v>
      </c>
      <c r="Z82" s="706">
        <f>IF($C82="other",(1-$C72)*X82,(1-(VLOOKUP($C82,'S3 - Screening Tool Metrics'!$C$3:$G$17,5,FALSE)/100))*X82)</f>
        <v>22.018718475898531</v>
      </c>
      <c r="AA82" s="706">
        <f>IF($C82="other",$C72*X82,(VLOOKUP($C82,'S3 - Screening Tool Metrics'!$C$3:$G$17,5,FALSE)/100)*X82)</f>
        <v>115.59827199846725</v>
      </c>
      <c r="AB82" s="708">
        <f t="shared" si="64"/>
        <v>16.100037882794883</v>
      </c>
      <c r="AC82" s="706">
        <f t="shared" si="65"/>
        <v>218485.13333333336</v>
      </c>
      <c r="AD82" s="706">
        <f>VLOOKUP("*"&amp;$B82&amp;"*",'S4 - Summ PRS Characteristics'!$C$13:$Q$20,14,FALSE)*$J82</f>
        <v>77.832614311727468</v>
      </c>
      <c r="AE82" s="706">
        <f t="shared" si="75"/>
        <v>640.16738568827259</v>
      </c>
      <c r="AF82" s="706">
        <f>IF($C82="other",(1-$C72)*AD82,(1-(VLOOKUP($C82,'S3 - Screening Tool Metrics'!$C$3:$G$17,5,FALSE)/100))*AD82)</f>
        <v>12.453218289876398</v>
      </c>
      <c r="AG82" s="706">
        <f>IF($C82="other",$C72*AD82,(VLOOKUP($C82,'S3 - Screening Tool Metrics'!$C$3:$G$17,5,FALSE)/100)*AD82)</f>
        <v>65.379396021851065</v>
      </c>
      <c r="AH82" s="708">
        <f t="shared" si="66"/>
        <v>9.105765462653352</v>
      </c>
      <c r="AI82" s="707">
        <f t="shared" si="67"/>
        <v>43697.026666666672</v>
      </c>
      <c r="AJ82" s="706">
        <f>VLOOKUP("*"&amp;$B82&amp;"*",'S4 - Summ PRS Characteristics'!$C$13:$Q$20,15,FALSE)*$J82</f>
        <v>19.85023663309218</v>
      </c>
      <c r="AK82" s="706">
        <f t="shared" si="74"/>
        <v>698.14976336690779</v>
      </c>
      <c r="AL82" s="706">
        <f>IF($C82="other",(1-$C72)*AJ82,(1-(VLOOKUP($C82,'S3 - Screening Tool Metrics'!$C$3:$G$17,5,FALSE)/100))*AJ82)</f>
        <v>3.1760378612947493</v>
      </c>
      <c r="AM82" s="706">
        <f>IF($C82="other",$C72*AJ82,(VLOOKUP($C82,'S3 - Screening Tool Metrics'!$C$3:$G$17,5,FALSE)/100)*AJ82)</f>
        <v>16.674198771797432</v>
      </c>
      <c r="AN82" s="709">
        <f t="shared" si="68"/>
        <v>2.3223118066570239</v>
      </c>
    </row>
    <row r="83" spans="2:40" x14ac:dyDescent="0.15">
      <c r="B83" s="700" t="s">
        <v>13</v>
      </c>
      <c r="C83" s="721" t="str">
        <f>$C73</f>
        <v>MMS (CA-125 + TVU)</v>
      </c>
      <c r="D83" s="552" t="s">
        <v>202</v>
      </c>
      <c r="E83" s="710">
        <f>VLOOKUP($B83&amp;"_"&amp;$D83,'App5 - CRUK Inci Rates'!C:H,6,FALSE)</f>
        <v>0</v>
      </c>
      <c r="F83" s="711">
        <f>VLOOKUP($B83&amp;"_"&amp;$D83,'App5 - CRUK Inci Rates'!C:H,3,FALSE)</f>
        <v>30.729260202352247</v>
      </c>
      <c r="G83" s="712">
        <f>VLOOKUP($B83&amp;"_"&amp;$D83,'App5 - CRUK Inci Rates'!C:J,8,FALSE)</f>
        <v>4484325.333333334</v>
      </c>
      <c r="H83" s="713">
        <f>VLOOKUP($B83&amp;"_"&amp;$D83,'App5 - CRUK Inci Rates'!C:J,7,FALSE)</f>
        <v>0</v>
      </c>
      <c r="I83" s="713">
        <f>VLOOKUP($B83&amp;"_"&amp;$D83,'App5 - CRUK Inci Rates'!C:J,4,FALSE)</f>
        <v>4484325.333333334</v>
      </c>
      <c r="J83" s="709">
        <f>VLOOKUP($B83&amp;"_"&amp;$D83,'App5 - CRUK Inci Rates'!C:K,9,FALSE)</f>
        <v>1378</v>
      </c>
      <c r="K83" s="706">
        <f t="shared" si="69"/>
        <v>2242162.666666667</v>
      </c>
      <c r="L83" s="706">
        <f>VLOOKUP("*"&amp;$B83&amp;"*",'S4 - Summ PRS Characteristics'!$C$13:$Q$20,11,FALSE)*$J83</f>
        <v>908.12563908033155</v>
      </c>
      <c r="M83" s="706">
        <f t="shared" si="70"/>
        <v>469.87436091966845</v>
      </c>
      <c r="N83" s="706">
        <f>IF($C83="other",(1-$C$7)*L83,(1-(VLOOKUP($C83,'S3 - Screening Tool Metrics'!$C$3:$G$17,5,FALSE)/100))*L83)</f>
        <v>145.30010225285307</v>
      </c>
      <c r="O83" s="706">
        <f>IF($C83="other",$C$7*L83,(VLOOKUP($C83,'S3 - Screening Tool Metrics'!$C$3:$G$17,5,FALSE)/100)*L83)</f>
        <v>762.82553682747846</v>
      </c>
      <c r="P83" s="706">
        <f t="shared" si="71"/>
        <v>55.357440988931671</v>
      </c>
      <c r="Q83" s="707">
        <f t="shared" si="61"/>
        <v>896865.06666666688</v>
      </c>
      <c r="R83" s="706">
        <f>VLOOKUP("*"&amp;$B83&amp;"*",'S4 - Summ PRS Characteristics'!$C$13:$Q$20,12,FALSE)*$J83</f>
        <v>458.77646613659948</v>
      </c>
      <c r="S83" s="706">
        <f t="shared" si="72"/>
        <v>919.22353386340046</v>
      </c>
      <c r="T83" s="706">
        <f>IF($C83="other",(1-$C72)*R83,(1-(VLOOKUP($C83,'S3 - Screening Tool Metrics'!$C$3:$G$17,5,FALSE)/100))*R83)</f>
        <v>73.404234581855931</v>
      </c>
      <c r="U83" s="706">
        <f>IF($C83="other",$C72*R83,(VLOOKUP($C83,'S3 - Screening Tool Metrics'!$C$3:$G$17,5,FALSE)/100)*R83)</f>
        <v>385.37223155474356</v>
      </c>
      <c r="V83" s="708">
        <f t="shared" si="62"/>
        <v>27.966054539531466</v>
      </c>
      <c r="W83" s="707">
        <f t="shared" si="63"/>
        <v>448432.53333333344</v>
      </c>
      <c r="X83" s="706">
        <f>VLOOKUP("*"&amp;$B83&amp;"*",'S4 - Summ PRS Characteristics'!$C$13:$Q$20,13,FALSE)*$J83</f>
        <v>264.11728812489702</v>
      </c>
      <c r="Y83" s="706">
        <f t="shared" si="73"/>
        <v>1113.882711875103</v>
      </c>
      <c r="Z83" s="706">
        <f>IF($C83="other",(1-$C72)*X83,(1-(VLOOKUP($C83,'S3 - Screening Tool Metrics'!$C$3:$G$17,5,FALSE)/100))*X83)</f>
        <v>42.258766099983532</v>
      </c>
      <c r="AA83" s="706">
        <f>IF($C83="other",$C72*X83,(VLOOKUP($C83,'S3 - Screening Tool Metrics'!$C$3:$G$17,5,FALSE)/100)*X83)</f>
        <v>221.8585220249135</v>
      </c>
      <c r="AB83" s="708">
        <f t="shared" si="64"/>
        <v>16.100037882794886</v>
      </c>
      <c r="AC83" s="706">
        <f t="shared" si="65"/>
        <v>224216.26666666672</v>
      </c>
      <c r="AD83" s="706">
        <f>VLOOKUP("*"&amp;$B83&amp;"*",'S4 - Summ PRS Characteristics'!$C$13:$Q$20,14,FALSE)*$J83</f>
        <v>149.37791437543237</v>
      </c>
      <c r="AE83" s="706">
        <f t="shared" si="75"/>
        <v>1228.6220856245677</v>
      </c>
      <c r="AF83" s="706">
        <f>IF($C83="other",(1-$C72)*AD83,(1-(VLOOKUP($C83,'S3 - Screening Tool Metrics'!$C$3:$G$17,5,FALSE)/100))*AD83)</f>
        <v>23.900466300069183</v>
      </c>
      <c r="AG83" s="706">
        <f>IF($C83="other",$C72*AD83,(VLOOKUP($C83,'S3 - Screening Tool Metrics'!$C$3:$G$17,5,FALSE)/100)*AD83)</f>
        <v>125.47744807536318</v>
      </c>
      <c r="AH83" s="708">
        <f t="shared" si="66"/>
        <v>9.105765462653352</v>
      </c>
      <c r="AI83" s="707">
        <f t="shared" si="67"/>
        <v>44843.253333333341</v>
      </c>
      <c r="AJ83" s="706">
        <f>VLOOKUP("*"&amp;$B83&amp;"*",'S4 - Summ PRS Characteristics'!$C$13:$Q$20,15,FALSE)*$J83</f>
        <v>38.096972256825936</v>
      </c>
      <c r="AK83" s="706">
        <f t="shared" si="74"/>
        <v>1339.9030277431741</v>
      </c>
      <c r="AL83" s="706">
        <f>IF($C83="other",(1-$C72)*AJ83,(1-(VLOOKUP($C83,'S3 - Screening Tool Metrics'!$C$3:$G$17,5,FALSE)/100))*AJ83)</f>
        <v>6.0955155610921512</v>
      </c>
      <c r="AM83" s="706">
        <f>IF($C83="other",$C72*AJ83,(VLOOKUP($C83,'S3 - Screening Tool Metrics'!$C$3:$G$17,5,FALSE)/100)*AJ83)</f>
        <v>32.001456695733786</v>
      </c>
      <c r="AN83" s="709">
        <f t="shared" si="68"/>
        <v>2.3223118066570239</v>
      </c>
    </row>
    <row r="84" spans="2:40" x14ac:dyDescent="0.15">
      <c r="B84" s="700" t="s">
        <v>13</v>
      </c>
      <c r="C84" s="721" t="str">
        <f>$C73</f>
        <v>MMS (CA-125 + TVU)</v>
      </c>
      <c r="D84" s="552" t="s">
        <v>203</v>
      </c>
      <c r="E84" s="710">
        <f>VLOOKUP($B84&amp;"_"&amp;$D84,'App5 - CRUK Inci Rates'!C:H,6,FALSE)</f>
        <v>0</v>
      </c>
      <c r="F84" s="711">
        <f>VLOOKUP($B84&amp;"_"&amp;$D84,'App5 - CRUK Inci Rates'!C:H,3,FALSE)</f>
        <v>37.973643059568168</v>
      </c>
      <c r="G84" s="712">
        <f>VLOOKUP($B84&amp;"_"&amp;$D84,'App5 - CRUK Inci Rates'!C:J,8,FALSE)</f>
        <v>8126689.333333334</v>
      </c>
      <c r="H84" s="713">
        <f>VLOOKUP($B84&amp;"_"&amp;$D84,'App5 - CRUK Inci Rates'!C:J,7,FALSE)</f>
        <v>0</v>
      </c>
      <c r="I84" s="713">
        <f>VLOOKUP($B84&amp;"_"&amp;$D84,'App5 - CRUK Inci Rates'!C:J,4,FALSE)</f>
        <v>8126689.333333334</v>
      </c>
      <c r="J84" s="709">
        <f>VLOOKUP($B84&amp;"_"&amp;$D84,'App5 - CRUK Inci Rates'!C:K,9,FALSE)</f>
        <v>3086</v>
      </c>
      <c r="K84" s="706">
        <f t="shared" si="69"/>
        <v>4063344.666666667</v>
      </c>
      <c r="L84" s="706">
        <f>VLOOKUP("*"&amp;$B84&amp;"*",'S4 - Summ PRS Characteristics'!$C$13:$Q$20,11,FALSE)*$J84</f>
        <v>2033.7269391886089</v>
      </c>
      <c r="M84" s="706">
        <f t="shared" si="70"/>
        <v>1052.2730608113911</v>
      </c>
      <c r="N84" s="706">
        <f>IF($C84="other",(1-$C$7)*L84,(1-(VLOOKUP($C84,'S3 - Screening Tool Metrics'!$C$3:$G$17,5,FALSE)/100))*L84)</f>
        <v>325.39631027017748</v>
      </c>
      <c r="O84" s="706">
        <f>IF($C84="other",$C$7*L84,(VLOOKUP($C84,'S3 - Screening Tool Metrics'!$C$3:$G$17,5,FALSE)/100)*L84)</f>
        <v>1708.3306289184313</v>
      </c>
      <c r="P84" s="706">
        <f t="shared" si="71"/>
        <v>55.357440988931671</v>
      </c>
      <c r="Q84" s="707">
        <f t="shared" si="61"/>
        <v>1625337.8666666669</v>
      </c>
      <c r="R84" s="706">
        <f>VLOOKUP("*"&amp;$B84&amp;"*",'S4 - Summ PRS Characteristics'!$C$13:$Q$20,12,FALSE)*$J84</f>
        <v>1027.4195751070727</v>
      </c>
      <c r="S84" s="706">
        <f t="shared" si="72"/>
        <v>2058.5804248929271</v>
      </c>
      <c r="T84" s="706">
        <f>IF($C84="other",(1-$C72)*R84,(1-(VLOOKUP($C84,'S3 - Screening Tool Metrics'!$C$3:$G$17,5,FALSE)/100))*R84)</f>
        <v>164.38713201713165</v>
      </c>
      <c r="U84" s="706">
        <f>IF($C84="other",$C72*R84,(VLOOKUP($C84,'S3 - Screening Tool Metrics'!$C$3:$G$17,5,FALSE)/100)*R84)</f>
        <v>863.03244308994101</v>
      </c>
      <c r="V84" s="708">
        <f t="shared" si="62"/>
        <v>27.966054539531466</v>
      </c>
      <c r="W84" s="707">
        <f t="shared" si="63"/>
        <v>812668.93333333347</v>
      </c>
      <c r="X84" s="706">
        <f>VLOOKUP("*"&amp;$B84&amp;"*",'S4 - Summ PRS Characteristics'!$C$13:$Q$20,13,FALSE)*$J84</f>
        <v>591.4847250750596</v>
      </c>
      <c r="Y84" s="706">
        <f t="shared" si="73"/>
        <v>2494.5152749249405</v>
      </c>
      <c r="Z84" s="706">
        <f>IF($C84="other",(1-$C72)*X84,(1-(VLOOKUP($C84,'S3 - Screening Tool Metrics'!$C$3:$G$17,5,FALSE)/100))*X84)</f>
        <v>94.637556012009554</v>
      </c>
      <c r="AA84" s="706">
        <f>IF($C84="other",$C72*X84,(VLOOKUP($C84,'S3 - Screening Tool Metrics'!$C$3:$G$17,5,FALSE)/100)*X84)</f>
        <v>496.84716906305005</v>
      </c>
      <c r="AB84" s="708">
        <f t="shared" si="64"/>
        <v>16.100037882794883</v>
      </c>
      <c r="AC84" s="706">
        <f t="shared" si="65"/>
        <v>406334.46666666673</v>
      </c>
      <c r="AD84" s="706">
        <f>VLOOKUP("*"&amp;$B84&amp;"*",'S4 - Summ PRS Characteristics'!$C$13:$Q$20,14,FALSE)*$J84</f>
        <v>334.52847878271717</v>
      </c>
      <c r="AE84" s="706">
        <f t="shared" si="75"/>
        <v>2751.4715212172828</v>
      </c>
      <c r="AF84" s="706">
        <f>IF($C84="other",(1-$C72)*AD84,(1-(VLOOKUP($C84,'S3 - Screening Tool Metrics'!$C$3:$G$17,5,FALSE)/100))*AD84)</f>
        <v>53.524556605234757</v>
      </c>
      <c r="AG84" s="706">
        <f>IF($C84="other",$C72*AD84,(VLOOKUP($C84,'S3 - Screening Tool Metrics'!$C$3:$G$17,5,FALSE)/100)*AD84)</f>
        <v>281.00392217748242</v>
      </c>
      <c r="AH84" s="708">
        <f t="shared" si="66"/>
        <v>9.1057654626533502</v>
      </c>
      <c r="AI84" s="707">
        <f t="shared" si="67"/>
        <v>81266.893333333341</v>
      </c>
      <c r="AJ84" s="706">
        <f>VLOOKUP("*"&amp;$B84&amp;"*",'S4 - Summ PRS Characteristics'!$C$13:$Q$20,15,FALSE)*$J84</f>
        <v>85.317312325518756</v>
      </c>
      <c r="AK84" s="706">
        <f t="shared" si="74"/>
        <v>3000.6826876744813</v>
      </c>
      <c r="AL84" s="706">
        <f>IF($C84="other",(1-$C72)*AJ84,(1-(VLOOKUP($C84,'S3 - Screening Tool Metrics'!$C$3:$G$17,5,FALSE)/100))*AJ84)</f>
        <v>13.650769972083003</v>
      </c>
      <c r="AM84" s="706">
        <f>IF($C84="other",$C72*AJ84,(VLOOKUP($C84,'S3 - Screening Tool Metrics'!$C$3:$G$17,5,FALSE)/100)*AJ84)</f>
        <v>71.666542353435759</v>
      </c>
      <c r="AN84" s="709">
        <f t="shared" si="68"/>
        <v>2.3223118066570239</v>
      </c>
    </row>
    <row r="85" spans="2:40" x14ac:dyDescent="0.15">
      <c r="B85" s="700" t="s">
        <v>13</v>
      </c>
      <c r="C85" s="721" t="str">
        <f>$C74</f>
        <v>MMS (CA-125 + TVU)</v>
      </c>
      <c r="D85" s="552" t="s">
        <v>292</v>
      </c>
      <c r="E85" s="710">
        <f>VLOOKUP($B85&amp;"_"&amp;$D85,'App5 - CRUK Inci Rates'!C:H,6,FALSE)</f>
        <v>0</v>
      </c>
      <c r="F85" s="711">
        <f>VLOOKUP($B85&amp;"_"&amp;$D85,'App5 - CRUK Inci Rates'!C:H,3,FALSE)</f>
        <v>51.143985282427074</v>
      </c>
      <c r="G85" s="712">
        <f>VLOOKUP($B85&amp;"_"&amp;$D85,'App5 - CRUK Inci Rates'!C:J,8,FALSE)</f>
        <v>5245973.666666667</v>
      </c>
      <c r="H85" s="713">
        <f>VLOOKUP($B85&amp;"_"&amp;$D85,'App5 - CRUK Inci Rates'!C:J,7,FALSE)</f>
        <v>0</v>
      </c>
      <c r="I85" s="713">
        <f>VLOOKUP($B85&amp;"_"&amp;$D85,'App5 - CRUK Inci Rates'!C:J,4,FALSE)</f>
        <v>5245973.666666667</v>
      </c>
      <c r="J85" s="709">
        <f>VLOOKUP($B85&amp;"_"&amp;$D85,'App5 - CRUK Inci Rates'!C:K,9,FALSE)</f>
        <v>2683</v>
      </c>
      <c r="K85" s="706">
        <f t="shared" si="69"/>
        <v>2622986.8333333335</v>
      </c>
      <c r="L85" s="706">
        <f>VLOOKUP("*"&amp;$B85&amp;"*",'S4 - Summ PRS Characteristics'!$C$13:$Q$20,11,FALSE)*$J85</f>
        <v>1768.143025872663</v>
      </c>
      <c r="M85" s="706">
        <f t="shared" si="70"/>
        <v>914.85697412733703</v>
      </c>
      <c r="N85" s="706">
        <f>IF($C85="other",(1-$C$7)*L85,(1-(VLOOKUP($C85,'S3 - Screening Tool Metrics'!$C$3:$G$17,5,FALSE)/100))*L85)</f>
        <v>282.90288413962611</v>
      </c>
      <c r="O85" s="706">
        <f>IF($C85="other",$C$7*L85,(VLOOKUP($C85,'S3 - Screening Tool Metrics'!$C$3:$G$17,5,FALSE)/100)*L85)</f>
        <v>1485.2401417330368</v>
      </c>
      <c r="P85" s="706">
        <f t="shared" si="71"/>
        <v>55.357440988931671</v>
      </c>
      <c r="Q85" s="707">
        <f t="shared" si="61"/>
        <v>1049194.7333333334</v>
      </c>
      <c r="R85" s="706">
        <f>VLOOKUP("*"&amp;$B85&amp;"*",'S4 - Summ PRS Characteristics'!$C$13:$Q$20,12,FALSE)*$J85</f>
        <v>893.24909916146328</v>
      </c>
      <c r="S85" s="706">
        <f>$J85-R85</f>
        <v>1789.7509008385368</v>
      </c>
      <c r="T85" s="706">
        <f>IF($C85="other",(1-$C72)*R85,(1-(VLOOKUP($C85,'S3 - Screening Tool Metrics'!$C$3:$G$17,5,FALSE)/100))*R85)</f>
        <v>142.91985586583417</v>
      </c>
      <c r="U85" s="706">
        <f>IF($C85="other",$C72*R85,(VLOOKUP($C85,'S3 - Screening Tool Metrics'!$C$3:$G$17,5,FALSE)/100)*R85)</f>
        <v>750.32924329562911</v>
      </c>
      <c r="V85" s="708">
        <f t="shared" si="62"/>
        <v>27.966054539531459</v>
      </c>
      <c r="W85" s="707">
        <f t="shared" si="63"/>
        <v>524597.3666666667</v>
      </c>
      <c r="X85" s="706">
        <f>VLOOKUP("*"&amp;$B85&amp;"*",'S4 - Summ PRS Characteristics'!$C$13:$Q$20,13,FALSE)*$J85</f>
        <v>514.24287666117459</v>
      </c>
      <c r="Y85" s="706">
        <f t="shared" si="73"/>
        <v>2168.7571233388253</v>
      </c>
      <c r="Z85" s="706">
        <f>IF($C85="other",(1-$C72)*X85,(1-(VLOOKUP($C85,'S3 - Screening Tool Metrics'!$C$3:$G$17,5,FALSE)/100))*X85)</f>
        <v>82.278860265787955</v>
      </c>
      <c r="AA85" s="706">
        <f>IF($C85="other",$C72*X85,(VLOOKUP($C85,'S3 - Screening Tool Metrics'!$C$3:$G$17,5,FALSE)/100)*X85)</f>
        <v>431.96401639538664</v>
      </c>
      <c r="AB85" s="708">
        <f t="shared" si="64"/>
        <v>16.100037882794879</v>
      </c>
      <c r="AC85" s="706">
        <f t="shared" si="65"/>
        <v>262298.68333333335</v>
      </c>
      <c r="AD85" s="706">
        <f>VLOOKUP("*"&amp;$B85&amp;"*",'S4 - Summ PRS Characteristics'!$C$13:$Q$20,14,FALSE)*$J85</f>
        <v>290.84248495593982</v>
      </c>
      <c r="AE85" s="706">
        <f t="shared" si="75"/>
        <v>2392.1575150440603</v>
      </c>
      <c r="AF85" s="706">
        <f>IF($C85="other",(1-$C72)*AD85,(1-(VLOOKUP($C85,'S3 - Screening Tool Metrics'!$C$3:$G$17,5,FALSE)/100))*AD85)</f>
        <v>46.534797592950383</v>
      </c>
      <c r="AG85" s="706">
        <f>IF($C85="other",$C72*AD85,(VLOOKUP($C85,'S3 - Screening Tool Metrics'!$C$3:$G$17,5,FALSE)/100)*AD85)</f>
        <v>244.30768736298944</v>
      </c>
      <c r="AH85" s="708">
        <f t="shared" si="66"/>
        <v>9.105765462653352</v>
      </c>
      <c r="AI85" s="707">
        <f t="shared" si="67"/>
        <v>52459.736666666671</v>
      </c>
      <c r="AJ85" s="706">
        <f>VLOOKUP("*"&amp;$B85&amp;"*",'S4 - Summ PRS Characteristics'!$C$13:$Q$20,15,FALSE)*$J85</f>
        <v>74.175744967390415</v>
      </c>
      <c r="AK85" s="706">
        <f t="shared" si="74"/>
        <v>2608.8242550326095</v>
      </c>
      <c r="AL85" s="706">
        <f>IF($C85="other",(1-$C72)*AJ85,(1-(VLOOKUP($C85,'S3 - Screening Tool Metrics'!$C$3:$G$17,5,FALSE)/100))*AJ85)</f>
        <v>11.868119194782469</v>
      </c>
      <c r="AM85" s="706">
        <f>IF($C85="other",$C72*AJ85,(VLOOKUP($C85,'S3 - Screening Tool Metrics'!$C$3:$G$17,5,FALSE)/100)*AJ85)</f>
        <v>62.307625772607949</v>
      </c>
      <c r="AN85" s="709">
        <f t="shared" si="68"/>
        <v>2.3223118066570239</v>
      </c>
    </row>
    <row r="86" spans="2:40" x14ac:dyDescent="0.15">
      <c r="B86" s="700" t="s">
        <v>13</v>
      </c>
      <c r="C86" s="721" t="str">
        <f>$C73</f>
        <v>MMS (CA-125 + TVU)</v>
      </c>
      <c r="D86" s="552" t="s">
        <v>204</v>
      </c>
      <c r="E86" s="710">
        <f>VLOOKUP($B86&amp;"_"&amp;$D86,'App5 - CRUK Inci Rates'!C:H,6,FALSE)</f>
        <v>0</v>
      </c>
      <c r="F86" s="711">
        <f>VLOOKUP($B86&amp;"_"&amp;$D86,'App5 - CRUK Inci Rates'!C:H,3,FALSE)</f>
        <v>36.978998402462771</v>
      </c>
      <c r="G86" s="712">
        <f>VLOOKUP($B86&amp;"_"&amp;$D86,'App5 - CRUK Inci Rates'!C:J,8,FALSE)</f>
        <v>15281647</v>
      </c>
      <c r="H86" s="713">
        <f>VLOOKUP($B86&amp;"_"&amp;$D86,'App5 - CRUK Inci Rates'!C:J,7,FALSE)</f>
        <v>0</v>
      </c>
      <c r="I86" s="713">
        <f>VLOOKUP($B86&amp;"_"&amp;$D86,'App5 - CRUK Inci Rates'!C:J,4,FALSE)</f>
        <v>15281647</v>
      </c>
      <c r="J86" s="709">
        <f>VLOOKUP($B86&amp;"_"&amp;$D86,'App5 - CRUK Inci Rates'!C:K,9,FALSE)</f>
        <v>5651</v>
      </c>
      <c r="K86" s="706">
        <f t="shared" si="69"/>
        <v>7640823.5</v>
      </c>
      <c r="L86" s="706">
        <f>VLOOKUP("*"&amp;$B86&amp;"*",'S4 - Summ PRS Characteristics'!$C$13:$Q$20,11,FALSE)*$J86</f>
        <v>3724.1059408149154</v>
      </c>
      <c r="M86" s="706">
        <f t="shared" si="70"/>
        <v>1926.8940591850846</v>
      </c>
      <c r="N86" s="706">
        <f>IF($C86="other",(1-$C$7)*L86,(1-(VLOOKUP($C86,'S3 - Screening Tool Metrics'!$C$3:$G$17,5,FALSE)/100))*L86)</f>
        <v>595.8569505303866</v>
      </c>
      <c r="O86" s="706">
        <f>IF($C86="other",$C$7*L86,(VLOOKUP($C86,'S3 - Screening Tool Metrics'!$C$3:$G$17,5,FALSE)/100)*L86)</f>
        <v>3128.2489902845286</v>
      </c>
      <c r="P86" s="706">
        <f t="shared" si="71"/>
        <v>55.357440988931671</v>
      </c>
      <c r="Q86" s="707">
        <f t="shared" si="61"/>
        <v>3056329.4000000004</v>
      </c>
      <c r="R86" s="706">
        <f>VLOOKUP("*"&amp;$B86&amp;"*",'S4 - Summ PRS Characteristics'!$C$13:$Q$20,12,FALSE)*$J86</f>
        <v>1881.3830262249082</v>
      </c>
      <c r="S86" s="706">
        <f t="shared" si="72"/>
        <v>3769.6169737750915</v>
      </c>
      <c r="T86" s="706">
        <f>IF($C86="other",(1-$C72)*R86,(1-(VLOOKUP($C86,'S3 - Screening Tool Metrics'!$C$3:$G$17,5,FALSE)/100))*R86)</f>
        <v>301.0212841959854</v>
      </c>
      <c r="U86" s="706">
        <f>IF($C86="other",$C72*R86,(VLOOKUP($C86,'S3 - Screening Tool Metrics'!$C$3:$G$17,5,FALSE)/100)*R86)</f>
        <v>1580.3617420289229</v>
      </c>
      <c r="V86" s="708">
        <f t="shared" si="62"/>
        <v>27.966054539531459</v>
      </c>
      <c r="W86" s="707">
        <f t="shared" si="63"/>
        <v>1528164.7000000002</v>
      </c>
      <c r="X86" s="706">
        <f>VLOOKUP("*"&amp;$B86&amp;"*",'S4 - Summ PRS Characteristics'!$C$13:$Q$20,13,FALSE)*$J86</f>
        <v>1083.1108818532605</v>
      </c>
      <c r="Y86" s="706">
        <f t="shared" si="73"/>
        <v>4567.8891181467397</v>
      </c>
      <c r="Z86" s="706">
        <f>IF($C86="other",(1-$C72)*X86,(1-(VLOOKUP($C86,'S3 - Screening Tool Metrics'!$C$3:$G$17,5,FALSE)/100))*X86)</f>
        <v>173.29774109652172</v>
      </c>
      <c r="AA86" s="706">
        <f>IF($C86="other",$C72*X86,(VLOOKUP($C86,'S3 - Screening Tool Metrics'!$C$3:$G$17,5,FALSE)/100)*X86)</f>
        <v>909.81314075673879</v>
      </c>
      <c r="AB86" s="708">
        <f t="shared" si="64"/>
        <v>16.100037882794883</v>
      </c>
      <c r="AC86" s="706">
        <f t="shared" si="65"/>
        <v>764082.35000000009</v>
      </c>
      <c r="AD86" s="706">
        <f>VLOOKUP("*"&amp;$B86&amp;"*",'S4 - Summ PRS Characteristics'!$C$13:$Q$20,14,FALSE)*$J86</f>
        <v>612.57953130302496</v>
      </c>
      <c r="AE86" s="706">
        <f t="shared" si="75"/>
        <v>5038.4204686969751</v>
      </c>
      <c r="AF86" s="706">
        <f>IF($C86="other",(1-$C72)*AD86,(1-(VLOOKUP($C86,'S3 - Screening Tool Metrics'!$C$3:$G$17,5,FALSE)/100))*AD86)</f>
        <v>98.012725008484011</v>
      </c>
      <c r="AG86" s="706">
        <f>IF($C86="other",$C72*AD86,(VLOOKUP($C86,'S3 - Screening Tool Metrics'!$C$3:$G$17,5,FALSE)/100)*AD86)</f>
        <v>514.56680629454092</v>
      </c>
      <c r="AH86" s="708">
        <f t="shared" si="66"/>
        <v>9.105765462653352</v>
      </c>
      <c r="AI86" s="707">
        <f t="shared" si="67"/>
        <v>152816.47</v>
      </c>
      <c r="AJ86" s="706">
        <f>VLOOKUP("*"&amp;$B86&amp;"*",'S4 - Summ PRS Characteristics'!$C$13:$Q$20,15,FALSE)*$J86</f>
        <v>156.23076213593859</v>
      </c>
      <c r="AK86" s="706">
        <f t="shared" si="74"/>
        <v>5494.7692378640613</v>
      </c>
      <c r="AL86" s="706">
        <f>IF($C86="other",(1-$C72)*AJ86,(1-(VLOOKUP($C86,'S3 - Screening Tool Metrics'!$C$3:$G$17,5,FALSE)/100))*AJ86)</f>
        <v>24.99692194175018</v>
      </c>
      <c r="AM86" s="706">
        <f>IF($C86="other",$C72*AJ86,(VLOOKUP($C86,'S3 - Screening Tool Metrics'!$C$3:$G$17,5,FALSE)/100)*AJ86)</f>
        <v>131.23384019418842</v>
      </c>
      <c r="AN86" s="709">
        <f t="shared" si="68"/>
        <v>2.3223118066570239</v>
      </c>
    </row>
    <row r="87" spans="2:40" ht="14" thickBot="1" x14ac:dyDescent="0.2">
      <c r="B87" s="700" t="s">
        <v>13</v>
      </c>
      <c r="C87" s="721" t="str">
        <f>$C74</f>
        <v>MMS (CA-125 + TVU)</v>
      </c>
      <c r="D87" s="552" t="s">
        <v>205</v>
      </c>
      <c r="E87" s="710">
        <f>VLOOKUP($B87&amp;"_"&amp;$D87,'App5 - CRUK Inci Rates'!C:H,6,FALSE)</f>
        <v>0</v>
      </c>
      <c r="F87" s="711">
        <f>VLOOKUP($B87&amp;"_"&amp;$D87,'App5 - CRUK Inci Rates'!C:H,3,FALSE)</f>
        <v>22.8</v>
      </c>
      <c r="G87" s="712">
        <f>VLOOKUP($B87&amp;"_"&amp;$D87,'App5 - CRUK Inci Rates'!C:J,8,FALSE)</f>
        <v>33458051.999999996</v>
      </c>
      <c r="H87" s="713">
        <f>VLOOKUP($B87&amp;"_"&amp;$D87,'App5 - CRUK Inci Rates'!C:J,7,FALSE)</f>
        <v>0</v>
      </c>
      <c r="I87" s="713">
        <f>VLOOKUP($B87&amp;"_"&amp;$D87,'App5 - CRUK Inci Rates'!C:J,4,FALSE)</f>
        <v>33458051.999999996</v>
      </c>
      <c r="J87" s="709">
        <f>VLOOKUP($B87&amp;"_"&amp;$D87,'App5 - CRUK Inci Rates'!C:K,9,FALSE)</f>
        <v>7495</v>
      </c>
      <c r="K87" s="716"/>
      <c r="L87" s="716"/>
      <c r="M87" s="716"/>
      <c r="N87" s="716"/>
      <c r="O87" s="716"/>
      <c r="P87" s="716"/>
      <c r="Q87" s="715"/>
      <c r="R87" s="716"/>
      <c r="S87" s="716"/>
      <c r="T87" s="716"/>
      <c r="U87" s="716"/>
      <c r="V87" s="717"/>
      <c r="W87" s="715"/>
      <c r="X87" s="716"/>
      <c r="Y87" s="716"/>
      <c r="Z87" s="716"/>
      <c r="AA87" s="716"/>
      <c r="AB87" s="717"/>
      <c r="AC87" s="716"/>
      <c r="AD87" s="716"/>
      <c r="AE87" s="716"/>
      <c r="AF87" s="716"/>
      <c r="AG87" s="716"/>
      <c r="AH87" s="717"/>
      <c r="AI87" s="715"/>
      <c r="AJ87" s="716"/>
      <c r="AK87" s="716"/>
      <c r="AL87" s="716"/>
      <c r="AM87" s="716"/>
      <c r="AN87" s="718"/>
    </row>
    <row r="88" spans="2:40" ht="21" customHeight="1" thickBot="1" x14ac:dyDescent="0.2">
      <c r="B88" s="686" t="s">
        <v>14</v>
      </c>
      <c r="C88" s="687"/>
      <c r="D88" s="688"/>
      <c r="E88" s="689"/>
      <c r="F88" s="690"/>
      <c r="G88" s="691"/>
      <c r="H88" s="692"/>
      <c r="I88" s="692"/>
      <c r="J88" s="693"/>
      <c r="K88" s="694"/>
      <c r="L88" s="694"/>
      <c r="M88" s="694"/>
      <c r="N88" s="694"/>
      <c r="O88" s="694"/>
      <c r="P88" s="694"/>
      <c r="Q88" s="695"/>
      <c r="R88" s="696"/>
      <c r="S88" s="696"/>
      <c r="T88" s="696"/>
      <c r="U88" s="696"/>
      <c r="V88" s="697"/>
      <c r="W88" s="695"/>
      <c r="X88" s="696"/>
      <c r="Y88" s="696"/>
      <c r="Z88" s="696"/>
      <c r="AA88" s="696"/>
      <c r="AB88" s="697"/>
      <c r="AC88" s="696"/>
      <c r="AD88" s="696"/>
      <c r="AE88" s="696"/>
      <c r="AF88" s="696"/>
      <c r="AG88" s="696"/>
      <c r="AH88" s="697"/>
      <c r="AI88" s="695"/>
      <c r="AJ88" s="696"/>
      <c r="AK88" s="696"/>
      <c r="AL88" s="696"/>
      <c r="AM88" s="696"/>
      <c r="AN88" s="699"/>
    </row>
    <row r="89" spans="2:40" x14ac:dyDescent="0.15">
      <c r="B89" s="700" t="s">
        <v>14</v>
      </c>
      <c r="C89" s="720" t="s">
        <v>166</v>
      </c>
      <c r="D89" s="593" t="s">
        <v>192</v>
      </c>
      <c r="E89" s="701">
        <f>VLOOKUP($B89&amp;"_"&amp;$D89,'App5 - CRUK Inci Rates'!C:H,6,FALSE)</f>
        <v>10.1</v>
      </c>
      <c r="F89" s="702">
        <f>VLOOKUP($B89&amp;"_"&amp;$D89,'App5 - CRUK Inci Rates'!C:H,3,FALSE)</f>
        <v>5</v>
      </c>
      <c r="G89" s="703">
        <f>VLOOKUP($B89&amp;"_"&amp;$D89,'App5 - CRUK Inci Rates'!C:J,8,FALSE)</f>
        <v>4075608</v>
      </c>
      <c r="H89" s="704">
        <f>VLOOKUP($B89&amp;"_"&amp;$D89,'App5 - CRUK Inci Rates'!C:J,7,FALSE)</f>
        <v>2021384.6666666667</v>
      </c>
      <c r="I89" s="704">
        <f>VLOOKUP($B89&amp;"_"&amp;$D89,'App5 - CRUK Inci Rates'!C:J,4,FALSE)</f>
        <v>2054223.3333333333</v>
      </c>
      <c r="J89" s="705">
        <f>VLOOKUP($B89&amp;"_"&amp;$D89,'App5 - CRUK Inci Rates'!C:K,9,FALSE)</f>
        <v>307</v>
      </c>
      <c r="K89" s="706">
        <f t="shared" si="69"/>
        <v>2037804</v>
      </c>
      <c r="L89" s="706">
        <f>VLOOKUP("*"&amp;$B89&amp;"*",'S4 - Summ PRS Characteristics'!$C$13:$Q$20,11,FALSE)*$J89</f>
        <v>215.0582802054999</v>
      </c>
      <c r="M89" s="706">
        <f t="shared" si="70"/>
        <v>91.941719794500102</v>
      </c>
      <c r="N89" s="706">
        <f>IF($C89="other",(1-$C$7)*L89,(1-(VLOOKUP($C89,'S3 - Screening Tool Metrics'!$C$3:$G$17,5,FALSE)/100))*L89)</f>
        <v>58.280793935690454</v>
      </c>
      <c r="O89" s="706">
        <f>IF($C89="other",$C$7*L89,(VLOOKUP($C89,'S3 - Screening Tool Metrics'!$C$3:$G$17,5,FALSE)/100)*L89)</f>
        <v>156.77748626980946</v>
      </c>
      <c r="P89" s="706">
        <f t="shared" si="71"/>
        <v>51.067585104172466</v>
      </c>
      <c r="Q89" s="707">
        <f t="shared" ref="Q89:Q102" si="76">$G89*Q$3</f>
        <v>815121.60000000009</v>
      </c>
      <c r="R89" s="706">
        <f>VLOOKUP("*"&amp;$B89&amp;"*",'S4 - Summ PRS Characteristics'!$C$13:$Q$20,12,FALSE)*$J89</f>
        <v>115.46299255600569</v>
      </c>
      <c r="S89" s="706">
        <f>$J89-R89</f>
        <v>191.5370074439943</v>
      </c>
      <c r="T89" s="706">
        <f>IF($C89="other",(1-$C88)*R89,(1-(VLOOKUP($C89,'S3 - Screening Tool Metrics'!$C$3:$G$17,5,FALSE)/100))*R89)</f>
        <v>31.29047098267753</v>
      </c>
      <c r="U89" s="706">
        <f>IF($C89="other",$C88*R89,(VLOOKUP($C89,'S3 - Screening Tool Metrics'!$C$3:$G$17,5,FALSE)/100)*R89)</f>
        <v>84.172521573328154</v>
      </c>
      <c r="V89" s="708">
        <f t="shared" ref="V89:V102" si="77">U89/J89*100</f>
        <v>27.417759470139462</v>
      </c>
      <c r="W89" s="707">
        <f t="shared" ref="W89:W102" si="78">$G89*W$3</f>
        <v>407560.80000000005</v>
      </c>
      <c r="X89" s="706">
        <f>VLOOKUP("*"&amp;$B89&amp;"*",'S4 - Summ PRS Characteristics'!$C$13:$Q$20,13,FALSE)*$J89</f>
        <v>69.051743224744769</v>
      </c>
      <c r="Y89" s="706">
        <f>$J89-X89</f>
        <v>237.94825677525523</v>
      </c>
      <c r="Z89" s="706">
        <f>IF($C89="other",(1-$C88)*X89,(1-(VLOOKUP($C89,'S3 - Screening Tool Metrics'!$C$3:$G$17,5,FALSE)/100))*X89)</f>
        <v>18.713022413905826</v>
      </c>
      <c r="AA89" s="706">
        <f>IF($C89="other",$C88*X89,(VLOOKUP($C89,'S3 - Screening Tool Metrics'!$C$3:$G$17,5,FALSE)/100)*X89)</f>
        <v>50.338720810838943</v>
      </c>
      <c r="AB89" s="708">
        <f t="shared" ref="AB89:AB102" si="79">$AA89/$J89*100</f>
        <v>16.396977462813989</v>
      </c>
      <c r="AC89" s="706">
        <f t="shared" ref="AC89:AC102" si="80">$G89*AC$3</f>
        <v>203780.40000000002</v>
      </c>
      <c r="AD89" s="706">
        <f>VLOOKUP("*"&amp;$B89&amp;"*",'S4 - Summ PRS Characteristics'!$C$13:$Q$20,14,FALSE)*$J89</f>
        <v>40.393995449018064</v>
      </c>
      <c r="AE89" s="706">
        <f>$J89-AD89</f>
        <v>266.60600455098194</v>
      </c>
      <c r="AF89" s="706">
        <f>IF($C89="other",(1-$C88)*AD89,(1-(VLOOKUP($C89,'S3 - Screening Tool Metrics'!$C$3:$G$17,5,FALSE)/100))*AD89)</f>
        <v>10.946772766683891</v>
      </c>
      <c r="AG89" s="706">
        <f>IF($C89="other",$C88*AD89,(VLOOKUP($C89,'S3 - Screening Tool Metrics'!$C$3:$G$17,5,FALSE)/100)*AD89)</f>
        <v>29.447222682334171</v>
      </c>
      <c r="AH89" s="708">
        <f t="shared" ref="AH89:AH102" si="81">$AG89/$J89*100</f>
        <v>9.5919292124867006</v>
      </c>
      <c r="AI89" s="707">
        <f t="shared" ref="AI89:AI102" si="82">$G89*AI$3</f>
        <v>40756.080000000002</v>
      </c>
      <c r="AJ89" s="706">
        <f>VLOOKUP("*"&amp;$B89&amp;"*",'S4 - Summ PRS Characteristics'!$C$13:$Q$20,15,FALSE)*$J89</f>
        <v>11.019367601762657</v>
      </c>
      <c r="AK89" s="706">
        <f>$J89-AJ89</f>
        <v>295.98063239823733</v>
      </c>
      <c r="AL89" s="706">
        <f>IF($C89="other",(1-$C88)*AJ89,(1-(VLOOKUP($C89,'S3 - Screening Tool Metrics'!$C$3:$G$17,5,FALSE)/100))*AJ89)</f>
        <v>2.9862486200776788</v>
      </c>
      <c r="AM89" s="706">
        <f>IF($C89="other",$C88*AJ89,(VLOOKUP($C89,'S3 - Screening Tool Metrics'!$C$3:$G$17,5,FALSE)/100)*AJ89)</f>
        <v>8.0331189816849768</v>
      </c>
      <c r="AN89" s="709">
        <f t="shared" ref="AN89:AN102" si="83">$AM89/$J89*100</f>
        <v>2.616651134099341</v>
      </c>
    </row>
    <row r="90" spans="2:40" x14ac:dyDescent="0.15">
      <c r="B90" s="700" t="s">
        <v>14</v>
      </c>
      <c r="C90" s="721" t="str">
        <f>$C89</f>
        <v>USS</v>
      </c>
      <c r="D90" s="552" t="s">
        <v>193</v>
      </c>
      <c r="E90" s="710">
        <f>VLOOKUP($B90&amp;"_"&amp;$D90,'App5 - CRUK Inci Rates'!C:H,6,FALSE)</f>
        <v>17.7</v>
      </c>
      <c r="F90" s="711">
        <f>VLOOKUP($B90&amp;"_"&amp;$D90,'App5 - CRUK Inci Rates'!C:H,3,FALSE)</f>
        <v>7.8</v>
      </c>
      <c r="G90" s="712">
        <f>VLOOKUP($B90&amp;"_"&amp;$D90,'App5 - CRUK Inci Rates'!C:J,8,FALSE)</f>
        <v>4567159.333333334</v>
      </c>
      <c r="H90" s="713">
        <f>VLOOKUP($B90&amp;"_"&amp;$D90,'App5 - CRUK Inci Rates'!C:J,7,FALSE)</f>
        <v>2251680</v>
      </c>
      <c r="I90" s="713">
        <f>VLOOKUP($B90&amp;"_"&amp;$D90,'App5 - CRUK Inci Rates'!C:J,4,FALSE)</f>
        <v>2315479.3333333335</v>
      </c>
      <c r="J90" s="709">
        <f>VLOOKUP($B90&amp;"_"&amp;$D90,'App5 - CRUK Inci Rates'!C:K,9,FALSE)</f>
        <v>580</v>
      </c>
      <c r="K90" s="706">
        <f t="shared" si="69"/>
        <v>2283579.666666667</v>
      </c>
      <c r="L90" s="706">
        <f>VLOOKUP("*"&amp;$B90&amp;"*",'S4 - Summ PRS Characteristics'!$C$13:$Q$20,11,FALSE)*$J90</f>
        <v>406.29903100713335</v>
      </c>
      <c r="M90" s="706">
        <f t="shared" si="70"/>
        <v>173.70096899286665</v>
      </c>
      <c r="N90" s="706">
        <f>IF($C90="other",(1-$C$7)*L90,(1-(VLOOKUP($C90,'S3 - Screening Tool Metrics'!$C$3:$G$17,5,FALSE)/100))*L90)</f>
        <v>110.1070374029331</v>
      </c>
      <c r="O90" s="706">
        <f>IF($C90="other",$C$7*L90,(VLOOKUP($C90,'S3 - Screening Tool Metrics'!$C$3:$G$17,5,FALSE)/100)*L90)</f>
        <v>296.19199360420026</v>
      </c>
      <c r="P90" s="706">
        <f t="shared" si="71"/>
        <v>51.067585104172466</v>
      </c>
      <c r="Q90" s="707">
        <f t="shared" si="76"/>
        <v>913431.86666666681</v>
      </c>
      <c r="R90" s="706">
        <f>VLOOKUP("*"&amp;$B90&amp;"*",'S4 - Summ PRS Characteristics'!$C$13:$Q$20,12,FALSE)*$J90</f>
        <v>218.13855271167199</v>
      </c>
      <c r="S90" s="706">
        <f t="shared" ref="S90:S102" si="84">$J90-R90</f>
        <v>361.86144728832801</v>
      </c>
      <c r="T90" s="706">
        <f>IF($C90="other",(1-$C88)*R90,(1-(VLOOKUP($C90,'S3 - Screening Tool Metrics'!$C$3:$G$17,5,FALSE)/100))*R90)</f>
        <v>59.115547784863089</v>
      </c>
      <c r="U90" s="706">
        <f>IF($C90="other",$C88*R90,(VLOOKUP($C90,'S3 - Screening Tool Metrics'!$C$3:$G$17,5,FALSE)/100)*R90)</f>
        <v>159.02300492680891</v>
      </c>
      <c r="V90" s="708">
        <f t="shared" si="77"/>
        <v>27.417759470139469</v>
      </c>
      <c r="W90" s="707">
        <f t="shared" si="78"/>
        <v>456715.93333333341</v>
      </c>
      <c r="X90" s="706">
        <f>VLOOKUP("*"&amp;$B90&amp;"*",'S4 - Summ PRS Characteristics'!$C$13:$Q$20,13,FALSE)*$J90</f>
        <v>130.45606211841033</v>
      </c>
      <c r="Y90" s="706">
        <f t="shared" ref="Y90:Y102" si="85">$J90-X90</f>
        <v>449.54393788158967</v>
      </c>
      <c r="Z90" s="706">
        <f>IF($C90="other",(1-$C88)*X90,(1-(VLOOKUP($C90,'S3 - Screening Tool Metrics'!$C$3:$G$17,5,FALSE)/100))*X90)</f>
        <v>35.353592834089184</v>
      </c>
      <c r="AA90" s="706">
        <f>IF($C90="other",$C88*X90,(VLOOKUP($C90,'S3 - Screening Tool Metrics'!$C$3:$G$17,5,FALSE)/100)*X90)</f>
        <v>95.102469284321145</v>
      </c>
      <c r="AB90" s="708">
        <f t="shared" si="79"/>
        <v>16.396977462813993</v>
      </c>
      <c r="AC90" s="706">
        <f t="shared" si="80"/>
        <v>228357.9666666667</v>
      </c>
      <c r="AD90" s="706">
        <f>VLOOKUP("*"&amp;$B90&amp;"*",'S4 - Summ PRS Characteristics'!$C$13:$Q$20,14,FALSE)*$J90</f>
        <v>76.314388796190485</v>
      </c>
      <c r="AE90" s="706">
        <f>$J90-AD90</f>
        <v>503.68561120380951</v>
      </c>
      <c r="AF90" s="706">
        <f>IF($C90="other",(1-$C88)*AD90,(1-(VLOOKUP($C90,'S3 - Screening Tool Metrics'!$C$3:$G$17,5,FALSE)/100))*AD90)</f>
        <v>20.681199363767615</v>
      </c>
      <c r="AG90" s="706">
        <f>IF($C90="other",$C88*AD90,(VLOOKUP($C90,'S3 - Screening Tool Metrics'!$C$3:$G$17,5,FALSE)/100)*AD90)</f>
        <v>55.633189432422874</v>
      </c>
      <c r="AH90" s="708">
        <f t="shared" si="81"/>
        <v>9.5919292124867024</v>
      </c>
      <c r="AI90" s="707">
        <f t="shared" si="82"/>
        <v>45671.593333333338</v>
      </c>
      <c r="AJ90" s="706">
        <f>VLOOKUP("*"&amp;$B90&amp;"*",'S4 - Summ PRS Characteristics'!$C$13:$Q$20,15,FALSE)*$J90</f>
        <v>20.818349215056486</v>
      </c>
      <c r="AK90" s="706">
        <f t="shared" ref="AK90:AK102" si="86">$J90-AJ90</f>
        <v>559.18165078494349</v>
      </c>
      <c r="AL90" s="706">
        <f>IF($C90="other",(1-$C88)*AJ90,(1-(VLOOKUP($C90,'S3 - Screening Tool Metrics'!$C$3:$G$17,5,FALSE)/100))*AJ90)</f>
        <v>5.6417726372803054</v>
      </c>
      <c r="AM90" s="706">
        <f>IF($C90="other",$C88*AJ90,(VLOOKUP($C90,'S3 - Screening Tool Metrics'!$C$3:$G$17,5,FALSE)/100)*AJ90)</f>
        <v>15.17657657777618</v>
      </c>
      <c r="AN90" s="709">
        <f t="shared" si="83"/>
        <v>2.6166511340993415</v>
      </c>
    </row>
    <row r="91" spans="2:40" x14ac:dyDescent="0.15">
      <c r="B91" s="700" t="s">
        <v>14</v>
      </c>
      <c r="C91" s="721" t="str">
        <f>$C89</f>
        <v>USS</v>
      </c>
      <c r="D91" s="552" t="s">
        <v>194</v>
      </c>
      <c r="E91" s="710">
        <f>VLOOKUP($B91&amp;"_"&amp;$D91,'App5 - CRUK Inci Rates'!C:H,6,FALSE)</f>
        <v>26.8</v>
      </c>
      <c r="F91" s="711">
        <f>VLOOKUP($B91&amp;"_"&amp;$D91,'App5 - CRUK Inci Rates'!C:H,3,FALSE)</f>
        <v>12.7</v>
      </c>
      <c r="G91" s="712">
        <f>VLOOKUP($B91&amp;"_"&amp;$D91,'App5 - CRUK Inci Rates'!C:J,8,FALSE)</f>
        <v>4658110.666666666</v>
      </c>
      <c r="H91" s="713">
        <f>VLOOKUP($B91&amp;"_"&amp;$D91,'App5 - CRUK Inci Rates'!C:J,7,FALSE)</f>
        <v>2293472.6666666665</v>
      </c>
      <c r="I91" s="713">
        <f>VLOOKUP($B91&amp;"_"&amp;$D91,'App5 - CRUK Inci Rates'!C:J,4,FALSE)</f>
        <v>2364638</v>
      </c>
      <c r="J91" s="709">
        <f>VLOOKUP($B91&amp;"_"&amp;$D91,'App5 - CRUK Inci Rates'!C:K,9,FALSE)</f>
        <v>915</v>
      </c>
      <c r="K91" s="706">
        <f t="shared" si="69"/>
        <v>2329055.333333333</v>
      </c>
      <c r="L91" s="706">
        <f>VLOOKUP("*"&amp;$B91&amp;"*",'S4 - Summ PRS Characteristics'!$C$13:$Q$20,11,FALSE)*$J91</f>
        <v>640.97174719228792</v>
      </c>
      <c r="M91" s="706">
        <f t="shared" si="70"/>
        <v>274.02825280771208</v>
      </c>
      <c r="N91" s="706">
        <f>IF($C91="other",(1-$C$7)*L91,(1-(VLOOKUP($C91,'S3 - Screening Tool Metrics'!$C$3:$G$17,5,FALSE)/100))*L91)</f>
        <v>173.70334348910995</v>
      </c>
      <c r="O91" s="706">
        <f>IF($C91="other",$C$7*L91,(VLOOKUP($C91,'S3 - Screening Tool Metrics'!$C$3:$G$17,5,FALSE)/100)*L91)</f>
        <v>467.26840370317797</v>
      </c>
      <c r="P91" s="706">
        <f t="shared" si="71"/>
        <v>51.067585104172451</v>
      </c>
      <c r="Q91" s="707">
        <f t="shared" si="76"/>
        <v>931622.1333333333</v>
      </c>
      <c r="R91" s="706">
        <f>VLOOKUP("*"&amp;$B91&amp;"*",'S4 - Summ PRS Characteristics'!$C$13:$Q$20,12,FALSE)*$J91</f>
        <v>344.13237195031013</v>
      </c>
      <c r="S91" s="706">
        <f t="shared" si="84"/>
        <v>570.86762804968987</v>
      </c>
      <c r="T91" s="706">
        <f>IF($C91="other",(1-$C88)*R91,(1-(VLOOKUP($C91,'S3 - Screening Tool Metrics'!$C$3:$G$17,5,FALSE)/100))*R91)</f>
        <v>93.259872798534019</v>
      </c>
      <c r="U91" s="706">
        <f>IF($C91="other",$C88*R91,(VLOOKUP($C91,'S3 - Screening Tool Metrics'!$C$3:$G$17,5,FALSE)/100)*R91)</f>
        <v>250.87249915177611</v>
      </c>
      <c r="V91" s="708">
        <f t="shared" si="77"/>
        <v>27.417759470139462</v>
      </c>
      <c r="W91" s="707">
        <f t="shared" si="78"/>
        <v>465811.06666666665</v>
      </c>
      <c r="X91" s="706">
        <f>VLOOKUP("*"&amp;$B91&amp;"*",'S4 - Summ PRS Characteristics'!$C$13:$Q$20,13,FALSE)*$J91</f>
        <v>205.80568420404387</v>
      </c>
      <c r="Y91" s="706">
        <f t="shared" si="85"/>
        <v>709.19431579595607</v>
      </c>
      <c r="Z91" s="706">
        <f>IF($C91="other",(1-$C88)*X91,(1-(VLOOKUP($C91,'S3 - Screening Tool Metrics'!$C$3:$G$17,5,FALSE)/100))*X91)</f>
        <v>55.77334041929587</v>
      </c>
      <c r="AA91" s="706">
        <f>IF($C91="other",$C88*X91,(VLOOKUP($C91,'S3 - Screening Tool Metrics'!$C$3:$G$17,5,FALSE)/100)*X91)</f>
        <v>150.03234378474801</v>
      </c>
      <c r="AB91" s="708">
        <f t="shared" si="79"/>
        <v>16.396977462813989</v>
      </c>
      <c r="AC91" s="706">
        <f t="shared" si="80"/>
        <v>232905.53333333333</v>
      </c>
      <c r="AD91" s="706">
        <f>VLOOKUP("*"&amp;$B91&amp;"*",'S4 - Summ PRS Characteristics'!$C$13:$Q$20,14,FALSE)*$J91</f>
        <v>120.39252715261085</v>
      </c>
      <c r="AE91" s="706">
        <f t="shared" ref="AE91:AE102" si="87">$J91-AD91</f>
        <v>794.60747284738909</v>
      </c>
      <c r="AF91" s="706">
        <f>IF($C91="other",(1-$C88)*AD91,(1-(VLOOKUP($C91,'S3 - Screening Tool Metrics'!$C$3:$G$17,5,FALSE)/100))*AD91)</f>
        <v>32.626374858357529</v>
      </c>
      <c r="AG91" s="706">
        <f>IF($C91="other",$C88*AD91,(VLOOKUP($C91,'S3 - Screening Tool Metrics'!$C$3:$G$17,5,FALSE)/100)*AD91)</f>
        <v>87.766152294253317</v>
      </c>
      <c r="AH91" s="708">
        <f t="shared" si="81"/>
        <v>9.5919292124867006</v>
      </c>
      <c r="AI91" s="707">
        <f t="shared" si="82"/>
        <v>46581.106666666659</v>
      </c>
      <c r="AJ91" s="706">
        <f>VLOOKUP("*"&amp;$B91&amp;"*",'S4 - Summ PRS Characteristics'!$C$13:$Q$20,15,FALSE)*$J91</f>
        <v>32.842740572028767</v>
      </c>
      <c r="AK91" s="706">
        <f t="shared" si="86"/>
        <v>882.15725942797121</v>
      </c>
      <c r="AL91" s="706">
        <f>IF($C91="other",(1-$C88)*AJ91,(1-(VLOOKUP($C91,'S3 - Screening Tool Metrics'!$C$3:$G$17,5,FALSE)/100))*AJ91)</f>
        <v>8.9003826950197933</v>
      </c>
      <c r="AM91" s="706">
        <f>IF($C91="other",$C88*AJ91,(VLOOKUP($C91,'S3 - Screening Tool Metrics'!$C$3:$G$17,5,FALSE)/100)*AJ91)</f>
        <v>23.942357877008973</v>
      </c>
      <c r="AN91" s="709">
        <f t="shared" si="83"/>
        <v>2.6166511340993415</v>
      </c>
    </row>
    <row r="92" spans="2:40" x14ac:dyDescent="0.15">
      <c r="B92" s="700" t="s">
        <v>14</v>
      </c>
      <c r="C92" s="721" t="str">
        <f>$C89</f>
        <v>USS</v>
      </c>
      <c r="D92" s="552" t="s">
        <v>195</v>
      </c>
      <c r="E92" s="710">
        <f>VLOOKUP($B92&amp;"_"&amp;$D92,'App5 - CRUK Inci Rates'!C:H,6,FALSE)</f>
        <v>37.1</v>
      </c>
      <c r="F92" s="711">
        <f>VLOOKUP($B92&amp;"_"&amp;$D92,'App5 - CRUK Inci Rates'!C:H,3,FALSE)</f>
        <v>18.600000000000001</v>
      </c>
      <c r="G92" s="712">
        <f>VLOOKUP($B92&amp;"_"&amp;$D92,'App5 - CRUK Inci Rates'!C:J,8,FALSE)</f>
        <v>4181606</v>
      </c>
      <c r="H92" s="713">
        <f>VLOOKUP($B92&amp;"_"&amp;$D92,'App5 - CRUK Inci Rates'!C:J,7,FALSE)</f>
        <v>2061918.6666666667</v>
      </c>
      <c r="I92" s="713">
        <f>VLOOKUP($B92&amp;"_"&amp;$D92,'App5 - CRUK Inci Rates'!C:J,4,FALSE)</f>
        <v>2119687.3333333335</v>
      </c>
      <c r="J92" s="709">
        <f>VLOOKUP($B92&amp;"_"&amp;$D92,'App5 - CRUK Inci Rates'!C:K,9,FALSE)</f>
        <v>1160</v>
      </c>
      <c r="K92" s="706">
        <f t="shared" si="69"/>
        <v>2090803</v>
      </c>
      <c r="L92" s="706">
        <f>VLOOKUP("*"&amp;$B92&amp;"*",'S4 - Summ PRS Characteristics'!$C$13:$Q$20,11,FALSE)*$J92</f>
        <v>812.5980620142667</v>
      </c>
      <c r="M92" s="706">
        <f t="shared" si="70"/>
        <v>347.4019379857333</v>
      </c>
      <c r="N92" s="706">
        <f>IF($C92="other",(1-$C$7)*L92,(1-(VLOOKUP($C92,'S3 - Screening Tool Metrics'!$C$3:$G$17,5,FALSE)/100))*L92)</f>
        <v>220.2140748058662</v>
      </c>
      <c r="O92" s="706">
        <f>IF($C92="other",$C$7*L92,(VLOOKUP($C92,'S3 - Screening Tool Metrics'!$C$3:$G$17,5,FALSE)/100)*L92)</f>
        <v>592.38398720840053</v>
      </c>
      <c r="P92" s="706">
        <f t="shared" si="71"/>
        <v>51.067585104172466</v>
      </c>
      <c r="Q92" s="707">
        <f t="shared" si="76"/>
        <v>836321.20000000007</v>
      </c>
      <c r="R92" s="706">
        <f>VLOOKUP("*"&amp;$B92&amp;"*",'S4 - Summ PRS Characteristics'!$C$13:$Q$20,12,FALSE)*$J92</f>
        <v>436.27710542334398</v>
      </c>
      <c r="S92" s="706">
        <f t="shared" si="84"/>
        <v>723.72289457665602</v>
      </c>
      <c r="T92" s="706">
        <f>IF($C92="other",(1-$C88)*R92,(1-(VLOOKUP($C92,'S3 - Screening Tool Metrics'!$C$3:$G$17,5,FALSE)/100))*R92)</f>
        <v>118.23109556972618</v>
      </c>
      <c r="U92" s="706">
        <f>IF($C92="other",$C88*R92,(VLOOKUP($C92,'S3 - Screening Tool Metrics'!$C$3:$G$17,5,FALSE)/100)*R92)</f>
        <v>318.04600985361782</v>
      </c>
      <c r="V92" s="708">
        <f t="shared" si="77"/>
        <v>27.417759470139469</v>
      </c>
      <c r="W92" s="707">
        <f t="shared" si="78"/>
        <v>418160.60000000003</v>
      </c>
      <c r="X92" s="706">
        <f>VLOOKUP("*"&amp;$B92&amp;"*",'S4 - Summ PRS Characteristics'!$C$13:$Q$20,13,FALSE)*$J92</f>
        <v>260.91212423682066</v>
      </c>
      <c r="Y92" s="706">
        <f t="shared" si="85"/>
        <v>899.08787576317934</v>
      </c>
      <c r="Z92" s="706">
        <f>IF($C92="other",(1-$C88)*X92,(1-(VLOOKUP($C92,'S3 - Screening Tool Metrics'!$C$3:$G$17,5,FALSE)/100))*X92)</f>
        <v>70.707185668178369</v>
      </c>
      <c r="AA92" s="706">
        <f>IF($C92="other",$C88*X92,(VLOOKUP($C92,'S3 - Screening Tool Metrics'!$C$3:$G$17,5,FALSE)/100)*X92)</f>
        <v>190.20493856864229</v>
      </c>
      <c r="AB92" s="708">
        <f t="shared" si="79"/>
        <v>16.396977462813993</v>
      </c>
      <c r="AC92" s="706">
        <f t="shared" si="80"/>
        <v>209080.30000000002</v>
      </c>
      <c r="AD92" s="706">
        <f>VLOOKUP("*"&amp;$B92&amp;"*",'S4 - Summ PRS Characteristics'!$C$13:$Q$20,14,FALSE)*$J92</f>
        <v>152.62877759238097</v>
      </c>
      <c r="AE92" s="706">
        <f t="shared" si="87"/>
        <v>1007.371222407619</v>
      </c>
      <c r="AF92" s="706">
        <f>IF($C92="other",(1-$C88)*AD92,(1-(VLOOKUP($C92,'S3 - Screening Tool Metrics'!$C$3:$G$17,5,FALSE)/100))*AD92)</f>
        <v>41.362398727535229</v>
      </c>
      <c r="AG92" s="706">
        <f>IF($C92="other",$C88*AD92,(VLOOKUP($C92,'S3 - Screening Tool Metrics'!$C$3:$G$17,5,FALSE)/100)*AD92)</f>
        <v>111.26637886484575</v>
      </c>
      <c r="AH92" s="708">
        <f t="shared" si="81"/>
        <v>9.5919292124867024</v>
      </c>
      <c r="AI92" s="707">
        <f t="shared" si="82"/>
        <v>41816.06</v>
      </c>
      <c r="AJ92" s="706">
        <f>VLOOKUP("*"&amp;$B92&amp;"*",'S4 - Summ PRS Characteristics'!$C$13:$Q$20,15,FALSE)*$J92</f>
        <v>41.636698430112972</v>
      </c>
      <c r="AK92" s="706">
        <f t="shared" si="86"/>
        <v>1118.363301569887</v>
      </c>
      <c r="AL92" s="706">
        <f>IF($C92="other",(1-$C88)*AJ92,(1-(VLOOKUP($C92,'S3 - Screening Tool Metrics'!$C$3:$G$17,5,FALSE)/100))*AJ92)</f>
        <v>11.283545274560611</v>
      </c>
      <c r="AM92" s="706">
        <f>IF($C92="other",$C88*AJ92,(VLOOKUP($C92,'S3 - Screening Tool Metrics'!$C$3:$G$17,5,FALSE)/100)*AJ92)</f>
        <v>30.353153155552359</v>
      </c>
      <c r="AN92" s="709">
        <f t="shared" si="83"/>
        <v>2.6166511340993415</v>
      </c>
    </row>
    <row r="93" spans="2:40" x14ac:dyDescent="0.15">
      <c r="B93" s="700" t="s">
        <v>14</v>
      </c>
      <c r="C93" s="721" t="str">
        <f>$C89</f>
        <v>USS</v>
      </c>
      <c r="D93" s="552" t="s">
        <v>196</v>
      </c>
      <c r="E93" s="710">
        <f>VLOOKUP($B93&amp;"_"&amp;$D93,'App5 - CRUK Inci Rates'!C:H,6,FALSE)</f>
        <v>53.7</v>
      </c>
      <c r="F93" s="711">
        <f>VLOOKUP($B93&amp;"_"&amp;$D93,'App5 - CRUK Inci Rates'!C:H,3,FALSE)</f>
        <v>26.2</v>
      </c>
      <c r="G93" s="712">
        <f>VLOOKUP($B93&amp;"_"&amp;$D93,'App5 - CRUK Inci Rates'!C:J,8,FALSE)</f>
        <v>3602002</v>
      </c>
      <c r="H93" s="713">
        <f>VLOOKUP($B93&amp;"_"&amp;$D93,'App5 - CRUK Inci Rates'!C:J,7,FALSE)</f>
        <v>1764828</v>
      </c>
      <c r="I93" s="713">
        <f>VLOOKUP($B93&amp;"_"&amp;$D93,'App5 - CRUK Inci Rates'!C:J,4,FALSE)</f>
        <v>1837174</v>
      </c>
      <c r="J93" s="709">
        <f>VLOOKUP($B93&amp;"_"&amp;$D93,'App5 - CRUK Inci Rates'!C:K,9,FALSE)</f>
        <v>1429</v>
      </c>
      <c r="K93" s="706">
        <f t="shared" si="69"/>
        <v>1801001</v>
      </c>
      <c r="L93" s="706">
        <f>VLOOKUP("*"&amp;$B93&amp;"*",'S4 - Summ PRS Characteristics'!$C$13:$Q$20,11,FALSE)*$J93</f>
        <v>1001.0367505330923</v>
      </c>
      <c r="M93" s="706">
        <f t="shared" si="70"/>
        <v>427.96324946690766</v>
      </c>
      <c r="N93" s="706">
        <f>IF($C93="other",(1-$C$7)*L93,(1-(VLOOKUP($C93,'S3 - Screening Tool Metrics'!$C$3:$G$17,5,FALSE)/100))*L93)</f>
        <v>271.28095939446791</v>
      </c>
      <c r="O93" s="706">
        <f>IF($C93="other",$C$7*L93,(VLOOKUP($C93,'S3 - Screening Tool Metrics'!$C$3:$G$17,5,FALSE)/100)*L93)</f>
        <v>729.75579113862443</v>
      </c>
      <c r="P93" s="706">
        <f t="shared" si="71"/>
        <v>51.067585104172466</v>
      </c>
      <c r="Q93" s="707">
        <f t="shared" si="76"/>
        <v>720400.4</v>
      </c>
      <c r="R93" s="706">
        <f>VLOOKUP("*"&amp;$B93&amp;"*",'S4 - Summ PRS Characteristics'!$C$13:$Q$20,12,FALSE)*$J93</f>
        <v>537.44826176720562</v>
      </c>
      <c r="S93" s="706">
        <f t="shared" si="84"/>
        <v>891.55173823279438</v>
      </c>
      <c r="T93" s="706">
        <f>IF($C93="other",(1-$C88)*R93,(1-(VLOOKUP($C93,'S3 - Screening Tool Metrics'!$C$3:$G$17,5,FALSE)/100))*R93)</f>
        <v>145.64847893891266</v>
      </c>
      <c r="U93" s="706">
        <f>IF($C93="other",$C88*R93,(VLOOKUP($C93,'S3 - Screening Tool Metrics'!$C$3:$G$17,5,FALSE)/100)*R93)</f>
        <v>391.79978282829296</v>
      </c>
      <c r="V93" s="708">
        <f t="shared" si="77"/>
        <v>27.417759470139462</v>
      </c>
      <c r="W93" s="707">
        <f t="shared" si="78"/>
        <v>360200.2</v>
      </c>
      <c r="X93" s="706">
        <f>VLOOKUP("*"&amp;$B93&amp;"*",'S4 - Summ PRS Characteristics'!$C$13:$Q$20,13,FALSE)*$J93</f>
        <v>321.41674615035924</v>
      </c>
      <c r="Y93" s="706">
        <f t="shared" si="85"/>
        <v>1107.5832538496406</v>
      </c>
      <c r="Z93" s="706">
        <f>IF($C93="other",(1-$C88)*X93,(1-(VLOOKUP($C93,'S3 - Screening Tool Metrics'!$C$3:$G$17,5,FALSE)/100))*X93)</f>
        <v>87.10393820674733</v>
      </c>
      <c r="AA93" s="706">
        <f>IF($C93="other",$C88*X93,(VLOOKUP($C93,'S3 - Screening Tool Metrics'!$C$3:$G$17,5,FALSE)/100)*X93)</f>
        <v>234.31280794361192</v>
      </c>
      <c r="AB93" s="708">
        <f t="shared" si="79"/>
        <v>16.396977462813989</v>
      </c>
      <c r="AC93" s="706">
        <f t="shared" si="80"/>
        <v>180100.1</v>
      </c>
      <c r="AD93" s="706">
        <f>VLOOKUP("*"&amp;$B93&amp;"*",'S4 - Summ PRS Characteristics'!$C$13:$Q$20,14,FALSE)*$J93</f>
        <v>188.02286480992447</v>
      </c>
      <c r="AE93" s="706">
        <f t="shared" si="87"/>
        <v>1240.9771351900756</v>
      </c>
      <c r="AF93" s="706">
        <f>IF($C93="other",(1-$C88)*AD93,(1-(VLOOKUP($C93,'S3 - Screening Tool Metrics'!$C$3:$G$17,5,FALSE)/100))*AD93)</f>
        <v>50.954196363489515</v>
      </c>
      <c r="AG93" s="706">
        <f>IF($C93="other",$C88*AD93,(VLOOKUP($C93,'S3 - Screening Tool Metrics'!$C$3:$G$17,5,FALSE)/100)*AD93)</f>
        <v>137.06866844643497</v>
      </c>
      <c r="AH93" s="708">
        <f t="shared" si="81"/>
        <v>9.5919292124867024</v>
      </c>
      <c r="AI93" s="707">
        <f t="shared" si="82"/>
        <v>36020.020000000004</v>
      </c>
      <c r="AJ93" s="706">
        <f>VLOOKUP("*"&amp;$B93&amp;"*",'S4 - Summ PRS Characteristics'!$C$13:$Q$20,15,FALSE)*$J93</f>
        <v>51.292105221233996</v>
      </c>
      <c r="AK93" s="706">
        <f t="shared" si="86"/>
        <v>1377.7078947787661</v>
      </c>
      <c r="AL93" s="706">
        <f>IF($C93="other",(1-$C88)*AJ93,(1-(VLOOKUP($C93,'S3 - Screening Tool Metrics'!$C$3:$G$17,5,FALSE)/100))*AJ93)</f>
        <v>13.900160514954408</v>
      </c>
      <c r="AM93" s="706">
        <f>IF($C93="other",$C88*AJ93,(VLOOKUP($C93,'S3 - Screening Tool Metrics'!$C$3:$G$17,5,FALSE)/100)*AJ93)</f>
        <v>37.391944706279588</v>
      </c>
      <c r="AN93" s="709">
        <f t="shared" si="83"/>
        <v>2.6166511340993415</v>
      </c>
    </row>
    <row r="94" spans="2:40" x14ac:dyDescent="0.15">
      <c r="B94" s="700" t="s">
        <v>14</v>
      </c>
      <c r="C94" s="721" t="str">
        <f>$C89</f>
        <v>USS</v>
      </c>
      <c r="D94" s="552" t="s">
        <v>197</v>
      </c>
      <c r="E94" s="710">
        <f>VLOOKUP($B94&amp;"_"&amp;$D94,'App5 - CRUK Inci Rates'!C:H,6,FALSE)</f>
        <v>73.900000000000006</v>
      </c>
      <c r="F94" s="711">
        <f>VLOOKUP($B94&amp;"_"&amp;$D94,'App5 - CRUK Inci Rates'!C:H,3,FALSE)</f>
        <v>36.4</v>
      </c>
      <c r="G94" s="712">
        <f>VLOOKUP($B94&amp;"_"&amp;$D94,'App5 - CRUK Inci Rates'!C:J,8,FALSE)</f>
        <v>3502183.333333333</v>
      </c>
      <c r="H94" s="713">
        <f>VLOOKUP($B94&amp;"_"&amp;$D94,'App5 - CRUK Inci Rates'!C:J,7,FALSE)</f>
        <v>1696993.3333333333</v>
      </c>
      <c r="I94" s="713">
        <f>VLOOKUP($B94&amp;"_"&amp;$D94,'App5 - CRUK Inci Rates'!C:J,4,FALSE)</f>
        <v>1805190</v>
      </c>
      <c r="J94" s="709">
        <f>VLOOKUP($B94&amp;"_"&amp;$D94,'App5 - CRUK Inci Rates'!C:K,9,FALSE)</f>
        <v>1911</v>
      </c>
      <c r="K94" s="706">
        <f t="shared" si="69"/>
        <v>1751091.6666666665</v>
      </c>
      <c r="L94" s="706">
        <f>VLOOKUP("*"&amp;$B94&amp;"*",'S4 - Summ PRS Characteristics'!$C$13:$Q$20,11,FALSE)*$J94</f>
        <v>1338.6852556114341</v>
      </c>
      <c r="M94" s="706">
        <f t="shared" si="70"/>
        <v>572.31474438856594</v>
      </c>
      <c r="N94" s="706">
        <f>IF($C94="other",(1-$C$7)*L94,(1-(VLOOKUP($C94,'S3 - Screening Tool Metrics'!$C$3:$G$17,5,FALSE)/100))*L94)</f>
        <v>362.78370427069848</v>
      </c>
      <c r="O94" s="706">
        <f>IF($C94="other",$C$7*L94,(VLOOKUP($C94,'S3 - Screening Tool Metrics'!$C$3:$G$17,5,FALSE)/100)*L94)</f>
        <v>975.90155134073552</v>
      </c>
      <c r="P94" s="706">
        <f t="shared" si="71"/>
        <v>51.067585104172451</v>
      </c>
      <c r="Q94" s="707">
        <f t="shared" si="76"/>
        <v>700436.66666666663</v>
      </c>
      <c r="R94" s="706">
        <f>VLOOKUP("*"&amp;$B94&amp;"*",'S4 - Summ PRS Characteristics'!$C$13:$Q$20,12,FALSE)*$J94</f>
        <v>718.72892108966403</v>
      </c>
      <c r="S94" s="706">
        <f t="shared" si="84"/>
        <v>1192.271078910336</v>
      </c>
      <c r="T94" s="706">
        <f>IF($C94="other",(1-$C88)*R94,(1-(VLOOKUP($C94,'S3 - Screening Tool Metrics'!$C$3:$G$17,5,FALSE)/100))*R94)</f>
        <v>194.77553761529887</v>
      </c>
      <c r="U94" s="706">
        <f>IF($C94="other",$C88*R94,(VLOOKUP($C94,'S3 - Screening Tool Metrics'!$C$3:$G$17,5,FALSE)/100)*R94)</f>
        <v>523.95338347436518</v>
      </c>
      <c r="V94" s="708">
        <f t="shared" si="77"/>
        <v>27.417759470139462</v>
      </c>
      <c r="W94" s="707">
        <f t="shared" si="78"/>
        <v>350218.33333333331</v>
      </c>
      <c r="X94" s="706">
        <f>VLOOKUP("*"&amp;$B94&amp;"*",'S4 - Summ PRS Characteristics'!$C$13:$Q$20,13,FALSE)*$J94</f>
        <v>429.83023225565881</v>
      </c>
      <c r="Y94" s="706">
        <f t="shared" si="85"/>
        <v>1481.1697677443412</v>
      </c>
      <c r="Z94" s="706">
        <f>IF($C94="other",(1-$C88)*X94,(1-(VLOOKUP($C94,'S3 - Screening Tool Metrics'!$C$3:$G$17,5,FALSE)/100))*X94)</f>
        <v>116.4839929412835</v>
      </c>
      <c r="AA94" s="706">
        <f>IF($C94="other",$C88*X94,(VLOOKUP($C94,'S3 - Screening Tool Metrics'!$C$3:$G$17,5,FALSE)/100)*X94)</f>
        <v>313.34623931437534</v>
      </c>
      <c r="AB94" s="708">
        <f t="shared" si="79"/>
        <v>16.396977462813989</v>
      </c>
      <c r="AC94" s="706">
        <f t="shared" si="80"/>
        <v>175109.16666666666</v>
      </c>
      <c r="AD94" s="706">
        <f>VLOOKUP("*"&amp;$B94&amp;"*",'S4 - Summ PRS Characteristics'!$C$13:$Q$20,14,FALSE)*$J94</f>
        <v>251.44275343020692</v>
      </c>
      <c r="AE94" s="706">
        <f t="shared" si="87"/>
        <v>1659.5572465697931</v>
      </c>
      <c r="AF94" s="706">
        <f>IF($C94="other",(1-$C88)*AD94,(1-(VLOOKUP($C94,'S3 - Screening Tool Metrics'!$C$3:$G$17,5,FALSE)/100))*AD94)</f>
        <v>68.140986179586051</v>
      </c>
      <c r="AG94" s="706">
        <f>IF($C94="other",$C88*AD94,(VLOOKUP($C94,'S3 - Screening Tool Metrics'!$C$3:$G$17,5,FALSE)/100)*AD94)</f>
        <v>183.30176725062086</v>
      </c>
      <c r="AH94" s="708">
        <f t="shared" si="81"/>
        <v>9.5919292124867006</v>
      </c>
      <c r="AI94" s="707">
        <f t="shared" si="82"/>
        <v>35021.833333333328</v>
      </c>
      <c r="AJ94" s="706">
        <f>VLOOKUP("*"&amp;$B94&amp;"*",'S4 - Summ PRS Characteristics'!$C$13:$Q$20,15,FALSE)*$J94</f>
        <v>68.592871293056803</v>
      </c>
      <c r="AK94" s="706">
        <f t="shared" si="86"/>
        <v>1842.4071287069432</v>
      </c>
      <c r="AL94" s="706">
        <f>IF($C94="other",(1-$C88)*AJ94,(1-(VLOOKUP($C94,'S3 - Screening Tool Metrics'!$C$3:$G$17,5,FALSE)/100))*AJ94)</f>
        <v>18.588668120418387</v>
      </c>
      <c r="AM94" s="706">
        <f>IF($C94="other",$C88*AJ94,(VLOOKUP($C94,'S3 - Screening Tool Metrics'!$C$3:$G$17,5,FALSE)/100)*AJ94)</f>
        <v>50.004203172638412</v>
      </c>
      <c r="AN94" s="709">
        <f t="shared" si="83"/>
        <v>2.6166511340993415</v>
      </c>
    </row>
    <row r="95" spans="2:40" x14ac:dyDescent="0.15">
      <c r="B95" s="700" t="s">
        <v>14</v>
      </c>
      <c r="C95" s="721" t="str">
        <f>$C89</f>
        <v>USS</v>
      </c>
      <c r="D95" s="552" t="s">
        <v>198</v>
      </c>
      <c r="E95" s="710">
        <f>VLOOKUP($B95&amp;"_"&amp;$D95,'App5 - CRUK Inci Rates'!C:H,6,FALSE)</f>
        <v>91.2</v>
      </c>
      <c r="F95" s="711">
        <f>VLOOKUP($B95&amp;"_"&amp;$D95,'App5 - CRUK Inci Rates'!C:H,3,FALSE)</f>
        <v>45.1</v>
      </c>
      <c r="G95" s="712">
        <f>VLOOKUP($B95&amp;"_"&amp;$D95,'App5 - CRUK Inci Rates'!C:J,8,FALSE)</f>
        <v>3071574.666666667</v>
      </c>
      <c r="H95" s="713">
        <f>VLOOKUP($B95&amp;"_"&amp;$D95,'App5 - CRUK Inci Rates'!C:J,7,FALSE)</f>
        <v>1467965</v>
      </c>
      <c r="I95" s="713">
        <f>VLOOKUP($B95&amp;"_"&amp;$D95,'App5 - CRUK Inci Rates'!C:J,4,FALSE)</f>
        <v>1603609.6666666667</v>
      </c>
      <c r="J95" s="709">
        <f>VLOOKUP($B95&amp;"_"&amp;$D95,'App5 - CRUK Inci Rates'!C:K,9,FALSE)</f>
        <v>2063</v>
      </c>
      <c r="K95" s="706">
        <f t="shared" si="69"/>
        <v>1535787.3333333335</v>
      </c>
      <c r="L95" s="706">
        <f>VLOOKUP("*"&amp;$B95&amp;"*",'S4 - Summ PRS Characteristics'!$C$13:$Q$20,11,FALSE)*$J95</f>
        <v>1445.1636223581311</v>
      </c>
      <c r="M95" s="706">
        <f t="shared" si="70"/>
        <v>617.83637764186892</v>
      </c>
      <c r="N95" s="706">
        <f>IF($C95="other",(1-$C$7)*L95,(1-(VLOOKUP($C95,'S3 - Screening Tool Metrics'!$C$3:$G$17,5,FALSE)/100))*L95)</f>
        <v>391.6393416590534</v>
      </c>
      <c r="O95" s="706">
        <f>IF($C95="other",$C$7*L95,(VLOOKUP($C95,'S3 - Screening Tool Metrics'!$C$3:$G$17,5,FALSE)/100)*L95)</f>
        <v>1053.5242806990777</v>
      </c>
      <c r="P95" s="706">
        <f t="shared" si="71"/>
        <v>51.067585104172451</v>
      </c>
      <c r="Q95" s="707">
        <f t="shared" si="76"/>
        <v>614314.93333333347</v>
      </c>
      <c r="R95" s="706">
        <f>VLOOKUP("*"&amp;$B95&amp;"*",'S4 - Summ PRS Characteristics'!$C$13:$Q$20,12,FALSE)*$J95</f>
        <v>775.89626593824016</v>
      </c>
      <c r="S95" s="706">
        <f t="shared" si="84"/>
        <v>1287.10373406176</v>
      </c>
      <c r="T95" s="706">
        <f>IF($C95="other",(1-$C88)*R95,(1-(VLOOKUP($C95,'S3 - Screening Tool Metrics'!$C$3:$G$17,5,FALSE)/100))*R95)</f>
        <v>210.26788806926302</v>
      </c>
      <c r="U95" s="706">
        <f>IF($C95="other",$C88*R95,(VLOOKUP($C95,'S3 - Screening Tool Metrics'!$C$3:$G$17,5,FALSE)/100)*R95)</f>
        <v>565.62837786897717</v>
      </c>
      <c r="V95" s="708">
        <f t="shared" si="77"/>
        <v>27.417759470139462</v>
      </c>
      <c r="W95" s="707">
        <f t="shared" si="78"/>
        <v>307157.46666666673</v>
      </c>
      <c r="X95" s="706">
        <f>VLOOKUP("*"&amp;$B95&amp;"*",'S4 - Summ PRS Characteristics'!$C$13:$Q$20,13,FALSE)*$J95</f>
        <v>464.0187175004836</v>
      </c>
      <c r="Y95" s="706">
        <f t="shared" si="85"/>
        <v>1598.9812824995165</v>
      </c>
      <c r="Z95" s="706">
        <f>IF($C95="other",(1-$C88)*X95,(1-(VLOOKUP($C95,'S3 - Screening Tool Metrics'!$C$3:$G$17,5,FALSE)/100))*X95)</f>
        <v>125.74907244263102</v>
      </c>
      <c r="AA95" s="706">
        <f>IF($C95="other",$C88*X95,(VLOOKUP($C95,'S3 - Screening Tool Metrics'!$C$3:$G$17,5,FALSE)/100)*X95)</f>
        <v>338.26964505785259</v>
      </c>
      <c r="AB95" s="708">
        <f t="shared" si="79"/>
        <v>16.396977462813989</v>
      </c>
      <c r="AC95" s="706">
        <f t="shared" si="80"/>
        <v>153578.73333333337</v>
      </c>
      <c r="AD95" s="706">
        <f>VLOOKUP("*"&amp;$B95&amp;"*",'S4 - Summ PRS Characteristics'!$C$13:$Q$20,14,FALSE)*$J95</f>
        <v>271.44238635610509</v>
      </c>
      <c r="AE95" s="706">
        <f t="shared" si="87"/>
        <v>1791.5576136438949</v>
      </c>
      <c r="AF95" s="706">
        <f>IF($C95="other",(1-$C88)*AD95,(1-(VLOOKUP($C95,'S3 - Screening Tool Metrics'!$C$3:$G$17,5,FALSE)/100))*AD95)</f>
        <v>73.560886702504447</v>
      </c>
      <c r="AG95" s="706">
        <f>IF($C95="other",$C88*AD95,(VLOOKUP($C95,'S3 - Screening Tool Metrics'!$C$3:$G$17,5,FALSE)/100)*AD95)</f>
        <v>197.88149965360063</v>
      </c>
      <c r="AH95" s="708">
        <f t="shared" si="81"/>
        <v>9.5919292124867006</v>
      </c>
      <c r="AI95" s="707">
        <f t="shared" si="82"/>
        <v>30715.74666666667</v>
      </c>
      <c r="AJ95" s="706">
        <f>VLOOKUP("*"&amp;$B95&amp;"*",'S4 - Summ PRS Characteristics'!$C$13:$Q$20,15,FALSE)*$J95</f>
        <v>74.048714535623319</v>
      </c>
      <c r="AK95" s="706">
        <f t="shared" si="86"/>
        <v>1988.9512854643767</v>
      </c>
      <c r="AL95" s="706">
        <f>IF($C95="other",(1-$C88)*AJ95,(1-(VLOOKUP($C95,'S3 - Screening Tool Metrics'!$C$3:$G$17,5,FALSE)/100))*AJ95)</f>
        <v>20.067201639153911</v>
      </c>
      <c r="AM95" s="706">
        <f>IF($C95="other",$C88*AJ95,(VLOOKUP($C95,'S3 - Screening Tool Metrics'!$C$3:$G$17,5,FALSE)/100)*AJ95)</f>
        <v>53.981512896469404</v>
      </c>
      <c r="AN95" s="709">
        <f t="shared" si="83"/>
        <v>2.616651134099341</v>
      </c>
    </row>
    <row r="96" spans="2:40" x14ac:dyDescent="0.15">
      <c r="B96" s="700" t="s">
        <v>14</v>
      </c>
      <c r="C96" s="721" t="str">
        <f>$C89</f>
        <v>USS</v>
      </c>
      <c r="D96" s="552" t="s">
        <v>199</v>
      </c>
      <c r="E96" s="710">
        <f>VLOOKUP($B96&amp;"_"&amp;$D96,'App5 - CRUK Inci Rates'!C:H,6,FALSE)</f>
        <v>110.1</v>
      </c>
      <c r="F96" s="711">
        <f>VLOOKUP($B96&amp;"_"&amp;$D96,'App5 - CRUK Inci Rates'!C:H,3,FALSE)</f>
        <v>57.2</v>
      </c>
      <c r="G96" s="712">
        <f>VLOOKUP($B96&amp;"_"&amp;$D96,'App5 - CRUK Inci Rates'!C:J,8,FALSE)</f>
        <v>2189010.6666666665</v>
      </c>
      <c r="H96" s="713">
        <f>VLOOKUP($B96&amp;"_"&amp;$D96,'App5 - CRUK Inci Rates'!C:J,7,FALSE)</f>
        <v>1007365.3333333334</v>
      </c>
      <c r="I96" s="713">
        <f>VLOOKUP($B96&amp;"_"&amp;$D96,'App5 - CRUK Inci Rates'!C:J,4,FALSE)</f>
        <v>1181645.3333333333</v>
      </c>
      <c r="J96" s="709">
        <f>VLOOKUP($B96&amp;"_"&amp;$D96,'App5 - CRUK Inci Rates'!C:K,9,FALSE)</f>
        <v>1785</v>
      </c>
      <c r="K96" s="706">
        <f t="shared" si="69"/>
        <v>1094505.3333333333</v>
      </c>
      <c r="L96" s="706">
        <f>VLOOKUP("*"&amp;$B96&amp;"*",'S4 - Summ PRS Characteristics'!$C$13:$Q$20,11,FALSE)*$J96</f>
        <v>1250.4202937029879</v>
      </c>
      <c r="M96" s="706">
        <f t="shared" si="70"/>
        <v>534.57970629701208</v>
      </c>
      <c r="N96" s="706">
        <f>IF($C96="other",(1-$C$7)*L96,(1-(VLOOKUP($C96,'S3 - Screening Tool Metrics'!$C$3:$G$17,5,FALSE)/100))*L96)</f>
        <v>338.86389959350959</v>
      </c>
      <c r="O96" s="706">
        <f>IF($C96="other",$C$7*L96,(VLOOKUP($C96,'S3 - Screening Tool Metrics'!$C$3:$G$17,5,FALSE)/100)*L96)</f>
        <v>911.55639410947833</v>
      </c>
      <c r="P96" s="706">
        <f t="shared" si="71"/>
        <v>51.067585104172451</v>
      </c>
      <c r="Q96" s="707">
        <f t="shared" si="76"/>
        <v>437802.1333333333</v>
      </c>
      <c r="R96" s="706">
        <f>VLOOKUP("*"&amp;$B96&amp;"*",'S4 - Summ PRS Characteristics'!$C$13:$Q$20,12,FALSE)*$J96</f>
        <v>671.34020101781812</v>
      </c>
      <c r="S96" s="706">
        <f t="shared" si="84"/>
        <v>1113.6597989821819</v>
      </c>
      <c r="T96" s="706">
        <f>IF($C96="other",(1-$C88)*R96,(1-(VLOOKUP($C96,'S3 - Screening Tool Metrics'!$C$3:$G$17,5,FALSE)/100))*R96)</f>
        <v>181.93319447582866</v>
      </c>
      <c r="U96" s="706">
        <f>IF($C96="other",$C88*R96,(VLOOKUP($C96,'S3 - Screening Tool Metrics'!$C$3:$G$17,5,FALSE)/100)*R96)</f>
        <v>489.40700654198946</v>
      </c>
      <c r="V96" s="708">
        <f t="shared" si="77"/>
        <v>27.417759470139462</v>
      </c>
      <c r="W96" s="707">
        <f t="shared" si="78"/>
        <v>218901.06666666665</v>
      </c>
      <c r="X96" s="706">
        <f>VLOOKUP("*"&amp;$B96&amp;"*",'S4 - Summ PRS Characteristics'!$C$13:$Q$20,13,FALSE)*$J96</f>
        <v>401.48977738165934</v>
      </c>
      <c r="Y96" s="706">
        <f t="shared" si="85"/>
        <v>1383.5102226183408</v>
      </c>
      <c r="Z96" s="706">
        <f>IF($C96="other",(1-$C88)*X96,(1-(VLOOKUP($C96,'S3 - Screening Tool Metrics'!$C$3:$G$17,5,FALSE)/100))*X96)</f>
        <v>108.80372967042965</v>
      </c>
      <c r="AA96" s="706">
        <f>IF($C96="other",$C88*X96,(VLOOKUP($C96,'S3 - Screening Tool Metrics'!$C$3:$G$17,5,FALSE)/100)*X96)</f>
        <v>292.68604771122972</v>
      </c>
      <c r="AB96" s="708">
        <f t="shared" si="79"/>
        <v>16.396977462813989</v>
      </c>
      <c r="AC96" s="706">
        <f t="shared" si="80"/>
        <v>109450.53333333333</v>
      </c>
      <c r="AD96" s="706">
        <f>VLOOKUP("*"&amp;$B96&amp;"*",'S4 - Summ PRS Characteristics'!$C$13:$Q$20,14,FALSE)*$J96</f>
        <v>234.86411034689658</v>
      </c>
      <c r="AE96" s="706">
        <f t="shared" si="87"/>
        <v>1550.1358896531035</v>
      </c>
      <c r="AF96" s="706">
        <f>IF($C96="other",(1-$C88)*AD96,(1-(VLOOKUP($C96,'S3 - Screening Tool Metrics'!$C$3:$G$17,5,FALSE)/100))*AD96)</f>
        <v>63.648173904008949</v>
      </c>
      <c r="AG96" s="706">
        <f>IF($C96="other",$C88*AD96,(VLOOKUP($C96,'S3 - Screening Tool Metrics'!$C$3:$G$17,5,FALSE)/100)*AD96)</f>
        <v>171.21593644288762</v>
      </c>
      <c r="AH96" s="708">
        <f t="shared" si="81"/>
        <v>9.5919292124867024</v>
      </c>
      <c r="AI96" s="707">
        <f t="shared" si="82"/>
        <v>21890.106666666667</v>
      </c>
      <c r="AJ96" s="706">
        <f>VLOOKUP("*"&amp;$B96&amp;"*",'S4 - Summ PRS Characteristics'!$C$13:$Q$20,15,FALSE)*$J96</f>
        <v>64.070264394613488</v>
      </c>
      <c r="AK96" s="706">
        <f t="shared" si="86"/>
        <v>1720.9297356053864</v>
      </c>
      <c r="AL96" s="706">
        <f>IF($C96="other",(1-$C88)*AJ96,(1-(VLOOKUP($C96,'S3 - Screening Tool Metrics'!$C$3:$G$17,5,FALSE)/100))*AJ96)</f>
        <v>17.36304165094025</v>
      </c>
      <c r="AM96" s="706">
        <f>IF($C96="other",$C88*AJ96,(VLOOKUP($C96,'S3 - Screening Tool Metrics'!$C$3:$G$17,5,FALSE)/100)*AJ96)</f>
        <v>46.707222743673242</v>
      </c>
      <c r="AN96" s="709">
        <f t="shared" si="83"/>
        <v>2.6166511340993415</v>
      </c>
    </row>
    <row r="97" spans="2:40" x14ac:dyDescent="0.15">
      <c r="B97" s="700" t="s">
        <v>14</v>
      </c>
      <c r="C97" s="721" t="str">
        <f>$C89</f>
        <v>USS</v>
      </c>
      <c r="D97" s="552" t="s">
        <v>200</v>
      </c>
      <c r="E97" s="710">
        <f>VLOOKUP($B97&amp;"_"&amp;$D97,'App5 - CRUK Inci Rates'!C:H,6,FALSE)</f>
        <v>34.622861697796182</v>
      </c>
      <c r="F97" s="711">
        <f>VLOOKUP($B97&amp;"_"&amp;$D97,'App5 - CRUK Inci Rates'!C:H,3,FALSE)</f>
        <v>16.932887508650499</v>
      </c>
      <c r="G97" s="712">
        <f>VLOOKUP($B97&amp;"_"&amp;$D97,'App5 - CRUK Inci Rates'!C:J,8,FALSE)</f>
        <v>24586669.333333336</v>
      </c>
      <c r="H97" s="713">
        <f>VLOOKUP($B97&amp;"_"&amp;$D97,'App5 - CRUK Inci Rates'!C:J,7,FALSE)</f>
        <v>12090277.333333334</v>
      </c>
      <c r="I97" s="713">
        <f>VLOOKUP($B97&amp;"_"&amp;$D97,'App5 - CRUK Inci Rates'!C:J,4,FALSE)</f>
        <v>12496392</v>
      </c>
      <c r="J97" s="709">
        <f>VLOOKUP($B97&amp;"_"&amp;$D97,'App5 - CRUK Inci Rates'!C:K,9,FALSE)</f>
        <v>6302</v>
      </c>
      <c r="K97" s="706">
        <f t="shared" si="69"/>
        <v>12293334.666666668</v>
      </c>
      <c r="L97" s="706">
        <f>VLOOKUP("*"&amp;$B97&amp;"*",'S4 - Summ PRS Characteristics'!$C$13:$Q$20,11,FALSE)*$J97</f>
        <v>4414.6491265637142</v>
      </c>
      <c r="M97" s="706">
        <f t="shared" si="70"/>
        <v>1887.3508734362858</v>
      </c>
      <c r="N97" s="706">
        <f>IF($C97="other",(1-$C$7)*L97,(1-(VLOOKUP($C97,'S3 - Screening Tool Metrics'!$C$3:$G$17,5,FALSE)/100))*L97)</f>
        <v>1196.3699132987661</v>
      </c>
      <c r="O97" s="706">
        <f>IF($C97="other",$C$7*L97,(VLOOKUP($C97,'S3 - Screening Tool Metrics'!$C$3:$G$17,5,FALSE)/100)*L97)</f>
        <v>3218.2792132649479</v>
      </c>
      <c r="P97" s="706">
        <f t="shared" si="71"/>
        <v>51.067585104172451</v>
      </c>
      <c r="Q97" s="707">
        <f t="shared" si="76"/>
        <v>4917333.8666666672</v>
      </c>
      <c r="R97" s="706">
        <f>VLOOKUP("*"&amp;$B97&amp;"*",'S4 - Summ PRS Characteristics'!$C$13:$Q$20,12,FALSE)*$J97</f>
        <v>2370.1882054982016</v>
      </c>
      <c r="S97" s="706">
        <f t="shared" si="84"/>
        <v>3931.8117945017984</v>
      </c>
      <c r="T97" s="706">
        <f>IF($C97="other",(1-$C88)*R97,(1-(VLOOKUP($C97,'S3 - Screening Tool Metrics'!$C$3:$G$17,5,FALSE)/100))*R97)</f>
        <v>642.32100369001239</v>
      </c>
      <c r="U97" s="706">
        <f>IF($C97="other",$C88*R97,(VLOOKUP($C97,'S3 - Screening Tool Metrics'!$C$3:$G$17,5,FALSE)/100)*R97)</f>
        <v>1727.8672018081891</v>
      </c>
      <c r="V97" s="708">
        <f t="shared" si="77"/>
        <v>27.417759470139462</v>
      </c>
      <c r="W97" s="707">
        <f t="shared" si="78"/>
        <v>2458666.9333333336</v>
      </c>
      <c r="X97" s="706">
        <f>VLOOKUP("*"&amp;$B97&amp;"*",'S4 - Summ PRS Characteristics'!$C$13:$Q$20,13,FALSE)*$J97</f>
        <v>1417.4725921900376</v>
      </c>
      <c r="Y97" s="706">
        <f t="shared" si="85"/>
        <v>4884.5274078099628</v>
      </c>
      <c r="Z97" s="706">
        <f>IF($C97="other",(1-$C88)*X97,(1-(VLOOKUP($C97,'S3 - Screening Tool Metrics'!$C$3:$G$17,5,FALSE)/100))*X97)</f>
        <v>384.13507248350004</v>
      </c>
      <c r="AA97" s="706">
        <f>IF($C97="other",$C88*X97,(VLOOKUP($C97,'S3 - Screening Tool Metrics'!$C$3:$G$17,5,FALSE)/100)*X97)</f>
        <v>1033.3375197065375</v>
      </c>
      <c r="AB97" s="708">
        <f t="shared" si="79"/>
        <v>16.396977462813989</v>
      </c>
      <c r="AC97" s="706">
        <f t="shared" si="80"/>
        <v>1229333.4666666668</v>
      </c>
      <c r="AD97" s="706">
        <f>VLOOKUP("*"&amp;$B97&amp;"*",'S4 - Summ PRS Characteristics'!$C$13:$Q$20,14,FALSE)*$J97</f>
        <v>829.19530723033176</v>
      </c>
      <c r="AE97" s="706">
        <f t="shared" si="87"/>
        <v>5472.8046927696687</v>
      </c>
      <c r="AF97" s="706">
        <f>IF($C97="other",(1-$C88)*AD97,(1-(VLOOKUP($C97,'S3 - Screening Tool Metrics'!$C$3:$G$17,5,FALSE)/100))*AD97)</f>
        <v>224.71192825941984</v>
      </c>
      <c r="AG97" s="706">
        <f>IF($C97="other",$C88*AD97,(VLOOKUP($C97,'S3 - Screening Tool Metrics'!$C$3:$G$17,5,FALSE)/100)*AD97)</f>
        <v>604.48337897091199</v>
      </c>
      <c r="AH97" s="708">
        <f t="shared" si="81"/>
        <v>9.5919292124867024</v>
      </c>
      <c r="AI97" s="707">
        <f t="shared" si="82"/>
        <v>245866.69333333336</v>
      </c>
      <c r="AJ97" s="706">
        <f>VLOOKUP("*"&amp;$B97&amp;"*",'S4 - Summ PRS Characteristics'!$C$13:$Q$20,15,FALSE)*$J97</f>
        <v>226.20213233325168</v>
      </c>
      <c r="AK97" s="706">
        <f t="shared" si="86"/>
        <v>6075.7978676667481</v>
      </c>
      <c r="AL97" s="706">
        <f>IF($C97="other",(1-$C88)*AJ97,(1-(VLOOKUP($C97,'S3 - Screening Tool Metrics'!$C$3:$G$17,5,FALSE)/100))*AJ97)</f>
        <v>61.300777862311186</v>
      </c>
      <c r="AM97" s="706">
        <f>IF($C97="other",$C88*AJ97,(VLOOKUP($C97,'S3 - Screening Tool Metrics'!$C$3:$G$17,5,FALSE)/100)*AJ97)</f>
        <v>164.9013544709405</v>
      </c>
      <c r="AN97" s="709">
        <f t="shared" si="83"/>
        <v>2.6166511340993415</v>
      </c>
    </row>
    <row r="98" spans="2:40" x14ac:dyDescent="0.15">
      <c r="B98" s="700" t="s">
        <v>14</v>
      </c>
      <c r="C98" s="721" t="str">
        <f>$C89</f>
        <v>USS</v>
      </c>
      <c r="D98" s="552" t="s">
        <v>201</v>
      </c>
      <c r="E98" s="710">
        <f>VLOOKUP($B98&amp;"_"&amp;$D98,'App5 - CRUK Inci Rates'!C:H,6,FALSE)</f>
        <v>14.135054044739473</v>
      </c>
      <c r="F98" s="711">
        <f>VLOOKUP($B98&amp;"_"&amp;$D98,'App5 - CRUK Inci Rates'!C:H,3,FALSE)</f>
        <v>6.4764131930257953</v>
      </c>
      <c r="G98" s="712">
        <f>VLOOKUP($B98&amp;"_"&amp;$D98,'App5 - CRUK Inci Rates'!C:J,8,FALSE)</f>
        <v>8642767.333333334</v>
      </c>
      <c r="H98" s="713">
        <f>VLOOKUP($B98&amp;"_"&amp;$D98,'App5 - CRUK Inci Rates'!C:J,7,FALSE)</f>
        <v>4273064.666666667</v>
      </c>
      <c r="I98" s="713">
        <f>VLOOKUP($B98&amp;"_"&amp;$D98,'App5 - CRUK Inci Rates'!C:J,4,FALSE)</f>
        <v>4369702.666666667</v>
      </c>
      <c r="J98" s="709">
        <f>VLOOKUP($B98&amp;"_"&amp;$D98,'App5 - CRUK Inci Rates'!C:K,9,FALSE)</f>
        <v>887</v>
      </c>
      <c r="K98" s="706">
        <f t="shared" si="69"/>
        <v>4321383.666666667</v>
      </c>
      <c r="L98" s="706">
        <f>VLOOKUP("*"&amp;$B98&amp;"*",'S4 - Summ PRS Characteristics'!$C$13:$Q$20,11,FALSE)*$J98</f>
        <v>621.35731121263325</v>
      </c>
      <c r="M98" s="706">
        <f t="shared" si="70"/>
        <v>265.64268878736675</v>
      </c>
      <c r="N98" s="706">
        <f>IF($C98="other",(1-$C$7)*L98,(1-(VLOOKUP($C98,'S3 - Screening Tool Metrics'!$C$3:$G$17,5,FALSE)/100))*L98)</f>
        <v>168.38783133862356</v>
      </c>
      <c r="O98" s="706">
        <f>IF($C98="other",$C$7*L98,(VLOOKUP($C98,'S3 - Screening Tool Metrics'!$C$3:$G$17,5,FALSE)/100)*L98)</f>
        <v>452.96947987400972</v>
      </c>
      <c r="P98" s="706">
        <f t="shared" si="71"/>
        <v>51.067585104172466</v>
      </c>
      <c r="Q98" s="707">
        <f t="shared" si="76"/>
        <v>1728553.4666666668</v>
      </c>
      <c r="R98" s="706">
        <f>VLOOKUP("*"&amp;$B98&amp;"*",'S4 - Summ PRS Characteristics'!$C$13:$Q$20,12,FALSE)*$J98</f>
        <v>333.60154526767764</v>
      </c>
      <c r="S98" s="706">
        <f t="shared" si="84"/>
        <v>553.39845473232231</v>
      </c>
      <c r="T98" s="706">
        <f>IF($C98="other",(1-$C88)*R98,(1-(VLOOKUP($C98,'S3 - Screening Tool Metrics'!$C$3:$G$17,5,FALSE)/100))*R98)</f>
        <v>90.406018767540615</v>
      </c>
      <c r="U98" s="706">
        <f>IF($C98="other",$C88*R98,(VLOOKUP($C98,'S3 - Screening Tool Metrics'!$C$3:$G$17,5,FALSE)/100)*R98)</f>
        <v>243.19552650013702</v>
      </c>
      <c r="V98" s="708">
        <f t="shared" si="77"/>
        <v>27.417759470139462</v>
      </c>
      <c r="W98" s="707">
        <f t="shared" si="78"/>
        <v>864276.7333333334</v>
      </c>
      <c r="X98" s="706">
        <f>VLOOKUP("*"&amp;$B98&amp;"*",'S4 - Summ PRS Characteristics'!$C$13:$Q$20,13,FALSE)*$J98</f>
        <v>199.5078053431551</v>
      </c>
      <c r="Y98" s="706">
        <f t="shared" si="85"/>
        <v>687.49219465684496</v>
      </c>
      <c r="Z98" s="706">
        <f>IF($C98="other",(1-$C88)*X98,(1-(VLOOKUP($C98,'S3 - Screening Tool Metrics'!$C$3:$G$17,5,FALSE)/100))*X98)</f>
        <v>54.06661524799501</v>
      </c>
      <c r="AA98" s="706">
        <f>IF($C98="other",$C88*X98,(VLOOKUP($C98,'S3 - Screening Tool Metrics'!$C$3:$G$17,5,FALSE)/100)*X98)</f>
        <v>145.4411900951601</v>
      </c>
      <c r="AB98" s="708">
        <f t="shared" si="79"/>
        <v>16.396977462813993</v>
      </c>
      <c r="AC98" s="706">
        <f t="shared" si="80"/>
        <v>432138.3666666667</v>
      </c>
      <c r="AD98" s="706">
        <f>VLOOKUP("*"&amp;$B98&amp;"*",'S4 - Summ PRS Characteristics'!$C$13:$Q$20,14,FALSE)*$J98</f>
        <v>116.70838424520855</v>
      </c>
      <c r="AE98" s="706">
        <f t="shared" si="87"/>
        <v>770.29161575479145</v>
      </c>
      <c r="AF98" s="706">
        <f>IF($C98="other",(1-$C88)*AD98,(1-(VLOOKUP($C98,'S3 - Screening Tool Metrics'!$C$3:$G$17,5,FALSE)/100))*AD98)</f>
        <v>31.627972130451507</v>
      </c>
      <c r="AG98" s="706">
        <f>IF($C98="other",$C88*AD98,(VLOOKUP($C98,'S3 - Screening Tool Metrics'!$C$3:$G$17,5,FALSE)/100)*AD98)</f>
        <v>85.080412114757038</v>
      </c>
      <c r="AH98" s="708">
        <f t="shared" si="81"/>
        <v>9.5919292124867006</v>
      </c>
      <c r="AI98" s="707">
        <f t="shared" si="82"/>
        <v>86427.67333333334</v>
      </c>
      <c r="AJ98" s="706">
        <f>VLOOKUP("*"&amp;$B98&amp;"*",'S4 - Summ PRS Characteristics'!$C$13:$Q$20,15,FALSE)*$J98</f>
        <v>31.837716816819142</v>
      </c>
      <c r="AK98" s="706">
        <f t="shared" si="86"/>
        <v>855.16228318318088</v>
      </c>
      <c r="AL98" s="706">
        <f>IF($C98="other",(1-$C88)*AJ98,(1-(VLOOKUP($C98,'S3 - Screening Tool Metrics'!$C$3:$G$17,5,FALSE)/100))*AJ98)</f>
        <v>8.6280212573579842</v>
      </c>
      <c r="AM98" s="706">
        <f>IF($C98="other",$C88*AJ98,(VLOOKUP($C98,'S3 - Screening Tool Metrics'!$C$3:$G$17,5,FALSE)/100)*AJ98)</f>
        <v>23.209695559461156</v>
      </c>
      <c r="AN98" s="709">
        <f t="shared" si="83"/>
        <v>2.616651134099341</v>
      </c>
    </row>
    <row r="99" spans="2:40" x14ac:dyDescent="0.15">
      <c r="B99" s="700" t="s">
        <v>14</v>
      </c>
      <c r="C99" s="721" t="str">
        <f>$C89</f>
        <v>USS</v>
      </c>
      <c r="D99" s="552" t="s">
        <v>202</v>
      </c>
      <c r="E99" s="710">
        <f>VLOOKUP($B99&amp;"_"&amp;$D99,'App5 - CRUK Inci Rates'!C:H,6,FALSE)</f>
        <v>31.661908068880759</v>
      </c>
      <c r="F99" s="711">
        <f>VLOOKUP($B99&amp;"_"&amp;$D99,'App5 - CRUK Inci Rates'!C:H,3,FALSE)</f>
        <v>15.520729391028421</v>
      </c>
      <c r="G99" s="712">
        <f>VLOOKUP($B99&amp;"_"&amp;$D99,'App5 - CRUK Inci Rates'!C:J,8,FALSE)</f>
        <v>8839716.6666666679</v>
      </c>
      <c r="H99" s="713">
        <f>VLOOKUP($B99&amp;"_"&amp;$D99,'App5 - CRUK Inci Rates'!C:J,7,FALSE)</f>
        <v>4355391.333333333</v>
      </c>
      <c r="I99" s="713">
        <f>VLOOKUP($B99&amp;"_"&amp;$D99,'App5 - CRUK Inci Rates'!C:J,4,FALSE)</f>
        <v>4484325.333333334</v>
      </c>
      <c r="J99" s="709">
        <f>VLOOKUP($B99&amp;"_"&amp;$D99,'App5 - CRUK Inci Rates'!C:K,9,FALSE)</f>
        <v>2075</v>
      </c>
      <c r="K99" s="706">
        <f t="shared" si="69"/>
        <v>4419858.333333334</v>
      </c>
      <c r="L99" s="706">
        <f>VLOOKUP("*"&amp;$B99&amp;"*",'S4 - Summ PRS Characteristics'!$C$13:$Q$20,11,FALSE)*$J99</f>
        <v>1453.5698092065545</v>
      </c>
      <c r="M99" s="706">
        <f t="shared" si="70"/>
        <v>621.43019079344549</v>
      </c>
      <c r="N99" s="706">
        <f>IF($C99="other",(1-$C$7)*L99,(1-(VLOOKUP($C99,'S3 - Screening Tool Metrics'!$C$3:$G$17,5,FALSE)/100))*L99)</f>
        <v>393.91741829497613</v>
      </c>
      <c r="O99" s="706">
        <f>IF($C99="other",$C$7*L99,(VLOOKUP($C99,'S3 - Screening Tool Metrics'!$C$3:$G$17,5,FALSE)/100)*L99)</f>
        <v>1059.6523909115783</v>
      </c>
      <c r="P99" s="706">
        <f t="shared" si="71"/>
        <v>51.067585104172451</v>
      </c>
      <c r="Q99" s="707">
        <f t="shared" si="76"/>
        <v>1767943.3333333337</v>
      </c>
      <c r="R99" s="706">
        <f>VLOOKUP("*"&amp;$B99&amp;"*",'S4 - Summ PRS Characteristics'!$C$13:$Q$20,12,FALSE)*$J99</f>
        <v>780.40947737365411</v>
      </c>
      <c r="S99" s="706">
        <f t="shared" si="84"/>
        <v>1294.5905226263458</v>
      </c>
      <c r="T99" s="706">
        <f>IF($C99="other",(1-$C88)*R99,(1-(VLOOKUP($C99,'S3 - Screening Tool Metrics'!$C$3:$G$17,5,FALSE)/100))*R99)</f>
        <v>211.49096836826018</v>
      </c>
      <c r="U99" s="706">
        <f>IF($C99="other",$C88*R99,(VLOOKUP($C99,'S3 - Screening Tool Metrics'!$C$3:$G$17,5,FALSE)/100)*R99)</f>
        <v>568.91850900539396</v>
      </c>
      <c r="V99" s="708">
        <f t="shared" si="77"/>
        <v>27.417759470139469</v>
      </c>
      <c r="W99" s="707">
        <f t="shared" si="78"/>
        <v>883971.66666666686</v>
      </c>
      <c r="X99" s="706">
        <f>VLOOKUP("*"&amp;$B99&amp;"*",'S4 - Summ PRS Characteristics'!$C$13:$Q$20,13,FALSE)*$J99</f>
        <v>466.71780844086453</v>
      </c>
      <c r="Y99" s="706">
        <f t="shared" si="85"/>
        <v>1608.2821915591355</v>
      </c>
      <c r="Z99" s="706">
        <f>IF($C99="other",(1-$C88)*X99,(1-(VLOOKUP($C99,'S3 - Screening Tool Metrics'!$C$3:$G$17,5,FALSE)/100))*X99)</f>
        <v>126.48052608747425</v>
      </c>
      <c r="AA99" s="706">
        <f>IF($C99="other",$C88*X99,(VLOOKUP($C99,'S3 - Screening Tool Metrics'!$C$3:$G$17,5,FALSE)/100)*X99)</f>
        <v>340.2372823533903</v>
      </c>
      <c r="AB99" s="708">
        <f t="shared" si="79"/>
        <v>16.396977462813993</v>
      </c>
      <c r="AC99" s="706">
        <f t="shared" si="80"/>
        <v>441985.83333333343</v>
      </c>
      <c r="AD99" s="706">
        <f>VLOOKUP("*"&amp;$B99&amp;"*",'S4 - Summ PRS Characteristics'!$C$13:$Q$20,14,FALSE)*$J99</f>
        <v>273.02130474499182</v>
      </c>
      <c r="AE99" s="706">
        <f t="shared" si="87"/>
        <v>1801.9786952550082</v>
      </c>
      <c r="AF99" s="706">
        <f>IF($C99="other",(1-$C88)*AD99,(1-(VLOOKUP($C99,'S3 - Screening Tool Metrics'!$C$3:$G$17,5,FALSE)/100))*AD99)</f>
        <v>73.988773585892758</v>
      </c>
      <c r="AG99" s="706">
        <f>IF($C99="other",$C88*AD99,(VLOOKUP($C99,'S3 - Screening Tool Metrics'!$C$3:$G$17,5,FALSE)/100)*AD99)</f>
        <v>199.03253115909905</v>
      </c>
      <c r="AH99" s="708">
        <f t="shared" si="81"/>
        <v>9.5919292124867006</v>
      </c>
      <c r="AI99" s="707">
        <f t="shared" si="82"/>
        <v>88397.166666666686</v>
      </c>
      <c r="AJ99" s="706">
        <f>VLOOKUP("*"&amp;$B99&amp;"*",'S4 - Summ PRS Characteristics'!$C$13:$Q$20,15,FALSE)*$J99</f>
        <v>74.479439002141731</v>
      </c>
      <c r="AK99" s="706">
        <f t="shared" si="86"/>
        <v>2000.5205609978582</v>
      </c>
      <c r="AL99" s="706">
        <f>IF($C99="other",(1-$C88)*AJ99,(1-(VLOOKUP($C99,'S3 - Screening Tool Metrics'!$C$3:$G$17,5,FALSE)/100))*AJ99)</f>
        <v>20.183927969580402</v>
      </c>
      <c r="AM99" s="706">
        <f>IF($C99="other",$C88*AJ99,(VLOOKUP($C99,'S3 - Screening Tool Metrics'!$C$3:$G$17,5,FALSE)/100)*AJ99)</f>
        <v>54.295511032561329</v>
      </c>
      <c r="AN99" s="709">
        <f t="shared" si="83"/>
        <v>2.616651134099341</v>
      </c>
    </row>
    <row r="100" spans="2:40" x14ac:dyDescent="0.15">
      <c r="B100" s="700" t="s">
        <v>14</v>
      </c>
      <c r="C100" s="721" t="str">
        <f>$C89</f>
        <v>USS</v>
      </c>
      <c r="D100" s="552" t="s">
        <v>203</v>
      </c>
      <c r="E100" s="710">
        <f>VLOOKUP($B100&amp;"_"&amp;$D100,'App5 - CRUK Inci Rates'!C:H,6,FALSE)</f>
        <v>45.821959216665384</v>
      </c>
      <c r="F100" s="711">
        <f>VLOOKUP($B100&amp;"_"&amp;$D100,'App5 - CRUK Inci Rates'!C:H,3,FALSE)</f>
        <v>22.555310346140132</v>
      </c>
      <c r="G100" s="712">
        <f>VLOOKUP($B100&amp;"_"&amp;$D100,'App5 - CRUK Inci Rates'!C:J,8,FALSE)</f>
        <v>15943902</v>
      </c>
      <c r="H100" s="713">
        <f>VLOOKUP($B100&amp;"_"&amp;$D100,'App5 - CRUK Inci Rates'!C:J,7,FALSE)</f>
        <v>7817212.666666666</v>
      </c>
      <c r="I100" s="713">
        <f>VLOOKUP($B100&amp;"_"&amp;$D100,'App5 - CRUK Inci Rates'!C:J,4,FALSE)</f>
        <v>8126689.333333334</v>
      </c>
      <c r="J100" s="709">
        <f>VLOOKUP($B100&amp;"_"&amp;$D100,'App5 - CRUK Inci Rates'!C:K,9,FALSE)</f>
        <v>5415</v>
      </c>
      <c r="K100" s="706">
        <f t="shared" si="69"/>
        <v>7971951</v>
      </c>
      <c r="L100" s="706">
        <f>VLOOKUP("*"&amp;$B100&amp;"*",'S4 - Summ PRS Characteristics'!$C$13:$Q$20,11,FALSE)*$J100</f>
        <v>3793.2918153510809</v>
      </c>
      <c r="M100" s="706">
        <f t="shared" si="70"/>
        <v>1621.7081846489191</v>
      </c>
      <c r="N100" s="706">
        <f>IF($C100="other",(1-$C$7)*L100,(1-(VLOOKUP($C100,'S3 - Screening Tool Metrics'!$C$3:$G$17,5,FALSE)/100))*L100)</f>
        <v>1027.9820819601425</v>
      </c>
      <c r="O100" s="706">
        <f>IF($C100="other",$C$7*L100,(VLOOKUP($C100,'S3 - Screening Tool Metrics'!$C$3:$G$17,5,FALSE)/100)*L100)</f>
        <v>2765.3097333909382</v>
      </c>
      <c r="P100" s="706">
        <f t="shared" si="71"/>
        <v>51.067585104172451</v>
      </c>
      <c r="Q100" s="707">
        <f t="shared" si="76"/>
        <v>3188780.4000000004</v>
      </c>
      <c r="R100" s="706">
        <f>VLOOKUP("*"&amp;$B100&amp;"*",'S4 - Summ PRS Characteristics'!$C$13:$Q$20,12,FALSE)*$J100</f>
        <v>2036.5866602305236</v>
      </c>
      <c r="S100" s="706">
        <f t="shared" si="84"/>
        <v>3378.4133397694764</v>
      </c>
      <c r="T100" s="706">
        <f>IF($C100="other",(1-$C88)*R100,(1-(VLOOKUP($C100,'S3 - Screening Tool Metrics'!$C$3:$G$17,5,FALSE)/100))*R100)</f>
        <v>551.91498492247172</v>
      </c>
      <c r="U100" s="706">
        <f>IF($C100="other",$C88*R100,(VLOOKUP($C100,'S3 - Screening Tool Metrics'!$C$3:$G$17,5,FALSE)/100)*R100)</f>
        <v>1484.6716753080518</v>
      </c>
      <c r="V100" s="708">
        <f t="shared" si="77"/>
        <v>27.417759470139462</v>
      </c>
      <c r="W100" s="707">
        <f t="shared" si="78"/>
        <v>1594390.2000000002</v>
      </c>
      <c r="X100" s="706">
        <f>VLOOKUP("*"&amp;$B100&amp;"*",'S4 - Summ PRS Characteristics'!$C$13:$Q$20,13,FALSE)*$J100</f>
        <v>1217.9647868468826</v>
      </c>
      <c r="Y100" s="706">
        <f t="shared" si="85"/>
        <v>4197.0352131531172</v>
      </c>
      <c r="Z100" s="706">
        <f>IF($C100="other",(1-$C88)*X100,(1-(VLOOKUP($C100,'S3 - Screening Tool Metrics'!$C$3:$G$17,5,FALSE)/100))*X100)</f>
        <v>330.06845723550509</v>
      </c>
      <c r="AA100" s="706">
        <f>IF($C100="other",$C88*X100,(VLOOKUP($C100,'S3 - Screening Tool Metrics'!$C$3:$G$17,5,FALSE)/100)*X100)</f>
        <v>887.8963296113775</v>
      </c>
      <c r="AB100" s="708">
        <f t="shared" si="79"/>
        <v>16.396977462813989</v>
      </c>
      <c r="AC100" s="706">
        <f t="shared" si="80"/>
        <v>797195.10000000009</v>
      </c>
      <c r="AD100" s="706">
        <f>VLOOKUP("*"&amp;$B100&amp;"*",'S4 - Summ PRS Characteristics'!$C$13:$Q$20,14,FALSE)*$J100</f>
        <v>712.48692298512321</v>
      </c>
      <c r="AE100" s="706">
        <f t="shared" si="87"/>
        <v>4702.5130770148771</v>
      </c>
      <c r="AF100" s="706">
        <f>IF($C100="other",(1-$C88)*AD100,(1-(VLOOKUP($C100,'S3 - Screening Tool Metrics'!$C$3:$G$17,5,FALSE)/100))*AD100)</f>
        <v>193.08395612896834</v>
      </c>
      <c r="AG100" s="706">
        <f>IF($C100="other",$C88*AD100,(VLOOKUP($C100,'S3 - Screening Tool Metrics'!$C$3:$G$17,5,FALSE)/100)*AD100)</f>
        <v>519.40296685615488</v>
      </c>
      <c r="AH100" s="708">
        <f t="shared" si="81"/>
        <v>9.5919292124867006</v>
      </c>
      <c r="AI100" s="707">
        <f t="shared" si="82"/>
        <v>159439.01999999999</v>
      </c>
      <c r="AJ100" s="706">
        <f>VLOOKUP("*"&amp;$B100&amp;"*",'S4 - Summ PRS Characteristics'!$C$13:$Q$20,15,FALSE)*$J100</f>
        <v>194.36441551643253</v>
      </c>
      <c r="AK100" s="706">
        <f t="shared" si="86"/>
        <v>5220.6355844835671</v>
      </c>
      <c r="AL100" s="706">
        <f>IF($C100="other",(1-$C88)*AJ100,(1-(VLOOKUP($C100,'S3 - Screening Tool Metrics'!$C$3:$G$17,5,FALSE)/100))*AJ100)</f>
        <v>52.6727566049532</v>
      </c>
      <c r="AM100" s="706">
        <f>IF($C100="other",$C88*AJ100,(VLOOKUP($C100,'S3 - Screening Tool Metrics'!$C$3:$G$17,5,FALSE)/100)*AJ100)</f>
        <v>141.69165891147932</v>
      </c>
      <c r="AN100" s="709">
        <f t="shared" si="83"/>
        <v>2.616651134099341</v>
      </c>
    </row>
    <row r="101" spans="2:40" x14ac:dyDescent="0.15">
      <c r="B101" s="700" t="s">
        <v>14</v>
      </c>
      <c r="C101" s="721" t="str">
        <f>$C90</f>
        <v>USS</v>
      </c>
      <c r="D101" s="552" t="s">
        <v>292</v>
      </c>
      <c r="E101" s="710">
        <f>VLOOKUP($B101&amp;"_"&amp;$D101,'App5 - CRUK Inci Rates'!C:H,6,FALSE)</f>
        <v>71.848955725532122</v>
      </c>
      <c r="F101" s="711">
        <f>VLOOKUP($B101&amp;"_"&amp;$D101,'App5 - CRUK Inci Rates'!C:H,3,FALSE)</f>
        <v>35.474825423256348</v>
      </c>
      <c r="G101" s="712">
        <f>VLOOKUP($B101&amp;"_"&amp;$D101,'App5 - CRUK Inci Rates'!C:J,8,FALSE)</f>
        <v>8881256.9603638444</v>
      </c>
      <c r="H101" s="713">
        <f>VLOOKUP($B101&amp;"_"&amp;$D101,'App5 - CRUK Inci Rates'!C:J,7,FALSE)</f>
        <v>4929786.333333333</v>
      </c>
      <c r="I101" s="713">
        <f>VLOOKUP($B101&amp;"_"&amp;$D101,'App5 - CRUK Inci Rates'!C:J,4,FALSE)</f>
        <v>5245973.666666667</v>
      </c>
      <c r="J101" s="709">
        <f>VLOOKUP($B101&amp;"_"&amp;$D101,'App5 - CRUK Inci Rates'!C:K,9,FALSE)</f>
        <v>5403</v>
      </c>
      <c r="K101" s="706">
        <f t="shared" si="69"/>
        <v>4440628.4801819222</v>
      </c>
      <c r="L101" s="706">
        <f>VLOOKUP("*"&amp;$B101&amp;"*",'S4 - Summ PRS Characteristics'!$C$13:$Q$20,11,FALSE)*$J101</f>
        <v>3784.8856285026577</v>
      </c>
      <c r="M101" s="706">
        <f t="shared" si="70"/>
        <v>1618.1143714973423</v>
      </c>
      <c r="N101" s="706">
        <f>IF($C101="other",(1-$C$7)*L101,(1-(VLOOKUP($C101,'S3 - Screening Tool Metrics'!$C$3:$G$17,5,FALSE)/100))*L101)</f>
        <v>1025.7040053242199</v>
      </c>
      <c r="O101" s="706">
        <f>IF($C101="other",$C$7*L101,(VLOOKUP($C101,'S3 - Screening Tool Metrics'!$C$3:$G$17,5,FALSE)/100)*L101)</f>
        <v>2759.1816231784378</v>
      </c>
      <c r="P101" s="706">
        <f t="shared" si="71"/>
        <v>51.067585104172451</v>
      </c>
      <c r="Q101" s="707">
        <f t="shared" si="76"/>
        <v>1776251.3920727689</v>
      </c>
      <c r="R101" s="706">
        <f>VLOOKUP("*"&amp;$B101&amp;"*",'S4 - Summ PRS Characteristics'!$C$13:$Q$20,12,FALSE)*$J101</f>
        <v>2032.0734487951099</v>
      </c>
      <c r="S101" s="706">
        <f>$J101-R101</f>
        <v>3370.9265512048901</v>
      </c>
      <c r="T101" s="706">
        <f>IF($C101="other",(1-$C88)*R101,(1-(VLOOKUP($C101,'S3 - Screening Tool Metrics'!$C$3:$G$17,5,FALSE)/100))*R101)</f>
        <v>550.69190462347456</v>
      </c>
      <c r="U101" s="706">
        <f>IF($C101="other",$C88*R101,(VLOOKUP($C101,'S3 - Screening Tool Metrics'!$C$3:$G$17,5,FALSE)/100)*R101)</f>
        <v>1481.3815441716354</v>
      </c>
      <c r="V101" s="708">
        <f t="shared" si="77"/>
        <v>27.417759470139469</v>
      </c>
      <c r="W101" s="707">
        <f t="shared" si="78"/>
        <v>888125.69603638444</v>
      </c>
      <c r="X101" s="706">
        <f>VLOOKUP("*"&amp;$B101&amp;"*",'S4 - Summ PRS Characteristics'!$C$13:$Q$20,13,FALSE)*$J101</f>
        <v>1215.2656959065016</v>
      </c>
      <c r="Y101" s="706">
        <f t="shared" si="85"/>
        <v>4187.7343040934984</v>
      </c>
      <c r="Z101" s="706">
        <f>IF($C101="other",(1-$C88)*X101,(1-(VLOOKUP($C101,'S3 - Screening Tool Metrics'!$C$3:$G$17,5,FALSE)/100))*X101)</f>
        <v>329.33700359066182</v>
      </c>
      <c r="AA101" s="706">
        <f>IF($C101="other",$C88*X101,(VLOOKUP($C101,'S3 - Screening Tool Metrics'!$C$3:$G$17,5,FALSE)/100)*X101)</f>
        <v>885.92869231583973</v>
      </c>
      <c r="AB101" s="708">
        <f t="shared" si="79"/>
        <v>16.396977462813986</v>
      </c>
      <c r="AC101" s="706">
        <f t="shared" si="80"/>
        <v>444062.84801819222</v>
      </c>
      <c r="AD101" s="706">
        <f>VLOOKUP("*"&amp;$B101&amp;"*",'S4 - Summ PRS Characteristics'!$C$13:$Q$20,14,FALSE)*$J101</f>
        <v>710.90800459623654</v>
      </c>
      <c r="AE101" s="706">
        <f t="shared" si="87"/>
        <v>4692.0919954037636</v>
      </c>
      <c r="AF101" s="706">
        <f>IF($C101="other",(1-$C88)*AD101,(1-(VLOOKUP($C101,'S3 - Screening Tool Metrics'!$C$3:$G$17,5,FALSE)/100))*AD101)</f>
        <v>192.65606924558003</v>
      </c>
      <c r="AG101" s="706">
        <f>IF($C101="other",$C88*AD101,(VLOOKUP($C101,'S3 - Screening Tool Metrics'!$C$3:$G$17,5,FALSE)/100)*AD101)</f>
        <v>518.25193535065648</v>
      </c>
      <c r="AH101" s="708">
        <f t="shared" si="81"/>
        <v>9.5919292124867006</v>
      </c>
      <c r="AI101" s="707">
        <f t="shared" si="82"/>
        <v>88812.569603638447</v>
      </c>
      <c r="AJ101" s="706">
        <f>VLOOKUP("*"&amp;$B101&amp;"*",'S4 - Summ PRS Characteristics'!$C$13:$Q$20,15,FALSE)*$J101</f>
        <v>193.93369104991413</v>
      </c>
      <c r="AK101" s="706">
        <f t="shared" si="86"/>
        <v>5209.0663089500858</v>
      </c>
      <c r="AL101" s="706">
        <f>IF($C101="other",(1-$C88)*AJ101,(1-(VLOOKUP($C101,'S3 - Screening Tool Metrics'!$C$3:$G$17,5,FALSE)/100))*AJ101)</f>
        <v>52.556030274526712</v>
      </c>
      <c r="AM101" s="706">
        <f>IF($C101="other",$C88*AJ101,(VLOOKUP($C101,'S3 - Screening Tool Metrics'!$C$3:$G$17,5,FALSE)/100)*AJ101)</f>
        <v>141.37766077538743</v>
      </c>
      <c r="AN101" s="709">
        <f t="shared" si="83"/>
        <v>2.6166511340993419</v>
      </c>
    </row>
    <row r="102" spans="2:40" x14ac:dyDescent="0.15">
      <c r="B102" s="700" t="s">
        <v>14</v>
      </c>
      <c r="C102" s="721" t="str">
        <f>$C89</f>
        <v>USS</v>
      </c>
      <c r="D102" s="552" t="s">
        <v>204</v>
      </c>
      <c r="E102" s="710">
        <f>VLOOKUP($B102&amp;"_"&amp;$D102,'App5 - CRUK Inci Rates'!C:H,6,FALSE)</f>
        <v>45.545645274943674</v>
      </c>
      <c r="F102" s="711">
        <f>VLOOKUP($B102&amp;"_"&amp;$D102,'App5 - CRUK Inci Rates'!C:H,3,FALSE)</f>
        <v>23.007991219794569</v>
      </c>
      <c r="G102" s="712">
        <f>VLOOKUP($B102&amp;"_"&amp;$D102,'App5 - CRUK Inci Rates'!C:J,8,FALSE)</f>
        <v>29847254.666666668</v>
      </c>
      <c r="H102" s="713">
        <f>VLOOKUP($B102&amp;"_"&amp;$D102,'App5 - CRUK Inci Rates'!C:J,7,FALSE)</f>
        <v>14565607.666666668</v>
      </c>
      <c r="I102" s="713">
        <f>VLOOKUP($B102&amp;"_"&amp;$D102,'App5 - CRUK Inci Rates'!C:J,4,FALSE)</f>
        <v>15281647</v>
      </c>
      <c r="J102" s="709">
        <f>VLOOKUP($B102&amp;"_"&amp;$D102,'App5 - CRUK Inci Rates'!C:K,9,FALSE)</f>
        <v>10150</v>
      </c>
      <c r="K102" s="706">
        <f t="shared" si="69"/>
        <v>14923627.333333334</v>
      </c>
      <c r="L102" s="706">
        <f>VLOOKUP("*"&amp;$B102&amp;"*",'S4 - Summ PRS Characteristics'!$C$13:$Q$20,11,FALSE)*$J102</f>
        <v>7110.2330426248336</v>
      </c>
      <c r="M102" s="706">
        <f t="shared" si="70"/>
        <v>3039.7669573751664</v>
      </c>
      <c r="N102" s="706">
        <f>IF($C102="other",(1-$C$7)*L102,(1-(VLOOKUP($C102,'S3 - Screening Tool Metrics'!$C$3:$G$17,5,FALSE)/100))*L102)</f>
        <v>1926.8731545513292</v>
      </c>
      <c r="O102" s="706">
        <f>IF($C102="other",$C$7*L102,(VLOOKUP($C102,'S3 - Screening Tool Metrics'!$C$3:$G$17,5,FALSE)/100)*L102)</f>
        <v>5183.3598880735044</v>
      </c>
      <c r="P102" s="706">
        <f t="shared" si="71"/>
        <v>51.067585104172451</v>
      </c>
      <c r="Q102" s="707">
        <f t="shared" si="76"/>
        <v>5969450.9333333336</v>
      </c>
      <c r="R102" s="706">
        <f>VLOOKUP("*"&amp;$B102&amp;"*",'S4 - Summ PRS Characteristics'!$C$13:$Q$20,12,FALSE)*$J102</f>
        <v>3817.4246724542595</v>
      </c>
      <c r="S102" s="706">
        <f t="shared" si="84"/>
        <v>6332.5753275457409</v>
      </c>
      <c r="T102" s="706">
        <f>IF($C102="other",(1-$C88)*R102,(1-(VLOOKUP($C102,'S3 - Screening Tool Metrics'!$C$3:$G$17,5,FALSE)/100))*R102)</f>
        <v>1034.5220862351039</v>
      </c>
      <c r="U102" s="706">
        <f>IF($C102="other",$C88*R102,(VLOOKUP($C102,'S3 - Screening Tool Metrics'!$C$3:$G$17,5,FALSE)/100)*R102)</f>
        <v>2782.9025862191556</v>
      </c>
      <c r="V102" s="708">
        <f t="shared" si="77"/>
        <v>27.417759470139462</v>
      </c>
      <c r="W102" s="707">
        <f t="shared" si="78"/>
        <v>2984725.4666666668</v>
      </c>
      <c r="X102" s="706">
        <f>VLOOKUP("*"&amp;$B102&amp;"*",'S4 - Summ PRS Characteristics'!$C$13:$Q$20,13,FALSE)*$J102</f>
        <v>2282.9810870721808</v>
      </c>
      <c r="Y102" s="706">
        <f t="shared" si="85"/>
        <v>7867.0189129278187</v>
      </c>
      <c r="Z102" s="706">
        <f>IF($C102="other",(1-$C88)*X102,(1-(VLOOKUP($C102,'S3 - Screening Tool Metrics'!$C$3:$G$17,5,FALSE)/100))*X102)</f>
        <v>618.68787459656073</v>
      </c>
      <c r="AA102" s="706">
        <f>IF($C102="other",$C88*X102,(VLOOKUP($C102,'S3 - Screening Tool Metrics'!$C$3:$G$17,5,FALSE)/100)*X102)</f>
        <v>1664.2932124756201</v>
      </c>
      <c r="AB102" s="708">
        <f t="shared" si="79"/>
        <v>16.396977462813993</v>
      </c>
      <c r="AC102" s="706">
        <f t="shared" si="80"/>
        <v>1492362.7333333334</v>
      </c>
      <c r="AD102" s="706">
        <f>VLOOKUP("*"&amp;$B102&amp;"*",'S4 - Summ PRS Characteristics'!$C$13:$Q$20,14,FALSE)*$J102</f>
        <v>1335.5018039333336</v>
      </c>
      <c r="AE102" s="706">
        <f t="shared" si="87"/>
        <v>8814.4981960666664</v>
      </c>
      <c r="AF102" s="706">
        <f>IF($C102="other",(1-$C88)*AD102,(1-(VLOOKUP($C102,'S3 - Screening Tool Metrics'!$C$3:$G$17,5,FALSE)/100))*AD102)</f>
        <v>361.92098886593328</v>
      </c>
      <c r="AG102" s="706">
        <f>IF($C102="other",$C88*AD102,(VLOOKUP($C102,'S3 - Screening Tool Metrics'!$C$3:$G$17,5,FALSE)/100)*AD102)</f>
        <v>973.58081506740029</v>
      </c>
      <c r="AH102" s="708">
        <f t="shared" si="81"/>
        <v>9.5919292124867024</v>
      </c>
      <c r="AI102" s="707">
        <f t="shared" si="82"/>
        <v>298472.54666666669</v>
      </c>
      <c r="AJ102" s="706">
        <f>VLOOKUP("*"&amp;$B102&amp;"*",'S4 - Summ PRS Characteristics'!$C$13:$Q$20,15,FALSE)*$J102</f>
        <v>364.32111126348849</v>
      </c>
      <c r="AK102" s="706">
        <f t="shared" si="86"/>
        <v>9785.678888736511</v>
      </c>
      <c r="AL102" s="706">
        <f>IF($C102="other",(1-$C88)*AJ102,(1-(VLOOKUP($C102,'S3 - Screening Tool Metrics'!$C$3:$G$17,5,FALSE)/100))*AJ102)</f>
        <v>98.731021152405347</v>
      </c>
      <c r="AM102" s="706">
        <f>IF($C102="other",$C88*AJ102,(VLOOKUP($C102,'S3 - Screening Tool Metrics'!$C$3:$G$17,5,FALSE)/100)*AJ102)</f>
        <v>265.59009011108316</v>
      </c>
      <c r="AN102" s="709">
        <f t="shared" si="83"/>
        <v>2.6166511340993415</v>
      </c>
    </row>
    <row r="103" spans="2:40" ht="14" thickBot="1" x14ac:dyDescent="0.2">
      <c r="B103" s="700" t="s">
        <v>14</v>
      </c>
      <c r="C103" s="721" t="str">
        <f>$C90</f>
        <v>USS</v>
      </c>
      <c r="D103" s="552" t="s">
        <v>205</v>
      </c>
      <c r="E103" s="710">
        <f>VLOOKUP($B103&amp;"_"&amp;$D103,'App5 - CRUK Inci Rates'!C:H,6,FALSE)</f>
        <v>29.2</v>
      </c>
      <c r="F103" s="711">
        <f>VLOOKUP($B103&amp;"_"&amp;$D103,'App5 - CRUK Inci Rates'!C:H,3,FALSE)</f>
        <v>14.8</v>
      </c>
      <c r="G103" s="712">
        <f>VLOOKUP($B103&amp;"_"&amp;$D103,'App5 - CRUK Inci Rates'!C:J,8,FALSE)</f>
        <v>66041277.666666664</v>
      </c>
      <c r="H103" s="713">
        <f>VLOOKUP($B103&amp;"_"&amp;$D103,'App5 - CRUK Inci Rates'!C:J,7,FALSE)</f>
        <v>32583225.666666668</v>
      </c>
      <c r="I103" s="713">
        <f>VLOOKUP($B103&amp;"_"&amp;$D103,'App5 - CRUK Inci Rates'!C:J,4,FALSE)</f>
        <v>33458051.999999996</v>
      </c>
      <c r="J103" s="709">
        <f>VLOOKUP($B103&amp;"_"&amp;$D103,'App5 - CRUK Inci Rates'!C:K,9,FALSE)</f>
        <v>13323</v>
      </c>
      <c r="K103" s="716"/>
      <c r="L103" s="716"/>
      <c r="M103" s="716"/>
      <c r="N103" s="716"/>
      <c r="O103" s="716"/>
      <c r="P103" s="716"/>
      <c r="Q103" s="715"/>
      <c r="R103" s="716"/>
      <c r="S103" s="716"/>
      <c r="T103" s="716"/>
      <c r="U103" s="716"/>
      <c r="V103" s="717"/>
      <c r="W103" s="715"/>
      <c r="X103" s="716"/>
      <c r="Y103" s="716"/>
      <c r="Z103" s="716"/>
      <c r="AA103" s="716"/>
      <c r="AB103" s="717"/>
      <c r="AC103" s="716"/>
      <c r="AD103" s="716"/>
      <c r="AE103" s="716"/>
      <c r="AF103" s="716"/>
      <c r="AG103" s="716"/>
      <c r="AH103" s="717"/>
      <c r="AI103" s="715"/>
      <c r="AJ103" s="716"/>
      <c r="AK103" s="716"/>
      <c r="AL103" s="716"/>
      <c r="AM103" s="716"/>
      <c r="AN103" s="718"/>
    </row>
    <row r="104" spans="2:40" ht="21" hidden="1" customHeight="1" x14ac:dyDescent="0.15">
      <c r="B104" s="686" t="s">
        <v>15</v>
      </c>
      <c r="C104" s="687">
        <v>0.7</v>
      </c>
      <c r="D104" s="688"/>
      <c r="E104" s="689"/>
      <c r="F104" s="690"/>
      <c r="G104" s="691"/>
      <c r="H104" s="692"/>
      <c r="I104" s="692"/>
      <c r="J104" s="693"/>
      <c r="K104" s="694"/>
      <c r="L104" s="694"/>
      <c r="M104" s="694"/>
      <c r="N104" s="694"/>
      <c r="O104" s="694"/>
      <c r="P104" s="694"/>
      <c r="Q104" s="695"/>
      <c r="R104" s="696"/>
      <c r="S104" s="696"/>
      <c r="T104" s="696"/>
      <c r="U104" s="696"/>
      <c r="V104" s="697"/>
      <c r="W104" s="695"/>
      <c r="X104" s="696"/>
      <c r="Y104" s="696"/>
      <c r="Z104" s="696"/>
      <c r="AA104" s="696"/>
      <c r="AB104" s="697"/>
      <c r="AC104" s="696"/>
      <c r="AD104" s="696" t="e">
        <f>VLOOKUP("*"&amp;$B104&amp;"*",'S4 - Summ PRS Characteristics'!$C$13:$Q$20,14,FALSE)*$J104</f>
        <v>#N/A</v>
      </c>
      <c r="AE104" s="696"/>
      <c r="AF104" s="696"/>
      <c r="AG104" s="696"/>
      <c r="AH104" s="697"/>
      <c r="AI104" s="695"/>
      <c r="AJ104" s="696" t="e">
        <f>VLOOKUP("*"&amp;$B104&amp;"*",'S4 - Summ PRS Characteristics'!$C$13:$Q$20,15,FALSE)*$J104</f>
        <v>#N/A</v>
      </c>
      <c r="AK104" s="696"/>
      <c r="AL104" s="696"/>
      <c r="AM104" s="696"/>
      <c r="AN104" s="699"/>
    </row>
    <row r="105" spans="2:40" ht="14" hidden="1" thickBot="1" x14ac:dyDescent="0.2">
      <c r="B105" s="700" t="s">
        <v>15</v>
      </c>
      <c r="C105" s="741" t="s">
        <v>180</v>
      </c>
      <c r="D105" s="593" t="s">
        <v>192</v>
      </c>
      <c r="E105" s="701">
        <f>VLOOKUP($B105&amp;"_"&amp;$D105,'App5 - CRUK Inci Rates'!C:H,6,FALSE)</f>
        <v>1.3</v>
      </c>
      <c r="F105" s="702">
        <f>VLOOKUP($B105&amp;"_"&amp;$D105,'App5 - CRUK Inci Rates'!C:H,3,FALSE)</f>
        <v>0.6</v>
      </c>
      <c r="G105" s="703">
        <f>VLOOKUP($B105&amp;"_"&amp;$D105,'App5 - CRUK Inci Rates'!C:J,8,FALSE)</f>
        <v>4075608</v>
      </c>
      <c r="H105" s="704">
        <f>VLOOKUP($B105&amp;"_"&amp;$D105,'App5 - CRUK Inci Rates'!C:J,7,FALSE)</f>
        <v>2021384.6666666667</v>
      </c>
      <c r="I105" s="704">
        <f>VLOOKUP($B105&amp;"_"&amp;$D105,'App5 - CRUK Inci Rates'!C:J,4,FALSE)</f>
        <v>2054223.3333333333</v>
      </c>
      <c r="J105" s="705">
        <f>VLOOKUP($B105&amp;"_"&amp;$D105,'App5 - CRUK Inci Rates'!C:K,9,FALSE)</f>
        <v>39</v>
      </c>
      <c r="K105" s="706"/>
      <c r="L105" s="706"/>
      <c r="M105" s="706"/>
      <c r="N105" s="706"/>
      <c r="O105" s="706"/>
      <c r="P105" s="706"/>
      <c r="Q105" s="707">
        <f t="shared" ref="Q105:Q118" si="88">$G105*Q$3</f>
        <v>815121.60000000009</v>
      </c>
      <c r="S105" s="706">
        <f>$J105-R105</f>
        <v>39</v>
      </c>
      <c r="T105" s="706">
        <f>IF($C105="other",(1-$C104)*R105,(1-(VLOOKUP($C105,'S3 - Screening Tool Metrics'!$C$3:$G$17,5,FALSE)/100))*R105)</f>
        <v>0</v>
      </c>
      <c r="U105" s="706">
        <f>IF($C105="other",$C104*R105,(VLOOKUP($C105,'S3 - Screening Tool Metrics'!$C$3:$G$17,5,FALSE)/100)*R105)</f>
        <v>0</v>
      </c>
      <c r="V105" s="708">
        <f t="shared" ref="V105:V118" si="89">U105/J105*100</f>
        <v>0</v>
      </c>
      <c r="W105" s="707">
        <f t="shared" ref="W105:W118" si="90">$G105*W$3</f>
        <v>407560.80000000005</v>
      </c>
      <c r="X105" s="706"/>
      <c r="Y105" s="706">
        <f>$J105-X105</f>
        <v>39</v>
      </c>
      <c r="Z105" s="706">
        <f>IF($C105="other",(1-$C104)*X105,(1-(VLOOKUP($C105,'S3 - Screening Tool Metrics'!$C$3:$G$17,5,FALSE)/100))*X105)</f>
        <v>0</v>
      </c>
      <c r="AA105" s="706">
        <f>IF($C105="other",$C104*X105,(VLOOKUP($C105,'S3 - Screening Tool Metrics'!$C$3:$G$17,5,FALSE)/100)*X105)</f>
        <v>0</v>
      </c>
      <c r="AB105" s="708">
        <f t="shared" ref="AB105:AB118" si="91">$AA105/$J105*100</f>
        <v>0</v>
      </c>
      <c r="AC105" s="706">
        <f t="shared" ref="AC105:AC118" si="92">$G105*AC$3</f>
        <v>203780.40000000002</v>
      </c>
      <c r="AD105" s="706" t="e">
        <f>VLOOKUP("*"&amp;$B105&amp;"*",'S4 - Summ PRS Characteristics'!$C$13:$Q$20,14,FALSE)*$J105</f>
        <v>#N/A</v>
      </c>
      <c r="AE105" s="706" t="e">
        <f>$J105-AD105</f>
        <v>#N/A</v>
      </c>
      <c r="AF105" s="706" t="e">
        <f>IF($C105="other",(1-$C104)*AD105,(1-(VLOOKUP($C105,'S3 - Screening Tool Metrics'!$C$3:$G$17,5,FALSE)/100))*AD105)</f>
        <v>#N/A</v>
      </c>
      <c r="AG105" s="706" t="e">
        <f>IF($C105="other",$C104*AD105,(VLOOKUP($C105,'S3 - Screening Tool Metrics'!$C$3:$G$17,5,FALSE)/100)*AD105)</f>
        <v>#N/A</v>
      </c>
      <c r="AH105" s="708" t="e">
        <f t="shared" ref="AH105:AH118" si="93">$AG105/$J105*100</f>
        <v>#N/A</v>
      </c>
      <c r="AI105" s="707">
        <f t="shared" ref="AI105:AI118" si="94">$G105*AI$3</f>
        <v>40756.080000000002</v>
      </c>
      <c r="AJ105" s="706" t="e">
        <f>VLOOKUP("*"&amp;$B105&amp;"*",'S4 - Summ PRS Characteristics'!$C$13:$Q$20,15,FALSE)*$J105</f>
        <v>#N/A</v>
      </c>
      <c r="AK105" s="706" t="e">
        <f>$J105-AJ105</f>
        <v>#N/A</v>
      </c>
      <c r="AL105" s="706" t="e">
        <f>IF($C105="other",(1-$C104)*AJ105,(1-(VLOOKUP($C105,'S3 - Screening Tool Metrics'!$C$3:$G$17,5,FALSE)/100))*AJ105)</f>
        <v>#N/A</v>
      </c>
      <c r="AM105" s="706" t="e">
        <f>IF($C105="other",$C104*AJ105,(VLOOKUP($C105,'S3 - Screening Tool Metrics'!$C$3:$G$17,5,FALSE)/100)*AJ105)</f>
        <v>#N/A</v>
      </c>
      <c r="AN105" s="709" t="e">
        <f t="shared" ref="AN105:AN118" si="95">$AM105/$J105*100</f>
        <v>#N/A</v>
      </c>
    </row>
    <row r="106" spans="2:40" ht="14" hidden="1" thickBot="1" x14ac:dyDescent="0.2">
      <c r="B106" s="700" t="s">
        <v>15</v>
      </c>
      <c r="C106" s="721" t="str">
        <f>$C105</f>
        <v>Other</v>
      </c>
      <c r="D106" s="552" t="s">
        <v>193</v>
      </c>
      <c r="E106" s="710">
        <f>VLOOKUP($B106&amp;"_"&amp;$D106,'App5 - CRUK Inci Rates'!C:H,6,FALSE)</f>
        <v>2.6</v>
      </c>
      <c r="F106" s="711">
        <f>VLOOKUP($B106&amp;"_"&amp;$D106,'App5 - CRUK Inci Rates'!C:H,3,FALSE)</f>
        <v>1.2</v>
      </c>
      <c r="G106" s="712">
        <f>VLOOKUP($B106&amp;"_"&amp;$D106,'App5 - CRUK Inci Rates'!C:J,8,FALSE)</f>
        <v>4567159.333333334</v>
      </c>
      <c r="H106" s="713">
        <f>VLOOKUP($B106&amp;"_"&amp;$D106,'App5 - CRUK Inci Rates'!C:J,7,FALSE)</f>
        <v>2251680</v>
      </c>
      <c r="I106" s="713">
        <f>VLOOKUP($B106&amp;"_"&amp;$D106,'App5 - CRUK Inci Rates'!C:J,4,FALSE)</f>
        <v>2315479.3333333335</v>
      </c>
      <c r="J106" s="709">
        <f>VLOOKUP($B106&amp;"_"&amp;$D106,'App5 - CRUK Inci Rates'!C:K,9,FALSE)</f>
        <v>88</v>
      </c>
      <c r="K106" s="706"/>
      <c r="L106" s="706"/>
      <c r="M106" s="706"/>
      <c r="N106" s="706"/>
      <c r="O106" s="706"/>
      <c r="P106" s="706"/>
      <c r="Q106" s="707">
        <f t="shared" si="88"/>
        <v>913431.86666666681</v>
      </c>
      <c r="S106" s="706">
        <f t="shared" ref="S106:S118" si="96">$J106-R106</f>
        <v>88</v>
      </c>
      <c r="T106" s="706">
        <f>IF($C106="other",(1-$C104)*R106,(1-(VLOOKUP($C106,'S3 - Screening Tool Metrics'!$C$3:$G$17,5,FALSE)/100))*R106)</f>
        <v>0</v>
      </c>
      <c r="U106" s="706">
        <f>IF($C106="other",$C104*R106,(VLOOKUP($C106,'S3 - Screening Tool Metrics'!$C$3:$G$17,5,FALSE)/100)*R106)</f>
        <v>0</v>
      </c>
      <c r="V106" s="708">
        <f t="shared" si="89"/>
        <v>0</v>
      </c>
      <c r="W106" s="707">
        <f t="shared" si="90"/>
        <v>456715.93333333341</v>
      </c>
      <c r="X106" s="706"/>
      <c r="Y106" s="706">
        <f t="shared" ref="Y106:Y118" si="97">$J106-X106</f>
        <v>88</v>
      </c>
      <c r="Z106" s="706">
        <f>IF($C106="other",(1-$C104)*X106,(1-(VLOOKUP($C106,'S3 - Screening Tool Metrics'!$C$3:$G$17,5,FALSE)/100))*X106)</f>
        <v>0</v>
      </c>
      <c r="AA106" s="706">
        <f>IF($C106="other",$C104*X106,(VLOOKUP($C106,'S3 - Screening Tool Metrics'!$C$3:$G$17,5,FALSE)/100)*X106)</f>
        <v>0</v>
      </c>
      <c r="AB106" s="708">
        <f t="shared" si="91"/>
        <v>0</v>
      </c>
      <c r="AC106" s="706">
        <f t="shared" si="92"/>
        <v>228357.9666666667</v>
      </c>
      <c r="AD106" s="706" t="e">
        <f>VLOOKUP("*"&amp;$B106&amp;"*",'S4 - Summ PRS Characteristics'!$C$13:$Q$20,14,FALSE)*$J106</f>
        <v>#N/A</v>
      </c>
      <c r="AE106" s="706" t="e">
        <f>$J106-AD106</f>
        <v>#N/A</v>
      </c>
      <c r="AF106" s="706" t="e">
        <f>IF($C106="other",(1-$C104)*AD106,(1-(VLOOKUP($C106,'S3 - Screening Tool Metrics'!$C$3:$G$17,5,FALSE)/100))*AD106)</f>
        <v>#N/A</v>
      </c>
      <c r="AG106" s="706" t="e">
        <f>IF($C106="other",$C104*AD106,(VLOOKUP($C106,'S3 - Screening Tool Metrics'!$C$3:$G$17,5,FALSE)/100)*AD106)</f>
        <v>#N/A</v>
      </c>
      <c r="AH106" s="708" t="e">
        <f t="shared" si="93"/>
        <v>#N/A</v>
      </c>
      <c r="AI106" s="707">
        <f t="shared" si="94"/>
        <v>45671.593333333338</v>
      </c>
      <c r="AJ106" s="706" t="e">
        <f>VLOOKUP("*"&amp;$B106&amp;"*",'S4 - Summ PRS Characteristics'!$C$13:$Q$20,15,FALSE)*$J106</f>
        <v>#N/A</v>
      </c>
      <c r="AK106" s="706" t="e">
        <f t="shared" ref="AK106:AK118" si="98">$J106-AJ106</f>
        <v>#N/A</v>
      </c>
      <c r="AL106" s="706" t="e">
        <f>IF($C106="other",(1-$C104)*AJ106,(1-(VLOOKUP($C106,'S3 - Screening Tool Metrics'!$C$3:$G$17,5,FALSE)/100))*AJ106)</f>
        <v>#N/A</v>
      </c>
      <c r="AM106" s="706" t="e">
        <f>IF($C106="other",$C104*AJ106,(VLOOKUP($C106,'S3 - Screening Tool Metrics'!$C$3:$G$17,5,FALSE)/100)*AJ106)</f>
        <v>#N/A</v>
      </c>
      <c r="AN106" s="709" t="e">
        <f t="shared" si="95"/>
        <v>#N/A</v>
      </c>
    </row>
    <row r="107" spans="2:40" ht="14" hidden="1" thickBot="1" x14ac:dyDescent="0.2">
      <c r="B107" s="700" t="s">
        <v>15</v>
      </c>
      <c r="C107" s="721" t="str">
        <f>$C105</f>
        <v>Other</v>
      </c>
      <c r="D107" s="552" t="s">
        <v>194</v>
      </c>
      <c r="E107" s="710">
        <f>VLOOKUP($B107&amp;"_"&amp;$D107,'App5 - CRUK Inci Rates'!C:H,6,FALSE)</f>
        <v>5.5</v>
      </c>
      <c r="F107" s="711">
        <f>VLOOKUP($B107&amp;"_"&amp;$D107,'App5 - CRUK Inci Rates'!C:H,3,FALSE)</f>
        <v>2</v>
      </c>
      <c r="G107" s="712">
        <f>VLOOKUP($B107&amp;"_"&amp;$D107,'App5 - CRUK Inci Rates'!C:J,8,FALSE)</f>
        <v>4658110.666666666</v>
      </c>
      <c r="H107" s="713">
        <f>VLOOKUP($B107&amp;"_"&amp;$D107,'App5 - CRUK Inci Rates'!C:J,7,FALSE)</f>
        <v>2293472.6666666665</v>
      </c>
      <c r="I107" s="713">
        <f>VLOOKUP($B107&amp;"_"&amp;$D107,'App5 - CRUK Inci Rates'!C:J,4,FALSE)</f>
        <v>2364638</v>
      </c>
      <c r="J107" s="709">
        <f>VLOOKUP($B107&amp;"_"&amp;$D107,'App5 - CRUK Inci Rates'!C:K,9,FALSE)</f>
        <v>173</v>
      </c>
      <c r="K107" s="706"/>
      <c r="L107" s="706"/>
      <c r="M107" s="706"/>
      <c r="N107" s="706"/>
      <c r="O107" s="706"/>
      <c r="P107" s="706"/>
      <c r="Q107" s="707">
        <f t="shared" si="88"/>
        <v>931622.1333333333</v>
      </c>
      <c r="S107" s="706">
        <f t="shared" si="96"/>
        <v>173</v>
      </c>
      <c r="T107" s="706">
        <f>IF($C107="other",(1-$C104)*R107,(1-(VLOOKUP($C107,'S3 - Screening Tool Metrics'!$C$3:$G$17,5,FALSE)/100))*R107)</f>
        <v>0</v>
      </c>
      <c r="U107" s="706">
        <f>IF($C107="other",$C104*R107,(VLOOKUP($C107,'S3 - Screening Tool Metrics'!$C$3:$G$17,5,FALSE)/100)*R107)</f>
        <v>0</v>
      </c>
      <c r="V107" s="708">
        <f t="shared" si="89"/>
        <v>0</v>
      </c>
      <c r="W107" s="707">
        <f t="shared" si="90"/>
        <v>465811.06666666665</v>
      </c>
      <c r="X107" s="706"/>
      <c r="Y107" s="706">
        <f t="shared" si="97"/>
        <v>173</v>
      </c>
      <c r="Z107" s="706">
        <f>IF($C107="other",(1-$C104)*X107,(1-(VLOOKUP($C107,'S3 - Screening Tool Metrics'!$C$3:$G$17,5,FALSE)/100))*X107)</f>
        <v>0</v>
      </c>
      <c r="AA107" s="706">
        <f>IF($C107="other",$C104*X107,(VLOOKUP($C107,'S3 - Screening Tool Metrics'!$C$3:$G$17,5,FALSE)/100)*X107)</f>
        <v>0</v>
      </c>
      <c r="AB107" s="708">
        <f t="shared" si="91"/>
        <v>0</v>
      </c>
      <c r="AC107" s="706">
        <f t="shared" si="92"/>
        <v>232905.53333333333</v>
      </c>
      <c r="AD107" s="706" t="e">
        <f>VLOOKUP("*"&amp;$B107&amp;"*",'S4 - Summ PRS Characteristics'!$C$13:$Q$20,14,FALSE)*$J107</f>
        <v>#N/A</v>
      </c>
      <c r="AE107" s="706" t="e">
        <f t="shared" ref="AE107:AE118" si="99">$J107-AD107</f>
        <v>#N/A</v>
      </c>
      <c r="AF107" s="706" t="e">
        <f>IF($C107="other",(1-$C104)*AD107,(1-(VLOOKUP($C107,'S3 - Screening Tool Metrics'!$C$3:$G$17,5,FALSE)/100))*AD107)</f>
        <v>#N/A</v>
      </c>
      <c r="AG107" s="706" t="e">
        <f>IF($C107="other",$C104*AD107,(VLOOKUP($C107,'S3 - Screening Tool Metrics'!$C$3:$G$17,5,FALSE)/100)*AD107)</f>
        <v>#N/A</v>
      </c>
      <c r="AH107" s="708" t="e">
        <f t="shared" si="93"/>
        <v>#N/A</v>
      </c>
      <c r="AI107" s="707">
        <f t="shared" si="94"/>
        <v>46581.106666666659</v>
      </c>
      <c r="AJ107" s="706" t="e">
        <f>VLOOKUP("*"&amp;$B107&amp;"*",'S4 - Summ PRS Characteristics'!$C$13:$Q$20,15,FALSE)*$J107</f>
        <v>#N/A</v>
      </c>
      <c r="AK107" s="706" t="e">
        <f t="shared" si="98"/>
        <v>#N/A</v>
      </c>
      <c r="AL107" s="706" t="e">
        <f>IF($C107="other",(1-$C104)*AJ107,(1-(VLOOKUP($C107,'S3 - Screening Tool Metrics'!$C$3:$G$17,5,FALSE)/100))*AJ107)</f>
        <v>#N/A</v>
      </c>
      <c r="AM107" s="706" t="e">
        <f>IF($C107="other",$C104*AJ107,(VLOOKUP($C107,'S3 - Screening Tool Metrics'!$C$3:$G$17,5,FALSE)/100)*AJ107)</f>
        <v>#N/A</v>
      </c>
      <c r="AN107" s="709" t="e">
        <f t="shared" si="95"/>
        <v>#N/A</v>
      </c>
    </row>
    <row r="108" spans="2:40" ht="14" hidden="1" thickBot="1" x14ac:dyDescent="0.2">
      <c r="B108" s="700" t="s">
        <v>15</v>
      </c>
      <c r="C108" s="721" t="str">
        <f>$C105</f>
        <v>Other</v>
      </c>
      <c r="D108" s="552" t="s">
        <v>195</v>
      </c>
      <c r="E108" s="710">
        <f>VLOOKUP($B108&amp;"_"&amp;$D108,'App5 - CRUK Inci Rates'!C:H,6,FALSE)</f>
        <v>9.1999999999999993</v>
      </c>
      <c r="F108" s="711">
        <f>VLOOKUP($B108&amp;"_"&amp;$D108,'App5 - CRUK Inci Rates'!C:H,3,FALSE)</f>
        <v>4.0999999999999996</v>
      </c>
      <c r="G108" s="712">
        <f>VLOOKUP($B108&amp;"_"&amp;$D108,'App5 - CRUK Inci Rates'!C:J,8,FALSE)</f>
        <v>4181606</v>
      </c>
      <c r="H108" s="713">
        <f>VLOOKUP($B108&amp;"_"&amp;$D108,'App5 - CRUK Inci Rates'!C:J,7,FALSE)</f>
        <v>2061918.6666666667</v>
      </c>
      <c r="I108" s="713">
        <f>VLOOKUP($B108&amp;"_"&amp;$D108,'App5 - CRUK Inci Rates'!C:J,4,FALSE)</f>
        <v>2119687.3333333335</v>
      </c>
      <c r="J108" s="709">
        <f>VLOOKUP($B108&amp;"_"&amp;$D108,'App5 - CRUK Inci Rates'!C:K,9,FALSE)</f>
        <v>276</v>
      </c>
      <c r="K108" s="706"/>
      <c r="L108" s="706"/>
      <c r="M108" s="706"/>
      <c r="N108" s="706"/>
      <c r="O108" s="706"/>
      <c r="P108" s="706"/>
      <c r="Q108" s="707">
        <f t="shared" si="88"/>
        <v>836321.20000000007</v>
      </c>
      <c r="S108" s="706">
        <f t="shared" si="96"/>
        <v>276</v>
      </c>
      <c r="T108" s="706">
        <f>IF($C108="other",(1-$C104)*R108,(1-(VLOOKUP($C108,'S3 - Screening Tool Metrics'!$C$3:$G$17,5,FALSE)/100))*R108)</f>
        <v>0</v>
      </c>
      <c r="U108" s="706">
        <f>IF($C108="other",$C104*R108,(VLOOKUP($C108,'S3 - Screening Tool Metrics'!$C$3:$G$17,5,FALSE)/100)*R108)</f>
        <v>0</v>
      </c>
      <c r="V108" s="708">
        <f t="shared" si="89"/>
        <v>0</v>
      </c>
      <c r="W108" s="707">
        <f t="shared" si="90"/>
        <v>418160.60000000003</v>
      </c>
      <c r="X108" s="706"/>
      <c r="Y108" s="706">
        <f t="shared" si="97"/>
        <v>276</v>
      </c>
      <c r="Z108" s="706">
        <f>IF($C108="other",(1-$C104)*X108,(1-(VLOOKUP($C108,'S3 - Screening Tool Metrics'!$C$3:$G$17,5,FALSE)/100))*X108)</f>
        <v>0</v>
      </c>
      <c r="AA108" s="706">
        <f>IF($C108="other",$C104*X108,(VLOOKUP($C108,'S3 - Screening Tool Metrics'!$C$3:$G$17,5,FALSE)/100)*X108)</f>
        <v>0</v>
      </c>
      <c r="AB108" s="708">
        <f t="shared" si="91"/>
        <v>0</v>
      </c>
      <c r="AC108" s="706">
        <f t="shared" si="92"/>
        <v>209080.30000000002</v>
      </c>
      <c r="AD108" s="706" t="e">
        <f>VLOOKUP("*"&amp;$B108&amp;"*",'S4 - Summ PRS Characteristics'!$C$13:$Q$20,14,FALSE)*$J108</f>
        <v>#N/A</v>
      </c>
      <c r="AE108" s="706" t="e">
        <f t="shared" si="99"/>
        <v>#N/A</v>
      </c>
      <c r="AF108" s="706" t="e">
        <f>IF($C108="other",(1-$C104)*AD108,(1-(VLOOKUP($C108,'S3 - Screening Tool Metrics'!$C$3:$G$17,5,FALSE)/100))*AD108)</f>
        <v>#N/A</v>
      </c>
      <c r="AG108" s="706" t="e">
        <f>IF($C108="other",$C104*AD108,(VLOOKUP($C108,'S3 - Screening Tool Metrics'!$C$3:$G$17,5,FALSE)/100)*AD108)</f>
        <v>#N/A</v>
      </c>
      <c r="AH108" s="708" t="e">
        <f t="shared" si="93"/>
        <v>#N/A</v>
      </c>
      <c r="AI108" s="707">
        <f t="shared" si="94"/>
        <v>41816.06</v>
      </c>
      <c r="AJ108" s="706" t="e">
        <f>VLOOKUP("*"&amp;$B108&amp;"*",'S4 - Summ PRS Characteristics'!$C$13:$Q$20,15,FALSE)*$J108</f>
        <v>#N/A</v>
      </c>
      <c r="AK108" s="706" t="e">
        <f t="shared" si="98"/>
        <v>#N/A</v>
      </c>
      <c r="AL108" s="706" t="e">
        <f>IF($C108="other",(1-$C104)*AJ108,(1-(VLOOKUP($C108,'S3 - Screening Tool Metrics'!$C$3:$G$17,5,FALSE)/100))*AJ108)</f>
        <v>#N/A</v>
      </c>
      <c r="AM108" s="706" t="e">
        <f>IF($C108="other",$C104*AJ108,(VLOOKUP($C108,'S3 - Screening Tool Metrics'!$C$3:$G$17,5,FALSE)/100)*AJ108)</f>
        <v>#N/A</v>
      </c>
      <c r="AN108" s="709" t="e">
        <f t="shared" si="95"/>
        <v>#N/A</v>
      </c>
    </row>
    <row r="109" spans="2:40" ht="14" hidden="1" thickBot="1" x14ac:dyDescent="0.2">
      <c r="B109" s="700" t="s">
        <v>15</v>
      </c>
      <c r="C109" s="721" t="str">
        <f>$C105</f>
        <v>Other</v>
      </c>
      <c r="D109" s="552" t="s">
        <v>196</v>
      </c>
      <c r="E109" s="710">
        <f>VLOOKUP($B109&amp;"_"&amp;$D109,'App5 - CRUK Inci Rates'!C:H,6,FALSE)</f>
        <v>15</v>
      </c>
      <c r="F109" s="711">
        <f>VLOOKUP($B109&amp;"_"&amp;$D109,'App5 - CRUK Inci Rates'!C:H,3,FALSE)</f>
        <v>7.6</v>
      </c>
      <c r="G109" s="712">
        <f>VLOOKUP($B109&amp;"_"&amp;$D109,'App5 - CRUK Inci Rates'!C:J,8,FALSE)</f>
        <v>3602002</v>
      </c>
      <c r="H109" s="713">
        <f>VLOOKUP($B109&amp;"_"&amp;$D109,'App5 - CRUK Inci Rates'!C:J,7,FALSE)</f>
        <v>1764828</v>
      </c>
      <c r="I109" s="713">
        <f>VLOOKUP($B109&amp;"_"&amp;$D109,'App5 - CRUK Inci Rates'!C:J,4,FALSE)</f>
        <v>1837174</v>
      </c>
      <c r="J109" s="709">
        <f>VLOOKUP($B109&amp;"_"&amp;$D109,'App5 - CRUK Inci Rates'!C:K,9,FALSE)</f>
        <v>404</v>
      </c>
      <c r="K109" s="706"/>
      <c r="L109" s="706"/>
      <c r="M109" s="706"/>
      <c r="N109" s="706"/>
      <c r="O109" s="706"/>
      <c r="P109" s="706"/>
      <c r="Q109" s="707">
        <f t="shared" si="88"/>
        <v>720400.4</v>
      </c>
      <c r="S109" s="706">
        <f t="shared" si="96"/>
        <v>404</v>
      </c>
      <c r="T109" s="706">
        <f>IF($C109="other",(1-$C104)*R109,(1-(VLOOKUP($C109,'S3 - Screening Tool Metrics'!$C$3:$G$17,5,FALSE)/100))*R109)</f>
        <v>0</v>
      </c>
      <c r="U109" s="706">
        <f>IF($C109="other",$C104*R109,(VLOOKUP($C109,'S3 - Screening Tool Metrics'!$C$3:$G$17,5,FALSE)/100)*R109)</f>
        <v>0</v>
      </c>
      <c r="V109" s="708">
        <f t="shared" si="89"/>
        <v>0</v>
      </c>
      <c r="W109" s="707">
        <f t="shared" si="90"/>
        <v>360200.2</v>
      </c>
      <c r="X109" s="706"/>
      <c r="Y109" s="706">
        <f t="shared" si="97"/>
        <v>404</v>
      </c>
      <c r="Z109" s="706">
        <f>IF($C109="other",(1-$C104)*X109,(1-(VLOOKUP($C109,'S3 - Screening Tool Metrics'!$C$3:$G$17,5,FALSE)/100))*X109)</f>
        <v>0</v>
      </c>
      <c r="AA109" s="706">
        <f>IF($C109="other",$C104*X109,(VLOOKUP($C109,'S3 - Screening Tool Metrics'!$C$3:$G$17,5,FALSE)/100)*X109)</f>
        <v>0</v>
      </c>
      <c r="AB109" s="708">
        <f t="shared" si="91"/>
        <v>0</v>
      </c>
      <c r="AC109" s="706">
        <f t="shared" si="92"/>
        <v>180100.1</v>
      </c>
      <c r="AD109" s="706" t="e">
        <f>VLOOKUP("*"&amp;$B109&amp;"*",'S4 - Summ PRS Characteristics'!$C$13:$Q$20,14,FALSE)*$J109</f>
        <v>#N/A</v>
      </c>
      <c r="AE109" s="706" t="e">
        <f t="shared" si="99"/>
        <v>#N/A</v>
      </c>
      <c r="AF109" s="706" t="e">
        <f>IF($C109="other",(1-$C104)*AD109,(1-(VLOOKUP($C109,'S3 - Screening Tool Metrics'!$C$3:$G$17,5,FALSE)/100))*AD109)</f>
        <v>#N/A</v>
      </c>
      <c r="AG109" s="706" t="e">
        <f>IF($C109="other",$C104*AD109,(VLOOKUP($C109,'S3 - Screening Tool Metrics'!$C$3:$G$17,5,FALSE)/100)*AD109)</f>
        <v>#N/A</v>
      </c>
      <c r="AH109" s="708" t="e">
        <f t="shared" si="93"/>
        <v>#N/A</v>
      </c>
      <c r="AI109" s="707">
        <f t="shared" si="94"/>
        <v>36020.020000000004</v>
      </c>
      <c r="AJ109" s="706" t="e">
        <f>VLOOKUP("*"&amp;$B109&amp;"*",'S4 - Summ PRS Characteristics'!$C$13:$Q$20,15,FALSE)*$J109</f>
        <v>#N/A</v>
      </c>
      <c r="AK109" s="706" t="e">
        <f t="shared" si="98"/>
        <v>#N/A</v>
      </c>
      <c r="AL109" s="706" t="e">
        <f>IF($C109="other",(1-$C104)*AJ109,(1-(VLOOKUP($C109,'S3 - Screening Tool Metrics'!$C$3:$G$17,5,FALSE)/100))*AJ109)</f>
        <v>#N/A</v>
      </c>
      <c r="AM109" s="706" t="e">
        <f>IF($C109="other",$C104*AJ109,(VLOOKUP($C109,'S3 - Screening Tool Metrics'!$C$3:$G$17,5,FALSE)/100)*AJ109)</f>
        <v>#N/A</v>
      </c>
      <c r="AN109" s="709" t="e">
        <f t="shared" si="95"/>
        <v>#N/A</v>
      </c>
    </row>
    <row r="110" spans="2:40" ht="14" hidden="1" thickBot="1" x14ac:dyDescent="0.2">
      <c r="B110" s="700" t="s">
        <v>15</v>
      </c>
      <c r="C110" s="721" t="str">
        <f>$C105</f>
        <v>Other</v>
      </c>
      <c r="D110" s="552" t="s">
        <v>197</v>
      </c>
      <c r="E110" s="710">
        <f>VLOOKUP($B110&amp;"_"&amp;$D110,'App5 - CRUK Inci Rates'!C:H,6,FALSE)</f>
        <v>22.7</v>
      </c>
      <c r="F110" s="711">
        <f>VLOOKUP($B110&amp;"_"&amp;$D110,'App5 - CRUK Inci Rates'!C:H,3,FALSE)</f>
        <v>11.3</v>
      </c>
      <c r="G110" s="712">
        <f>VLOOKUP($B110&amp;"_"&amp;$D110,'App5 - CRUK Inci Rates'!C:J,8,FALSE)</f>
        <v>3502183.333333333</v>
      </c>
      <c r="H110" s="713">
        <f>VLOOKUP($B110&amp;"_"&amp;$D110,'App5 - CRUK Inci Rates'!C:J,7,FALSE)</f>
        <v>1696993.3333333333</v>
      </c>
      <c r="I110" s="713">
        <f>VLOOKUP($B110&amp;"_"&amp;$D110,'App5 - CRUK Inci Rates'!C:J,4,FALSE)</f>
        <v>1805190</v>
      </c>
      <c r="J110" s="709">
        <f>VLOOKUP($B110&amp;"_"&amp;$D110,'App5 - CRUK Inci Rates'!C:K,9,FALSE)</f>
        <v>589</v>
      </c>
      <c r="K110" s="706"/>
      <c r="L110" s="706"/>
      <c r="M110" s="706"/>
      <c r="N110" s="706"/>
      <c r="O110" s="706"/>
      <c r="P110" s="706"/>
      <c r="Q110" s="707">
        <f t="shared" si="88"/>
        <v>700436.66666666663</v>
      </c>
      <c r="S110" s="706">
        <f t="shared" si="96"/>
        <v>589</v>
      </c>
      <c r="T110" s="706">
        <f>IF($C110="other",(1-$C104)*R110,(1-(VLOOKUP($C110,'S3 - Screening Tool Metrics'!$C$3:$G$17,5,FALSE)/100))*R110)</f>
        <v>0</v>
      </c>
      <c r="U110" s="706">
        <f>IF($C110="other",$C104*R110,(VLOOKUP($C110,'S3 - Screening Tool Metrics'!$C$3:$G$17,5,FALSE)/100)*R110)</f>
        <v>0</v>
      </c>
      <c r="V110" s="708">
        <f t="shared" si="89"/>
        <v>0</v>
      </c>
      <c r="W110" s="707">
        <f t="shared" si="90"/>
        <v>350218.33333333331</v>
      </c>
      <c r="X110" s="706"/>
      <c r="Y110" s="706">
        <f t="shared" si="97"/>
        <v>589</v>
      </c>
      <c r="Z110" s="706">
        <f>IF($C110="other",(1-$C104)*X110,(1-(VLOOKUP($C110,'S3 - Screening Tool Metrics'!$C$3:$G$17,5,FALSE)/100))*X110)</f>
        <v>0</v>
      </c>
      <c r="AA110" s="706">
        <f>IF($C110="other",$C104*X110,(VLOOKUP($C110,'S3 - Screening Tool Metrics'!$C$3:$G$17,5,FALSE)/100)*X110)</f>
        <v>0</v>
      </c>
      <c r="AB110" s="708">
        <f t="shared" si="91"/>
        <v>0</v>
      </c>
      <c r="AC110" s="706">
        <f t="shared" si="92"/>
        <v>175109.16666666666</v>
      </c>
      <c r="AD110" s="706" t="e">
        <f>VLOOKUP("*"&amp;$B110&amp;"*",'S4 - Summ PRS Characteristics'!$C$13:$Q$20,14,FALSE)*$J110</f>
        <v>#N/A</v>
      </c>
      <c r="AE110" s="706" t="e">
        <f t="shared" si="99"/>
        <v>#N/A</v>
      </c>
      <c r="AF110" s="706" t="e">
        <f>IF($C110="other",(1-$C104)*AD110,(1-(VLOOKUP($C110,'S3 - Screening Tool Metrics'!$C$3:$G$17,5,FALSE)/100))*AD110)</f>
        <v>#N/A</v>
      </c>
      <c r="AG110" s="706" t="e">
        <f>IF($C110="other",$C104*AD110,(VLOOKUP($C110,'S3 - Screening Tool Metrics'!$C$3:$G$17,5,FALSE)/100)*AD110)</f>
        <v>#N/A</v>
      </c>
      <c r="AH110" s="708" t="e">
        <f t="shared" si="93"/>
        <v>#N/A</v>
      </c>
      <c r="AI110" s="707">
        <f t="shared" si="94"/>
        <v>35021.833333333328</v>
      </c>
      <c r="AJ110" s="706" t="e">
        <f>VLOOKUP("*"&amp;$B110&amp;"*",'S4 - Summ PRS Characteristics'!$C$13:$Q$20,15,FALSE)*$J110</f>
        <v>#N/A</v>
      </c>
      <c r="AK110" s="706" t="e">
        <f t="shared" si="98"/>
        <v>#N/A</v>
      </c>
      <c r="AL110" s="706" t="e">
        <f>IF($C110="other",(1-$C104)*AJ110,(1-(VLOOKUP($C110,'S3 - Screening Tool Metrics'!$C$3:$G$17,5,FALSE)/100))*AJ110)</f>
        <v>#N/A</v>
      </c>
      <c r="AM110" s="706" t="e">
        <f>IF($C110="other",$C104*AJ110,(VLOOKUP($C110,'S3 - Screening Tool Metrics'!$C$3:$G$17,5,FALSE)/100)*AJ110)</f>
        <v>#N/A</v>
      </c>
      <c r="AN110" s="709" t="e">
        <f t="shared" si="95"/>
        <v>#N/A</v>
      </c>
    </row>
    <row r="111" spans="2:40" ht="14" hidden="1" thickBot="1" x14ac:dyDescent="0.2">
      <c r="B111" s="700" t="s">
        <v>15</v>
      </c>
      <c r="C111" s="721" t="str">
        <f>$C105</f>
        <v>Other</v>
      </c>
      <c r="D111" s="552" t="s">
        <v>198</v>
      </c>
      <c r="E111" s="710">
        <f>VLOOKUP($B111&amp;"_"&amp;$D111,'App5 - CRUK Inci Rates'!C:H,6,FALSE)</f>
        <v>29.2</v>
      </c>
      <c r="F111" s="711">
        <f>VLOOKUP($B111&amp;"_"&amp;$D111,'App5 - CRUK Inci Rates'!C:H,3,FALSE)</f>
        <v>15.3</v>
      </c>
      <c r="G111" s="712">
        <f>VLOOKUP($B111&amp;"_"&amp;$D111,'App5 - CRUK Inci Rates'!C:J,8,FALSE)</f>
        <v>3071574.666666667</v>
      </c>
      <c r="H111" s="713">
        <f>VLOOKUP($B111&amp;"_"&amp;$D111,'App5 - CRUK Inci Rates'!C:J,7,FALSE)</f>
        <v>1467965</v>
      </c>
      <c r="I111" s="713">
        <f>VLOOKUP($B111&amp;"_"&amp;$D111,'App5 - CRUK Inci Rates'!C:J,4,FALSE)</f>
        <v>1603609.6666666667</v>
      </c>
      <c r="J111" s="709">
        <f>VLOOKUP($B111&amp;"_"&amp;$D111,'App5 - CRUK Inci Rates'!C:K,9,FALSE)</f>
        <v>674</v>
      </c>
      <c r="K111" s="706"/>
      <c r="L111" s="706"/>
      <c r="M111" s="706"/>
      <c r="N111" s="706"/>
      <c r="O111" s="706"/>
      <c r="P111" s="706"/>
      <c r="Q111" s="707">
        <f t="shared" si="88"/>
        <v>614314.93333333347</v>
      </c>
      <c r="S111" s="706">
        <f t="shared" si="96"/>
        <v>674</v>
      </c>
      <c r="T111" s="706">
        <f>IF($C111="other",(1-$C104)*R111,(1-(VLOOKUP($C111,'S3 - Screening Tool Metrics'!$C$3:$G$17,5,FALSE)/100))*R111)</f>
        <v>0</v>
      </c>
      <c r="U111" s="706">
        <f>IF($C111="other",$C104*R111,(VLOOKUP($C111,'S3 - Screening Tool Metrics'!$C$3:$G$17,5,FALSE)/100)*R111)</f>
        <v>0</v>
      </c>
      <c r="V111" s="708">
        <f t="shared" si="89"/>
        <v>0</v>
      </c>
      <c r="W111" s="707">
        <f t="shared" si="90"/>
        <v>307157.46666666673</v>
      </c>
      <c r="X111" s="706"/>
      <c r="Y111" s="706">
        <f t="shared" si="97"/>
        <v>674</v>
      </c>
      <c r="Z111" s="706">
        <f>IF($C111="other",(1-$C104)*X111,(1-(VLOOKUP($C111,'S3 - Screening Tool Metrics'!$C$3:$G$17,5,FALSE)/100))*X111)</f>
        <v>0</v>
      </c>
      <c r="AA111" s="706">
        <f>IF($C111="other",$C104*X111,(VLOOKUP($C111,'S3 - Screening Tool Metrics'!$C$3:$G$17,5,FALSE)/100)*X111)</f>
        <v>0</v>
      </c>
      <c r="AB111" s="708">
        <f t="shared" si="91"/>
        <v>0</v>
      </c>
      <c r="AC111" s="706">
        <f t="shared" si="92"/>
        <v>153578.73333333337</v>
      </c>
      <c r="AD111" s="706" t="e">
        <f>VLOOKUP("*"&amp;$B111&amp;"*",'S4 - Summ PRS Characteristics'!$C$13:$Q$20,14,FALSE)*$J111</f>
        <v>#N/A</v>
      </c>
      <c r="AE111" s="706" t="e">
        <f t="shared" si="99"/>
        <v>#N/A</v>
      </c>
      <c r="AF111" s="706" t="e">
        <f>IF($C111="other",(1-$C104)*AD111,(1-(VLOOKUP($C111,'S3 - Screening Tool Metrics'!$C$3:$G$17,5,FALSE)/100))*AD111)</f>
        <v>#N/A</v>
      </c>
      <c r="AG111" s="706" t="e">
        <f>IF($C111="other",$C104*AD111,(VLOOKUP($C111,'S3 - Screening Tool Metrics'!$C$3:$G$17,5,FALSE)/100)*AD111)</f>
        <v>#N/A</v>
      </c>
      <c r="AH111" s="708" t="e">
        <f t="shared" si="93"/>
        <v>#N/A</v>
      </c>
      <c r="AI111" s="707">
        <f t="shared" si="94"/>
        <v>30715.74666666667</v>
      </c>
      <c r="AJ111" s="706" t="e">
        <f>VLOOKUP("*"&amp;$B111&amp;"*",'S4 - Summ PRS Characteristics'!$C$13:$Q$20,15,FALSE)*$J111</f>
        <v>#N/A</v>
      </c>
      <c r="AK111" s="706" t="e">
        <f t="shared" si="98"/>
        <v>#N/A</v>
      </c>
      <c r="AL111" s="706" t="e">
        <f>IF($C111="other",(1-$C104)*AJ111,(1-(VLOOKUP($C111,'S3 - Screening Tool Metrics'!$C$3:$G$17,5,FALSE)/100))*AJ111)</f>
        <v>#N/A</v>
      </c>
      <c r="AM111" s="706" t="e">
        <f>IF($C111="other",$C104*AJ111,(VLOOKUP($C111,'S3 - Screening Tool Metrics'!$C$3:$G$17,5,FALSE)/100)*AJ111)</f>
        <v>#N/A</v>
      </c>
      <c r="AN111" s="709" t="e">
        <f t="shared" si="95"/>
        <v>#N/A</v>
      </c>
    </row>
    <row r="112" spans="2:40" ht="14" hidden="1" thickBot="1" x14ac:dyDescent="0.2">
      <c r="B112" s="700" t="s">
        <v>15</v>
      </c>
      <c r="C112" s="721" t="str">
        <f>$C105</f>
        <v>Other</v>
      </c>
      <c r="D112" s="552" t="s">
        <v>199</v>
      </c>
      <c r="E112" s="710">
        <f>VLOOKUP($B112&amp;"_"&amp;$D112,'App5 - CRUK Inci Rates'!C:H,6,FALSE)</f>
        <v>35.799999999999997</v>
      </c>
      <c r="F112" s="711">
        <f>VLOOKUP($B112&amp;"_"&amp;$D112,'App5 - CRUK Inci Rates'!C:H,3,FALSE)</f>
        <v>18.2</v>
      </c>
      <c r="G112" s="712">
        <f>VLOOKUP($B112&amp;"_"&amp;$D112,'App5 - CRUK Inci Rates'!C:J,8,FALSE)</f>
        <v>2189010.6666666665</v>
      </c>
      <c r="H112" s="713">
        <f>VLOOKUP($B112&amp;"_"&amp;$D112,'App5 - CRUK Inci Rates'!C:J,7,FALSE)</f>
        <v>1007365.3333333334</v>
      </c>
      <c r="I112" s="713">
        <f>VLOOKUP($B112&amp;"_"&amp;$D112,'App5 - CRUK Inci Rates'!C:J,4,FALSE)</f>
        <v>1181645.3333333333</v>
      </c>
      <c r="J112" s="709">
        <f>VLOOKUP($B112&amp;"_"&amp;$D112,'App5 - CRUK Inci Rates'!C:K,9,FALSE)</f>
        <v>576</v>
      </c>
      <c r="K112" s="706"/>
      <c r="L112" s="706"/>
      <c r="M112" s="706"/>
      <c r="N112" s="706"/>
      <c r="O112" s="706"/>
      <c r="P112" s="706"/>
      <c r="Q112" s="707">
        <f t="shared" si="88"/>
        <v>437802.1333333333</v>
      </c>
      <c r="S112" s="706">
        <f t="shared" si="96"/>
        <v>576</v>
      </c>
      <c r="T112" s="706">
        <f>IF($C112="other",(1-$C104)*R112,(1-(VLOOKUP($C112,'S3 - Screening Tool Metrics'!$C$3:$G$17,5,FALSE)/100))*R112)</f>
        <v>0</v>
      </c>
      <c r="U112" s="706">
        <f>IF($C112="other",$C104*R112,(VLOOKUP($C112,'S3 - Screening Tool Metrics'!$C$3:$G$17,5,FALSE)/100)*R112)</f>
        <v>0</v>
      </c>
      <c r="V112" s="708">
        <f t="shared" si="89"/>
        <v>0</v>
      </c>
      <c r="W112" s="707">
        <f t="shared" si="90"/>
        <v>218901.06666666665</v>
      </c>
      <c r="X112" s="706"/>
      <c r="Y112" s="706">
        <f t="shared" si="97"/>
        <v>576</v>
      </c>
      <c r="Z112" s="706">
        <f>IF($C112="other",(1-$C104)*X112,(1-(VLOOKUP($C112,'S3 - Screening Tool Metrics'!$C$3:$G$17,5,FALSE)/100))*X112)</f>
        <v>0</v>
      </c>
      <c r="AA112" s="706">
        <f>IF($C112="other",$C104*X112,(VLOOKUP($C112,'S3 - Screening Tool Metrics'!$C$3:$G$17,5,FALSE)/100)*X112)</f>
        <v>0</v>
      </c>
      <c r="AB112" s="708">
        <f t="shared" si="91"/>
        <v>0</v>
      </c>
      <c r="AC112" s="706">
        <f t="shared" si="92"/>
        <v>109450.53333333333</v>
      </c>
      <c r="AD112" s="706" t="e">
        <f>VLOOKUP("*"&amp;$B112&amp;"*",'S4 - Summ PRS Characteristics'!$C$13:$Q$20,14,FALSE)*$J112</f>
        <v>#N/A</v>
      </c>
      <c r="AE112" s="706" t="e">
        <f t="shared" si="99"/>
        <v>#N/A</v>
      </c>
      <c r="AF112" s="706" t="e">
        <f>IF($C112="other",(1-$C104)*AD112,(1-(VLOOKUP($C112,'S3 - Screening Tool Metrics'!$C$3:$G$17,5,FALSE)/100))*AD112)</f>
        <v>#N/A</v>
      </c>
      <c r="AG112" s="706" t="e">
        <f>IF($C112="other",$C104*AD112,(VLOOKUP($C112,'S3 - Screening Tool Metrics'!$C$3:$G$17,5,FALSE)/100)*AD112)</f>
        <v>#N/A</v>
      </c>
      <c r="AH112" s="708" t="e">
        <f t="shared" si="93"/>
        <v>#N/A</v>
      </c>
      <c r="AI112" s="707">
        <f t="shared" si="94"/>
        <v>21890.106666666667</v>
      </c>
      <c r="AJ112" s="706" t="e">
        <f>VLOOKUP("*"&amp;$B112&amp;"*",'S4 - Summ PRS Characteristics'!$C$13:$Q$20,15,FALSE)*$J112</f>
        <v>#N/A</v>
      </c>
      <c r="AK112" s="706" t="e">
        <f t="shared" si="98"/>
        <v>#N/A</v>
      </c>
      <c r="AL112" s="706" t="e">
        <f>IF($C112="other",(1-$C104)*AJ112,(1-(VLOOKUP($C112,'S3 - Screening Tool Metrics'!$C$3:$G$17,5,FALSE)/100))*AJ112)</f>
        <v>#N/A</v>
      </c>
      <c r="AM112" s="706" t="e">
        <f>IF($C112="other",$C104*AJ112,(VLOOKUP($C112,'S3 - Screening Tool Metrics'!$C$3:$G$17,5,FALSE)/100)*AJ112)</f>
        <v>#N/A</v>
      </c>
      <c r="AN112" s="709" t="e">
        <f t="shared" si="95"/>
        <v>#N/A</v>
      </c>
    </row>
    <row r="113" spans="2:40" ht="14" hidden="1" thickBot="1" x14ac:dyDescent="0.2">
      <c r="B113" s="700" t="s">
        <v>15</v>
      </c>
      <c r="C113" s="721" t="str">
        <f>$C105</f>
        <v>Other</v>
      </c>
      <c r="D113" s="552" t="s">
        <v>200</v>
      </c>
      <c r="E113" s="710">
        <f>VLOOKUP($B113&amp;"_"&amp;$D113,'App5 - CRUK Inci Rates'!C:H,6,FALSE)</f>
        <v>8.7177487409166687</v>
      </c>
      <c r="F113" s="711">
        <f>VLOOKUP($B113&amp;"_"&amp;$D113,'App5 - CRUK Inci Rates'!C:H,3,FALSE)</f>
        <v>4.121189540148869</v>
      </c>
      <c r="G113" s="712">
        <f>VLOOKUP($B113&amp;"_"&amp;$D113,'App5 - CRUK Inci Rates'!C:J,8,FALSE)</f>
        <v>24586669.333333336</v>
      </c>
      <c r="H113" s="713">
        <f>VLOOKUP($B113&amp;"_"&amp;$D113,'App5 - CRUK Inci Rates'!C:J,7,FALSE)</f>
        <v>12090277.333333334</v>
      </c>
      <c r="I113" s="713">
        <f>VLOOKUP($B113&amp;"_"&amp;$D113,'App5 - CRUK Inci Rates'!C:J,4,FALSE)</f>
        <v>12496392</v>
      </c>
      <c r="J113" s="709">
        <f>VLOOKUP($B113&amp;"_"&amp;$D113,'App5 - CRUK Inci Rates'!C:K,9,FALSE)</f>
        <v>1569</v>
      </c>
      <c r="K113" s="706"/>
      <c r="L113" s="706"/>
      <c r="M113" s="706"/>
      <c r="N113" s="706"/>
      <c r="O113" s="706"/>
      <c r="P113" s="706"/>
      <c r="Q113" s="707">
        <f t="shared" si="88"/>
        <v>4917333.8666666672</v>
      </c>
      <c r="S113" s="706">
        <f t="shared" si="96"/>
        <v>1569</v>
      </c>
      <c r="T113" s="706">
        <f>IF($C113="other",(1-$C104)*R113,(1-(VLOOKUP($C113,'S3 - Screening Tool Metrics'!$C$3:$G$17,5,FALSE)/100))*R113)</f>
        <v>0</v>
      </c>
      <c r="U113" s="706">
        <f>IF($C113="other",$C104*R113,(VLOOKUP($C113,'S3 - Screening Tool Metrics'!$C$3:$G$17,5,FALSE)/100)*R113)</f>
        <v>0</v>
      </c>
      <c r="V113" s="708">
        <f t="shared" si="89"/>
        <v>0</v>
      </c>
      <c r="W113" s="707">
        <f t="shared" si="90"/>
        <v>2458666.9333333336</v>
      </c>
      <c r="X113" s="706"/>
      <c r="Y113" s="706">
        <f t="shared" si="97"/>
        <v>1569</v>
      </c>
      <c r="Z113" s="706">
        <f>IF($C113="other",(1-$C104)*X113,(1-(VLOOKUP($C113,'S3 - Screening Tool Metrics'!$C$3:$G$17,5,FALSE)/100))*X113)</f>
        <v>0</v>
      </c>
      <c r="AA113" s="706">
        <f>IF($C113="other",$C104*X113,(VLOOKUP($C113,'S3 - Screening Tool Metrics'!$C$3:$G$17,5,FALSE)/100)*X113)</f>
        <v>0</v>
      </c>
      <c r="AB113" s="708">
        <f t="shared" si="91"/>
        <v>0</v>
      </c>
      <c r="AC113" s="706">
        <f t="shared" si="92"/>
        <v>1229333.4666666668</v>
      </c>
      <c r="AD113" s="706" t="e">
        <f>VLOOKUP("*"&amp;$B113&amp;"*",'S4 - Summ PRS Characteristics'!$C$13:$Q$20,14,FALSE)*$J113</f>
        <v>#N/A</v>
      </c>
      <c r="AE113" s="706" t="e">
        <f t="shared" si="99"/>
        <v>#N/A</v>
      </c>
      <c r="AF113" s="706" t="e">
        <f>IF($C113="other",(1-$C104)*AD113,(1-(VLOOKUP($C113,'S3 - Screening Tool Metrics'!$C$3:$G$17,5,FALSE)/100))*AD113)</f>
        <v>#N/A</v>
      </c>
      <c r="AG113" s="706" t="e">
        <f>IF($C113="other",$C104*AD113,(VLOOKUP($C113,'S3 - Screening Tool Metrics'!$C$3:$G$17,5,FALSE)/100)*AD113)</f>
        <v>#N/A</v>
      </c>
      <c r="AH113" s="708" t="e">
        <f t="shared" si="93"/>
        <v>#N/A</v>
      </c>
      <c r="AI113" s="707">
        <f t="shared" si="94"/>
        <v>245866.69333333336</v>
      </c>
      <c r="AJ113" s="706" t="e">
        <f>VLOOKUP("*"&amp;$B113&amp;"*",'S4 - Summ PRS Characteristics'!$C$13:$Q$20,15,FALSE)*$J113</f>
        <v>#N/A</v>
      </c>
      <c r="AK113" s="706" t="e">
        <f t="shared" si="98"/>
        <v>#N/A</v>
      </c>
      <c r="AL113" s="706" t="e">
        <f>IF($C113="other",(1-$C104)*AJ113,(1-(VLOOKUP($C113,'S3 - Screening Tool Metrics'!$C$3:$G$17,5,FALSE)/100))*AJ113)</f>
        <v>#N/A</v>
      </c>
      <c r="AM113" s="706" t="e">
        <f>IF($C113="other",$C104*AJ113,(VLOOKUP($C113,'S3 - Screening Tool Metrics'!$C$3:$G$17,5,FALSE)/100)*AJ113)</f>
        <v>#N/A</v>
      </c>
      <c r="AN113" s="709" t="e">
        <f t="shared" si="95"/>
        <v>#N/A</v>
      </c>
    </row>
    <row r="114" spans="2:40" ht="14" hidden="1" thickBot="1" x14ac:dyDescent="0.2">
      <c r="B114" s="700" t="s">
        <v>15</v>
      </c>
      <c r="C114" s="721" t="str">
        <f>$C105</f>
        <v>Other</v>
      </c>
      <c r="D114" s="552" t="s">
        <v>201</v>
      </c>
      <c r="E114" s="710">
        <f>VLOOKUP($B114&amp;"_"&amp;$D114,'App5 - CRUK Inci Rates'!C:H,6,FALSE)</f>
        <v>2.0360094402190962</v>
      </c>
      <c r="F114" s="711">
        <f>VLOOKUP($B114&amp;"_"&amp;$D114,'App5 - CRUK Inci Rates'!C:H,3,FALSE)</f>
        <v>0.91539409088703805</v>
      </c>
      <c r="G114" s="712">
        <f>VLOOKUP($B114&amp;"_"&amp;$D114,'App5 - CRUK Inci Rates'!C:J,8,FALSE)</f>
        <v>8642767.333333334</v>
      </c>
      <c r="H114" s="713">
        <f>VLOOKUP($B114&amp;"_"&amp;$D114,'App5 - CRUK Inci Rates'!C:J,7,FALSE)</f>
        <v>4273064.666666667</v>
      </c>
      <c r="I114" s="713">
        <f>VLOOKUP($B114&amp;"_"&amp;$D114,'App5 - CRUK Inci Rates'!C:J,4,FALSE)</f>
        <v>4369702.666666667</v>
      </c>
      <c r="J114" s="709">
        <f>VLOOKUP($B114&amp;"_"&amp;$D114,'App5 - CRUK Inci Rates'!C:K,9,FALSE)</f>
        <v>127</v>
      </c>
      <c r="K114" s="706"/>
      <c r="L114" s="706"/>
      <c r="M114" s="706"/>
      <c r="N114" s="706"/>
      <c r="O114" s="706"/>
      <c r="P114" s="706"/>
      <c r="Q114" s="707">
        <f t="shared" si="88"/>
        <v>1728553.4666666668</v>
      </c>
      <c r="S114" s="706">
        <f t="shared" si="96"/>
        <v>127</v>
      </c>
      <c r="T114" s="706">
        <f>IF($C114="other",(1-$C104)*R114,(1-(VLOOKUP($C114,'S3 - Screening Tool Metrics'!$C$3:$G$17,5,FALSE)/100))*R114)</f>
        <v>0</v>
      </c>
      <c r="U114" s="706">
        <f>IF($C114="other",$C104*R114,(VLOOKUP($C114,'S3 - Screening Tool Metrics'!$C$3:$G$17,5,FALSE)/100)*R114)</f>
        <v>0</v>
      </c>
      <c r="V114" s="708">
        <f t="shared" si="89"/>
        <v>0</v>
      </c>
      <c r="W114" s="707">
        <f t="shared" si="90"/>
        <v>864276.7333333334</v>
      </c>
      <c r="X114" s="706"/>
      <c r="Y114" s="706">
        <f t="shared" si="97"/>
        <v>127</v>
      </c>
      <c r="Z114" s="706">
        <f>IF($C114="other",(1-$C104)*X114,(1-(VLOOKUP($C114,'S3 - Screening Tool Metrics'!$C$3:$G$17,5,FALSE)/100))*X114)</f>
        <v>0</v>
      </c>
      <c r="AA114" s="706">
        <f>IF($C114="other",$C104*X114,(VLOOKUP($C114,'S3 - Screening Tool Metrics'!$C$3:$G$17,5,FALSE)/100)*X114)</f>
        <v>0</v>
      </c>
      <c r="AB114" s="708">
        <f t="shared" si="91"/>
        <v>0</v>
      </c>
      <c r="AC114" s="706">
        <f t="shared" si="92"/>
        <v>432138.3666666667</v>
      </c>
      <c r="AD114" s="706" t="e">
        <f>VLOOKUP("*"&amp;$B114&amp;"*",'S4 - Summ PRS Characteristics'!$C$13:$Q$20,14,FALSE)*$J114</f>
        <v>#N/A</v>
      </c>
      <c r="AE114" s="706" t="e">
        <f t="shared" si="99"/>
        <v>#N/A</v>
      </c>
      <c r="AF114" s="706" t="e">
        <f>IF($C114="other",(1-$C104)*AD114,(1-(VLOOKUP($C114,'S3 - Screening Tool Metrics'!$C$3:$G$17,5,FALSE)/100))*AD114)</f>
        <v>#N/A</v>
      </c>
      <c r="AG114" s="706" t="e">
        <f>IF($C114="other",$C104*AD114,(VLOOKUP($C114,'S3 - Screening Tool Metrics'!$C$3:$G$17,5,FALSE)/100)*AD114)</f>
        <v>#N/A</v>
      </c>
      <c r="AH114" s="708" t="e">
        <f t="shared" si="93"/>
        <v>#N/A</v>
      </c>
      <c r="AI114" s="707">
        <f t="shared" si="94"/>
        <v>86427.67333333334</v>
      </c>
      <c r="AJ114" s="706" t="e">
        <f>VLOOKUP("*"&amp;$B114&amp;"*",'S4 - Summ PRS Characteristics'!$C$13:$Q$20,15,FALSE)*$J114</f>
        <v>#N/A</v>
      </c>
      <c r="AK114" s="706" t="e">
        <f t="shared" si="98"/>
        <v>#N/A</v>
      </c>
      <c r="AL114" s="706" t="e">
        <f>IF($C114="other",(1-$C104)*AJ114,(1-(VLOOKUP($C114,'S3 - Screening Tool Metrics'!$C$3:$G$17,5,FALSE)/100))*AJ114)</f>
        <v>#N/A</v>
      </c>
      <c r="AM114" s="706" t="e">
        <f>IF($C114="other",$C104*AJ114,(VLOOKUP($C114,'S3 - Screening Tool Metrics'!$C$3:$G$17,5,FALSE)/100)*AJ114)</f>
        <v>#N/A</v>
      </c>
      <c r="AN114" s="709" t="e">
        <f t="shared" si="95"/>
        <v>#N/A</v>
      </c>
    </row>
    <row r="115" spans="2:40" ht="14" hidden="1" thickBot="1" x14ac:dyDescent="0.2">
      <c r="B115" s="700" t="s">
        <v>15</v>
      </c>
      <c r="C115" s="721" t="str">
        <f>$C105</f>
        <v>Other</v>
      </c>
      <c r="D115" s="552" t="s">
        <v>202</v>
      </c>
      <c r="E115" s="710">
        <f>VLOOKUP($B115&amp;"_"&amp;$D115,'App5 - CRUK Inci Rates'!C:H,6,FALSE)</f>
        <v>7.2553755980901533</v>
      </c>
      <c r="F115" s="711">
        <f>VLOOKUP($B115&amp;"_"&amp;$D115,'App5 - CRUK Inci Rates'!C:H,3,FALSE)</f>
        <v>2.9658865071936495</v>
      </c>
      <c r="G115" s="712">
        <f>VLOOKUP($B115&amp;"_"&amp;$D115,'App5 - CRUK Inci Rates'!C:J,8,FALSE)</f>
        <v>8839716.6666666679</v>
      </c>
      <c r="H115" s="713">
        <f>VLOOKUP($B115&amp;"_"&amp;$D115,'App5 - CRUK Inci Rates'!C:J,7,FALSE)</f>
        <v>4355391.333333333</v>
      </c>
      <c r="I115" s="713">
        <f>VLOOKUP($B115&amp;"_"&amp;$D115,'App5 - CRUK Inci Rates'!C:J,4,FALSE)</f>
        <v>4484325.333333334</v>
      </c>
      <c r="J115" s="709">
        <f>VLOOKUP($B115&amp;"_"&amp;$D115,'App5 - CRUK Inci Rates'!C:K,9,FALSE)</f>
        <v>449</v>
      </c>
      <c r="K115" s="706"/>
      <c r="L115" s="706"/>
      <c r="M115" s="706"/>
      <c r="N115" s="706"/>
      <c r="O115" s="706"/>
      <c r="P115" s="706"/>
      <c r="Q115" s="707">
        <f t="shared" si="88"/>
        <v>1767943.3333333337</v>
      </c>
      <c r="S115" s="706">
        <f t="shared" si="96"/>
        <v>449</v>
      </c>
      <c r="T115" s="706">
        <f>IF($C115="other",(1-$C104)*R115,(1-(VLOOKUP($C115,'S3 - Screening Tool Metrics'!$C$3:$G$17,5,FALSE)/100))*R115)</f>
        <v>0</v>
      </c>
      <c r="U115" s="706">
        <f>IF($C115="other",$C104*R115,(VLOOKUP($C115,'S3 - Screening Tool Metrics'!$C$3:$G$17,5,FALSE)/100)*R115)</f>
        <v>0</v>
      </c>
      <c r="V115" s="708">
        <f t="shared" si="89"/>
        <v>0</v>
      </c>
      <c r="W115" s="707">
        <f t="shared" si="90"/>
        <v>883971.66666666686</v>
      </c>
      <c r="X115" s="706"/>
      <c r="Y115" s="706">
        <f t="shared" si="97"/>
        <v>449</v>
      </c>
      <c r="Z115" s="706">
        <f>IF($C115="other",(1-$C104)*X115,(1-(VLOOKUP($C115,'S3 - Screening Tool Metrics'!$C$3:$G$17,5,FALSE)/100))*X115)</f>
        <v>0</v>
      </c>
      <c r="AA115" s="706">
        <f>IF($C115="other",$C104*X115,(VLOOKUP($C115,'S3 - Screening Tool Metrics'!$C$3:$G$17,5,FALSE)/100)*X115)</f>
        <v>0</v>
      </c>
      <c r="AB115" s="708">
        <f t="shared" si="91"/>
        <v>0</v>
      </c>
      <c r="AC115" s="706">
        <f t="shared" si="92"/>
        <v>441985.83333333343</v>
      </c>
      <c r="AD115" s="706" t="e">
        <f>VLOOKUP("*"&amp;$B115&amp;"*",'S4 - Summ PRS Characteristics'!$C$13:$Q$20,14,FALSE)*$J115</f>
        <v>#N/A</v>
      </c>
      <c r="AE115" s="706" t="e">
        <f t="shared" si="99"/>
        <v>#N/A</v>
      </c>
      <c r="AF115" s="706" t="e">
        <f>IF($C115="other",(1-$C104)*AD115,(1-(VLOOKUP($C115,'S3 - Screening Tool Metrics'!$C$3:$G$17,5,FALSE)/100))*AD115)</f>
        <v>#N/A</v>
      </c>
      <c r="AG115" s="706" t="e">
        <f>IF($C115="other",$C104*AD115,(VLOOKUP($C115,'S3 - Screening Tool Metrics'!$C$3:$G$17,5,FALSE)/100)*AD115)</f>
        <v>#N/A</v>
      </c>
      <c r="AH115" s="708" t="e">
        <f t="shared" si="93"/>
        <v>#N/A</v>
      </c>
      <c r="AI115" s="707">
        <f t="shared" si="94"/>
        <v>88397.166666666686</v>
      </c>
      <c r="AJ115" s="706" t="e">
        <f>VLOOKUP("*"&amp;$B115&amp;"*",'S4 - Summ PRS Characteristics'!$C$13:$Q$20,15,FALSE)*$J115</f>
        <v>#N/A</v>
      </c>
      <c r="AK115" s="706" t="e">
        <f t="shared" si="98"/>
        <v>#N/A</v>
      </c>
      <c r="AL115" s="706" t="e">
        <f>IF($C115="other",(1-$C104)*AJ115,(1-(VLOOKUP($C115,'S3 - Screening Tool Metrics'!$C$3:$G$17,5,FALSE)/100))*AJ115)</f>
        <v>#N/A</v>
      </c>
      <c r="AM115" s="706" t="e">
        <f>IF($C115="other",$C104*AJ115,(VLOOKUP($C115,'S3 - Screening Tool Metrics'!$C$3:$G$17,5,FALSE)/100)*AJ115)</f>
        <v>#N/A</v>
      </c>
      <c r="AN115" s="709" t="e">
        <f t="shared" si="95"/>
        <v>#N/A</v>
      </c>
    </row>
    <row r="116" spans="2:40" ht="14" hidden="1" thickBot="1" x14ac:dyDescent="0.2">
      <c r="B116" s="700" t="s">
        <v>15</v>
      </c>
      <c r="C116" s="721" t="str">
        <f>$C105</f>
        <v>Other</v>
      </c>
      <c r="D116" s="552" t="s">
        <v>203</v>
      </c>
      <c r="E116" s="710">
        <f>VLOOKUP($B116&amp;"_"&amp;$D116,'App5 - CRUK Inci Rates'!C:H,6,FALSE)</f>
        <v>12.37013806882061</v>
      </c>
      <c r="F116" s="711">
        <f>VLOOKUP($B116&amp;"_"&amp;$D116,'App5 - CRUK Inci Rates'!C:H,3,FALSE)</f>
        <v>5.8449385785142187</v>
      </c>
      <c r="G116" s="712">
        <f>VLOOKUP($B116&amp;"_"&amp;$D116,'App5 - CRUK Inci Rates'!C:J,8,FALSE)</f>
        <v>15943902</v>
      </c>
      <c r="H116" s="713">
        <f>VLOOKUP($B116&amp;"_"&amp;$D116,'App5 - CRUK Inci Rates'!C:J,7,FALSE)</f>
        <v>7817212.666666666</v>
      </c>
      <c r="I116" s="713">
        <f>VLOOKUP($B116&amp;"_"&amp;$D116,'App5 - CRUK Inci Rates'!C:J,4,FALSE)</f>
        <v>8126689.333333334</v>
      </c>
      <c r="J116" s="709">
        <f>VLOOKUP($B116&amp;"_"&amp;$D116,'App5 - CRUK Inci Rates'!C:K,9,FALSE)</f>
        <v>1442</v>
      </c>
      <c r="K116" s="706"/>
      <c r="L116" s="706"/>
      <c r="M116" s="706"/>
      <c r="N116" s="706"/>
      <c r="O116" s="706"/>
      <c r="P116" s="706"/>
      <c r="Q116" s="707">
        <f t="shared" si="88"/>
        <v>3188780.4000000004</v>
      </c>
      <c r="S116" s="706">
        <f t="shared" si="96"/>
        <v>1442</v>
      </c>
      <c r="T116" s="706">
        <f>IF($C116="other",(1-$C104)*R116,(1-(VLOOKUP($C116,'S3 - Screening Tool Metrics'!$C$3:$G$17,5,FALSE)/100))*R116)</f>
        <v>0</v>
      </c>
      <c r="U116" s="706">
        <f>IF($C116="other",$C104*R116,(VLOOKUP($C116,'S3 - Screening Tool Metrics'!$C$3:$G$17,5,FALSE)/100)*R116)</f>
        <v>0</v>
      </c>
      <c r="V116" s="708">
        <f t="shared" si="89"/>
        <v>0</v>
      </c>
      <c r="W116" s="707">
        <f t="shared" si="90"/>
        <v>1594390.2000000002</v>
      </c>
      <c r="X116" s="706"/>
      <c r="Y116" s="706">
        <f t="shared" si="97"/>
        <v>1442</v>
      </c>
      <c r="Z116" s="706">
        <f>IF($C116="other",(1-$C104)*X116,(1-(VLOOKUP($C116,'S3 - Screening Tool Metrics'!$C$3:$G$17,5,FALSE)/100))*X116)</f>
        <v>0</v>
      </c>
      <c r="AA116" s="706">
        <f>IF($C116="other",$C104*X116,(VLOOKUP($C116,'S3 - Screening Tool Metrics'!$C$3:$G$17,5,FALSE)/100)*X116)</f>
        <v>0</v>
      </c>
      <c r="AB116" s="708">
        <f t="shared" si="91"/>
        <v>0</v>
      </c>
      <c r="AC116" s="706">
        <f t="shared" si="92"/>
        <v>797195.10000000009</v>
      </c>
      <c r="AD116" s="706" t="e">
        <f>VLOOKUP("*"&amp;$B116&amp;"*",'S4 - Summ PRS Characteristics'!$C$13:$Q$20,14,FALSE)*$J116</f>
        <v>#N/A</v>
      </c>
      <c r="AE116" s="706" t="e">
        <f t="shared" si="99"/>
        <v>#N/A</v>
      </c>
      <c r="AF116" s="706" t="e">
        <f>IF($C116="other",(1-$C104)*AD116,(1-(VLOOKUP($C116,'S3 - Screening Tool Metrics'!$C$3:$G$17,5,FALSE)/100))*AD116)</f>
        <v>#N/A</v>
      </c>
      <c r="AG116" s="706" t="e">
        <f>IF($C116="other",$C104*AD116,(VLOOKUP($C116,'S3 - Screening Tool Metrics'!$C$3:$G$17,5,FALSE)/100)*AD116)</f>
        <v>#N/A</v>
      </c>
      <c r="AH116" s="708" t="e">
        <f t="shared" si="93"/>
        <v>#N/A</v>
      </c>
      <c r="AI116" s="707">
        <f t="shared" si="94"/>
        <v>159439.01999999999</v>
      </c>
      <c r="AJ116" s="706" t="e">
        <f>VLOOKUP("*"&amp;$B116&amp;"*",'S4 - Summ PRS Characteristics'!$C$13:$Q$20,15,FALSE)*$J116</f>
        <v>#N/A</v>
      </c>
      <c r="AK116" s="706" t="e">
        <f t="shared" si="98"/>
        <v>#N/A</v>
      </c>
      <c r="AL116" s="706" t="e">
        <f>IF($C116="other",(1-$C104)*AJ116,(1-(VLOOKUP($C116,'S3 - Screening Tool Metrics'!$C$3:$G$17,5,FALSE)/100))*AJ116)</f>
        <v>#N/A</v>
      </c>
      <c r="AM116" s="706" t="e">
        <f>IF($C116="other",$C104*AJ116,(VLOOKUP($C116,'S3 - Screening Tool Metrics'!$C$3:$G$17,5,FALSE)/100)*AJ116)</f>
        <v>#N/A</v>
      </c>
      <c r="AN116" s="709" t="e">
        <f t="shared" si="95"/>
        <v>#N/A</v>
      </c>
    </row>
    <row r="117" spans="2:40" ht="14" hidden="1" thickBot="1" x14ac:dyDescent="0.2">
      <c r="B117" s="700" t="s">
        <v>15</v>
      </c>
      <c r="C117" s="721" t="str">
        <f>$C106</f>
        <v>Other</v>
      </c>
      <c r="D117" s="552" t="s">
        <v>292</v>
      </c>
      <c r="E117" s="710">
        <f>VLOOKUP($B117&amp;"_"&amp;$D117,'App5 - CRUK Inci Rates'!C:H,6,FALSE)</f>
        <v>21.887358336490447</v>
      </c>
      <c r="F117" s="711">
        <f>VLOOKUP($B117&amp;"_"&amp;$D117,'App5 - CRUK Inci Rates'!C:H,3,FALSE)</f>
        <v>11.208596103640371</v>
      </c>
      <c r="G117" s="712">
        <f>VLOOKUP($B117&amp;"_"&amp;$D117,'App5 - CRUK Inci Rates'!C:J,8,FALSE)</f>
        <v>8881256.9603638444</v>
      </c>
      <c r="H117" s="713">
        <f>VLOOKUP($B117&amp;"_"&amp;$D117,'App5 - CRUK Inci Rates'!C:J,7,FALSE)</f>
        <v>4929786.333333333</v>
      </c>
      <c r="I117" s="713">
        <f>VLOOKUP($B117&amp;"_"&amp;$D117,'App5 - CRUK Inci Rates'!C:J,4,FALSE)</f>
        <v>5245973.666666667</v>
      </c>
      <c r="J117" s="709">
        <f>VLOOKUP($B117&amp;"_"&amp;$D117,'App5 - CRUK Inci Rates'!C:K,9,FALSE)</f>
        <v>1667</v>
      </c>
      <c r="K117" s="706"/>
      <c r="L117" s="706"/>
      <c r="M117" s="706"/>
      <c r="N117" s="706"/>
      <c r="O117" s="706"/>
      <c r="P117" s="706"/>
      <c r="Q117" s="707">
        <f t="shared" si="88"/>
        <v>1776251.3920727689</v>
      </c>
      <c r="S117" s="706">
        <f>$J117-R117</f>
        <v>1667</v>
      </c>
      <c r="T117" s="706">
        <f>IF($C117="other",(1-$C104)*R117,(1-(VLOOKUP($C117,'S3 - Screening Tool Metrics'!$C$3:$G$17,5,FALSE)/100))*R117)</f>
        <v>0</v>
      </c>
      <c r="U117" s="706">
        <f>IF($C117="other",$C104*R117,(VLOOKUP($C117,'S3 - Screening Tool Metrics'!$C$3:$G$17,5,FALSE)/100)*R117)</f>
        <v>0</v>
      </c>
      <c r="V117" s="708">
        <f t="shared" si="89"/>
        <v>0</v>
      </c>
      <c r="W117" s="707">
        <f t="shared" si="90"/>
        <v>888125.69603638444</v>
      </c>
      <c r="X117" s="706"/>
      <c r="Y117" s="706">
        <f t="shared" si="97"/>
        <v>1667</v>
      </c>
      <c r="Z117" s="706">
        <f>IF($C117="other",(1-$C104)*X117,(1-(VLOOKUP($C117,'S3 - Screening Tool Metrics'!$C$3:$G$17,5,FALSE)/100))*X117)</f>
        <v>0</v>
      </c>
      <c r="AA117" s="706">
        <f>IF($C117="other",$C104*X117,(VLOOKUP($C117,'S3 - Screening Tool Metrics'!$C$3:$G$17,5,FALSE)/100)*X117)</f>
        <v>0</v>
      </c>
      <c r="AB117" s="708">
        <f t="shared" si="91"/>
        <v>0</v>
      </c>
      <c r="AC117" s="706">
        <f t="shared" si="92"/>
        <v>444062.84801819222</v>
      </c>
      <c r="AD117" s="706" t="e">
        <f>VLOOKUP("*"&amp;$B117&amp;"*",'S4 - Summ PRS Characteristics'!$C$13:$Q$20,14,FALSE)*$J117</f>
        <v>#N/A</v>
      </c>
      <c r="AE117" s="706" t="e">
        <f t="shared" si="99"/>
        <v>#N/A</v>
      </c>
      <c r="AF117" s="706" t="e">
        <f>IF($C117="other",(1-$C104)*AD117,(1-(VLOOKUP($C117,'S3 - Screening Tool Metrics'!$C$3:$G$17,5,FALSE)/100))*AD117)</f>
        <v>#N/A</v>
      </c>
      <c r="AG117" s="706" t="e">
        <f>IF($C117="other",$C104*AD117,(VLOOKUP($C117,'S3 - Screening Tool Metrics'!$C$3:$G$17,5,FALSE)/100)*AD117)</f>
        <v>#N/A</v>
      </c>
      <c r="AH117" s="708" t="e">
        <f t="shared" si="93"/>
        <v>#N/A</v>
      </c>
      <c r="AI117" s="707">
        <f t="shared" si="94"/>
        <v>88812.569603638447</v>
      </c>
      <c r="AJ117" s="706" t="e">
        <f>VLOOKUP("*"&amp;$B117&amp;"*",'S4 - Summ PRS Characteristics'!$C$13:$Q$20,15,FALSE)*$J117</f>
        <v>#N/A</v>
      </c>
      <c r="AK117" s="706" t="e">
        <f t="shared" si="98"/>
        <v>#N/A</v>
      </c>
      <c r="AL117" s="706" t="e">
        <f>IF($C117="other",(1-$C104)*AJ117,(1-(VLOOKUP($C117,'S3 - Screening Tool Metrics'!$C$3:$G$17,5,FALSE)/100))*AJ117)</f>
        <v>#N/A</v>
      </c>
      <c r="AM117" s="706" t="e">
        <f>IF($C117="other",$C104*AJ117,(VLOOKUP($C117,'S3 - Screening Tool Metrics'!$C$3:$G$17,5,FALSE)/100)*AJ117)</f>
        <v>#N/A</v>
      </c>
      <c r="AN117" s="709" t="e">
        <f t="shared" si="95"/>
        <v>#N/A</v>
      </c>
    </row>
    <row r="118" spans="2:40" ht="14" hidden="1" thickBot="1" x14ac:dyDescent="0.2">
      <c r="B118" s="700" t="s">
        <v>15</v>
      </c>
      <c r="C118" s="721" t="str">
        <f>$C105</f>
        <v>Other</v>
      </c>
      <c r="D118" s="552" t="s">
        <v>204</v>
      </c>
      <c r="E118" s="710">
        <f>VLOOKUP($B118&amp;"_"&amp;$D118,'App5 - CRUK Inci Rates'!C:H,6,FALSE)</f>
        <v>12.653093795857881</v>
      </c>
      <c r="F118" s="711">
        <f>VLOOKUP($B118&amp;"_"&amp;$D118,'App5 - CRUK Inci Rates'!C:H,3,FALSE)</f>
        <v>6.3867461406483219</v>
      </c>
      <c r="G118" s="712">
        <f>VLOOKUP($B118&amp;"_"&amp;$D118,'App5 - CRUK Inci Rates'!C:J,8,FALSE)</f>
        <v>29847254.666666668</v>
      </c>
      <c r="H118" s="713">
        <f>VLOOKUP($B118&amp;"_"&amp;$D118,'App5 - CRUK Inci Rates'!C:J,7,FALSE)</f>
        <v>14565607.666666668</v>
      </c>
      <c r="I118" s="713">
        <f>VLOOKUP($B118&amp;"_"&amp;$D118,'App5 - CRUK Inci Rates'!C:J,4,FALSE)</f>
        <v>15281647</v>
      </c>
      <c r="J118" s="709">
        <f>VLOOKUP($B118&amp;"_"&amp;$D118,'App5 - CRUK Inci Rates'!C:K,9,FALSE)</f>
        <v>2819</v>
      </c>
      <c r="K118" s="706"/>
      <c r="L118" s="706"/>
      <c r="M118" s="706"/>
      <c r="N118" s="706"/>
      <c r="O118" s="706"/>
      <c r="P118" s="706"/>
      <c r="Q118" s="707">
        <f t="shared" si="88"/>
        <v>5969450.9333333336</v>
      </c>
      <c r="S118" s="706">
        <f t="shared" si="96"/>
        <v>2819</v>
      </c>
      <c r="T118" s="706">
        <f>IF($C118="other",(1-$C104)*R118,(1-(VLOOKUP($C118,'S3 - Screening Tool Metrics'!$C$3:$G$17,5,FALSE)/100))*R118)</f>
        <v>0</v>
      </c>
      <c r="U118" s="706">
        <f>IF($C118="other",$C104*R118,(VLOOKUP($C118,'S3 - Screening Tool Metrics'!$C$3:$G$17,5,FALSE)/100)*R118)</f>
        <v>0</v>
      </c>
      <c r="V118" s="708">
        <f t="shared" si="89"/>
        <v>0</v>
      </c>
      <c r="W118" s="707">
        <f t="shared" si="90"/>
        <v>2984725.4666666668</v>
      </c>
      <c r="X118" s="706"/>
      <c r="Y118" s="706">
        <f t="shared" si="97"/>
        <v>2819</v>
      </c>
      <c r="Z118" s="706">
        <f>IF($C118="other",(1-$C104)*X118,(1-(VLOOKUP($C118,'S3 - Screening Tool Metrics'!$C$3:$G$17,5,FALSE)/100))*X118)</f>
        <v>0</v>
      </c>
      <c r="AA118" s="706">
        <f>IF($C118="other",$C104*X118,(VLOOKUP($C118,'S3 - Screening Tool Metrics'!$C$3:$G$17,5,FALSE)/100)*X118)</f>
        <v>0</v>
      </c>
      <c r="AB118" s="708">
        <f t="shared" si="91"/>
        <v>0</v>
      </c>
      <c r="AC118" s="706">
        <f t="shared" si="92"/>
        <v>1492362.7333333334</v>
      </c>
      <c r="AD118" s="706" t="e">
        <f>VLOOKUP("*"&amp;$B118&amp;"*",'S4 - Summ PRS Characteristics'!$C$13:$Q$20,14,FALSE)*$J118</f>
        <v>#N/A</v>
      </c>
      <c r="AE118" s="706" t="e">
        <f t="shared" si="99"/>
        <v>#N/A</v>
      </c>
      <c r="AF118" s="706" t="e">
        <f>IF($C118="other",(1-$C104)*AD118,(1-(VLOOKUP($C118,'S3 - Screening Tool Metrics'!$C$3:$G$17,5,FALSE)/100))*AD118)</f>
        <v>#N/A</v>
      </c>
      <c r="AG118" s="706" t="e">
        <f>IF($C118="other",$C104*AD118,(VLOOKUP($C118,'S3 - Screening Tool Metrics'!$C$3:$G$17,5,FALSE)/100)*AD118)</f>
        <v>#N/A</v>
      </c>
      <c r="AH118" s="708" t="e">
        <f t="shared" si="93"/>
        <v>#N/A</v>
      </c>
      <c r="AI118" s="707">
        <f t="shared" si="94"/>
        <v>298472.54666666669</v>
      </c>
      <c r="AJ118" s="706" t="e">
        <f>VLOOKUP("*"&amp;$B118&amp;"*",'S4 - Summ PRS Characteristics'!$C$13:$Q$20,15,FALSE)*$J118</f>
        <v>#N/A</v>
      </c>
      <c r="AK118" s="706" t="e">
        <f t="shared" si="98"/>
        <v>#N/A</v>
      </c>
      <c r="AL118" s="706" t="e">
        <f>IF($C118="other",(1-$C104)*AJ118,(1-(VLOOKUP($C118,'S3 - Screening Tool Metrics'!$C$3:$G$17,5,FALSE)/100))*AJ118)</f>
        <v>#N/A</v>
      </c>
      <c r="AM118" s="706" t="e">
        <f>IF($C118="other",$C104*AJ118,(VLOOKUP($C118,'S3 - Screening Tool Metrics'!$C$3:$G$17,5,FALSE)/100)*AJ118)</f>
        <v>#N/A</v>
      </c>
      <c r="AN118" s="709" t="e">
        <f t="shared" si="95"/>
        <v>#N/A</v>
      </c>
    </row>
    <row r="119" spans="2:40" ht="14" hidden="1" thickBot="1" x14ac:dyDescent="0.2">
      <c r="B119" s="700" t="s">
        <v>15</v>
      </c>
      <c r="C119" s="721" t="str">
        <f>$C106</f>
        <v>Other</v>
      </c>
      <c r="D119" s="552" t="s">
        <v>205</v>
      </c>
      <c r="E119" s="710">
        <f>VLOOKUP($B119&amp;"_"&amp;$D119,'App5 - CRUK Inci Rates'!C:H,6,FALSE)</f>
        <v>8.5</v>
      </c>
      <c r="F119" s="711">
        <f>VLOOKUP($B119&amp;"_"&amp;$D119,'App5 - CRUK Inci Rates'!C:H,3,FALSE)</f>
        <v>4.2</v>
      </c>
      <c r="G119" s="712">
        <f>VLOOKUP($B119&amp;"_"&amp;$D119,'App5 - CRUK Inci Rates'!C:J,8,FALSE)</f>
        <v>66041277.666666664</v>
      </c>
      <c r="H119" s="713">
        <f>VLOOKUP($B119&amp;"_"&amp;$D119,'App5 - CRUK Inci Rates'!C:J,7,FALSE)</f>
        <v>32583225.666666668</v>
      </c>
      <c r="I119" s="713">
        <f>VLOOKUP($B119&amp;"_"&amp;$D119,'App5 - CRUK Inci Rates'!C:J,4,FALSE)</f>
        <v>33458051.999999996</v>
      </c>
      <c r="J119" s="709">
        <f>VLOOKUP($B119&amp;"_"&amp;$D119,'App5 - CRUK Inci Rates'!C:K,9,FALSE)</f>
        <v>3803</v>
      </c>
      <c r="K119" s="706"/>
      <c r="L119" s="706"/>
      <c r="M119" s="706"/>
      <c r="N119" s="706"/>
      <c r="O119" s="706"/>
      <c r="P119" s="706"/>
      <c r="Q119" s="715"/>
      <c r="R119" s="716"/>
      <c r="S119" s="716"/>
      <c r="T119" s="716"/>
      <c r="U119" s="716"/>
      <c r="V119" s="717"/>
      <c r="W119" s="715"/>
      <c r="X119" s="716"/>
      <c r="Y119" s="716"/>
      <c r="Z119" s="716"/>
      <c r="AA119" s="716"/>
      <c r="AB119" s="717"/>
      <c r="AC119" s="716"/>
      <c r="AD119" s="716" t="e">
        <f>VLOOKUP("*"&amp;$B119&amp;"*",'S4 - Summ PRS Characteristics'!$C$13:$Q$20,14,FALSE)*$J119</f>
        <v>#N/A</v>
      </c>
      <c r="AE119" s="716"/>
      <c r="AF119" s="716"/>
      <c r="AG119" s="716"/>
      <c r="AH119" s="717"/>
      <c r="AI119" s="715"/>
      <c r="AJ119" s="716" t="e">
        <f>VLOOKUP("*"&amp;$B119&amp;"*",'S4 - Summ PRS Characteristics'!$C$13:$Q$20,15,FALSE)*$J119</f>
        <v>#N/A</v>
      </c>
      <c r="AK119" s="716"/>
      <c r="AL119" s="716"/>
      <c r="AM119" s="716"/>
      <c r="AN119" s="718"/>
    </row>
    <row r="120" spans="2:40" ht="21" customHeight="1" thickBot="1" x14ac:dyDescent="0.2">
      <c r="B120" s="686" t="s">
        <v>32</v>
      </c>
      <c r="C120" s="687"/>
      <c r="D120" s="688"/>
      <c r="E120" s="689"/>
      <c r="F120" s="690"/>
      <c r="G120" s="691"/>
      <c r="H120" s="692"/>
      <c r="I120" s="692"/>
      <c r="J120" s="693"/>
      <c r="K120" s="694"/>
      <c r="L120" s="694"/>
      <c r="M120" s="694"/>
      <c r="N120" s="694"/>
      <c r="O120" s="694"/>
      <c r="P120" s="694"/>
      <c r="Q120" s="695"/>
      <c r="R120" s="696"/>
      <c r="S120" s="696"/>
      <c r="T120" s="696"/>
      <c r="U120" s="696"/>
      <c r="V120" s="697"/>
      <c r="W120" s="695"/>
      <c r="X120" s="696"/>
      <c r="Y120" s="696"/>
      <c r="Z120" s="696"/>
      <c r="AA120" s="696"/>
      <c r="AB120" s="697"/>
      <c r="AC120" s="696"/>
      <c r="AD120" s="696"/>
      <c r="AE120" s="696"/>
      <c r="AF120" s="696"/>
      <c r="AG120" s="696"/>
      <c r="AH120" s="697"/>
      <c r="AI120" s="695"/>
      <c r="AJ120" s="696"/>
      <c r="AK120" s="696"/>
      <c r="AL120" s="696"/>
      <c r="AM120" s="696"/>
      <c r="AN120" s="699"/>
    </row>
    <row r="121" spans="2:40" x14ac:dyDescent="0.15">
      <c r="B121" s="700" t="s">
        <v>32</v>
      </c>
      <c r="C121" s="720" t="s">
        <v>154</v>
      </c>
      <c r="D121" s="593" t="s">
        <v>192</v>
      </c>
      <c r="E121" s="701">
        <f>VLOOKUP($B121&amp;"_"&amp;$D121,'App5 - CRUK Inci Rates'!C:H,6,FALSE)</f>
        <v>6</v>
      </c>
      <c r="F121" s="702">
        <f>VLOOKUP($B121&amp;"_"&amp;$D121,'App5 - CRUK Inci Rates'!C:H,3,FALSE)</f>
        <v>5.8</v>
      </c>
      <c r="G121" s="703">
        <f>VLOOKUP($B121&amp;"_"&amp;$D121,'App5 - CRUK Inci Rates'!C:J,8,FALSE)</f>
        <v>4075608</v>
      </c>
      <c r="H121" s="704">
        <f>VLOOKUP($B121&amp;"_"&amp;$D121,'App5 - CRUK Inci Rates'!C:J,7,FALSE)</f>
        <v>2021384.6666666667</v>
      </c>
      <c r="I121" s="704">
        <f>VLOOKUP($B121&amp;"_"&amp;$D121,'App5 - CRUK Inci Rates'!C:J,4,FALSE)</f>
        <v>2054223.3333333333</v>
      </c>
      <c r="J121" s="705">
        <f>VLOOKUP($B121&amp;"_"&amp;$D121,'App5 - CRUK Inci Rates'!C:K,9,FALSE)</f>
        <v>240</v>
      </c>
      <c r="K121" s="706">
        <f t="shared" si="69"/>
        <v>2037804</v>
      </c>
      <c r="L121" s="706">
        <f>VLOOKUP("*"&amp;$B121&amp;"*",'S4 - Summ PRS Characteristics'!$C$13:$Q$20,11,FALSE)*$J121</f>
        <v>156.53379396881436</v>
      </c>
      <c r="M121" s="706">
        <f t="shared" si="70"/>
        <v>83.466206031185635</v>
      </c>
      <c r="N121" s="706">
        <f>IF($C121="other",(1-$C$7)*L121,(1-(VLOOKUP($C121,'S3 - Screening Tool Metrics'!$C$3:$G$17,5,FALSE)/100))*L121)</f>
        <v>24.106204271197416</v>
      </c>
      <c r="O121" s="706">
        <f>IF($C121="other",$C$7*L121,(VLOOKUP($C121,'S3 - Screening Tool Metrics'!$C$3:$G$17,5,FALSE)/100)*L121)</f>
        <v>132.42758969761695</v>
      </c>
      <c r="P121" s="706">
        <f t="shared" si="71"/>
        <v>55.178162374007066</v>
      </c>
      <c r="Q121" s="707">
        <f t="shared" ref="Q121:Q134" si="100">$G121*Q$3</f>
        <v>815121.60000000009</v>
      </c>
      <c r="R121" s="706">
        <f>VLOOKUP("*"&amp;$B121&amp;"*",'S4 - Summ PRS Characteristics'!$C$13:$Q$20,12,FALSE)*$J121</f>
        <v>78.300243534502457</v>
      </c>
      <c r="S121" s="706">
        <f>$J121-R121</f>
        <v>161.69975646549756</v>
      </c>
      <c r="T121" s="706">
        <f>IF($C121="other",(1-$C120)*R121,(1-(VLOOKUP($C121,'S3 - Screening Tool Metrics'!$C$3:$G$17,5,FALSE)/100))*R121)</f>
        <v>12.05823750431338</v>
      </c>
      <c r="U121" s="706">
        <f>IF($C121="other",$C120*R121,(VLOOKUP($C121,'S3 - Screening Tool Metrics'!$C$3:$G$17,5,FALSE)/100)*R121)</f>
        <v>66.242006030189074</v>
      </c>
      <c r="V121" s="708">
        <f t="shared" ref="V121:V134" si="101">U121/J121*100</f>
        <v>27.600835845912115</v>
      </c>
      <c r="W121" s="707">
        <f t="shared" ref="W121:W134" si="102">$G121*W$3</f>
        <v>407560.80000000005</v>
      </c>
      <c r="X121" s="706">
        <f>VLOOKUP("*"&amp;$B121&amp;"*",'S4 - Summ PRS Characteristics'!$C$13:$Q$20,13,FALSE)*$J121</f>
        <v>44.801771563364156</v>
      </c>
      <c r="Y121" s="706">
        <f>$J121-X121</f>
        <v>195.19822843663584</v>
      </c>
      <c r="Z121" s="706">
        <f>IF($C121="other",(1-$C120)*X121,(1-(VLOOKUP($C121,'S3 - Screening Tool Metrics'!$C$3:$G$17,5,FALSE)/100))*X121)</f>
        <v>6.8994728207580813</v>
      </c>
      <c r="AA121" s="706">
        <f>IF($C121="other",$C120*X121,(VLOOKUP($C121,'S3 - Screening Tool Metrics'!$C$3:$G$17,5,FALSE)/100)*X121)</f>
        <v>37.902298742606078</v>
      </c>
      <c r="AB121" s="708">
        <f t="shared" ref="AB121:AB134" si="103">$AA121/$J121*100</f>
        <v>15.792624476085864</v>
      </c>
      <c r="AC121" s="706">
        <f t="shared" ref="AC121:AC134" si="104">$G121*AC$3</f>
        <v>203780.40000000002</v>
      </c>
      <c r="AD121" s="706">
        <f>VLOOKUP("*"&amp;$B121&amp;"*",'S4 - Summ PRS Characteristics'!$C$13:$Q$20,14,FALSE)*$J121</f>
        <v>25.201919779185356</v>
      </c>
      <c r="AE121" s="706">
        <f>$J121-AD121</f>
        <v>214.79808022081465</v>
      </c>
      <c r="AF121" s="706">
        <f>IF($C121="other",(1-$C120)*AD121,(1-(VLOOKUP($C121,'S3 - Screening Tool Metrics'!$C$3:$G$17,5,FALSE)/100))*AD121)</f>
        <v>3.8810956459945456</v>
      </c>
      <c r="AG121" s="706">
        <f>IF($C121="other",$C120*AD121,(VLOOKUP($C121,'S3 - Screening Tool Metrics'!$C$3:$G$17,5,FALSE)/100)*AD121)</f>
        <v>21.320824133190811</v>
      </c>
      <c r="AH121" s="708">
        <f t="shared" ref="AH121:AH134" si="105">$AG121/$J121*100</f>
        <v>8.8836767221628374</v>
      </c>
      <c r="AI121" s="707">
        <f t="shared" ref="AI121:AI134" si="106">$G121*AI$3</f>
        <v>40756.080000000002</v>
      </c>
      <c r="AJ121" s="706">
        <f>VLOOKUP("*"&amp;$B121&amp;"*",'S4 - Summ PRS Characteristics'!$C$13:$Q$20,15,FALSE)*$J121</f>
        <v>6.358604351255746</v>
      </c>
      <c r="AK121" s="706">
        <f>$J121-AJ121</f>
        <v>233.64139564874426</v>
      </c>
      <c r="AL121" s="706">
        <f>IF($C121="other",(1-$C120)*AJ121,(1-(VLOOKUP($C121,'S3 - Screening Tool Metrics'!$C$3:$G$17,5,FALSE)/100))*AJ121)</f>
        <v>0.979225070093385</v>
      </c>
      <c r="AM121" s="706">
        <f>IF($C121="other",$C120*AJ121,(VLOOKUP($C121,'S3 - Screening Tool Metrics'!$C$3:$G$17,5,FALSE)/100)*AJ121)</f>
        <v>5.3793792811623611</v>
      </c>
      <c r="AN121" s="709">
        <f t="shared" ref="AN121:AN134" si="107">$AM121/$J121*100</f>
        <v>2.2414080338176503</v>
      </c>
    </row>
    <row r="122" spans="2:40" x14ac:dyDescent="0.15">
      <c r="B122" s="700" t="s">
        <v>32</v>
      </c>
      <c r="C122" s="721" t="str">
        <f>$C121</f>
        <v>Low dose CT</v>
      </c>
      <c r="D122" s="552" t="s">
        <v>193</v>
      </c>
      <c r="E122" s="710">
        <f>VLOOKUP($B122&amp;"_"&amp;$D122,'App5 - CRUK Inci Rates'!C:H,6,FALSE)</f>
        <v>16.3</v>
      </c>
      <c r="F122" s="711">
        <f>VLOOKUP($B122&amp;"_"&amp;$D122,'App5 - CRUK Inci Rates'!C:H,3,FALSE)</f>
        <v>14.7</v>
      </c>
      <c r="G122" s="712">
        <f>VLOOKUP($B122&amp;"_"&amp;$D122,'App5 - CRUK Inci Rates'!C:J,8,FALSE)</f>
        <v>4567159.333333334</v>
      </c>
      <c r="H122" s="713">
        <f>VLOOKUP($B122&amp;"_"&amp;$D122,'App5 - CRUK Inci Rates'!C:J,7,FALSE)</f>
        <v>2251680</v>
      </c>
      <c r="I122" s="713">
        <f>VLOOKUP($B122&amp;"_"&amp;$D122,'App5 - CRUK Inci Rates'!C:J,4,FALSE)</f>
        <v>2315479.3333333335</v>
      </c>
      <c r="J122" s="709">
        <f>VLOOKUP($B122&amp;"_"&amp;$D122,'App5 - CRUK Inci Rates'!C:K,9,FALSE)</f>
        <v>706</v>
      </c>
      <c r="K122" s="706">
        <f t="shared" si="69"/>
        <v>2283579.666666667</v>
      </c>
      <c r="L122" s="706">
        <f>VLOOKUP("*"&amp;$B122&amp;"*",'S4 - Summ PRS Characteristics'!$C$13:$Q$20,11,FALSE)*$J122</f>
        <v>460.47024392492887</v>
      </c>
      <c r="M122" s="706">
        <f t="shared" si="70"/>
        <v>245.52975607507113</v>
      </c>
      <c r="N122" s="706">
        <f>IF($C122="other",(1-$C$7)*L122,(1-(VLOOKUP($C122,'S3 - Screening Tool Metrics'!$C$3:$G$17,5,FALSE)/100))*L122)</f>
        <v>70.912417564439053</v>
      </c>
      <c r="O122" s="706">
        <f>IF($C122="other",$C$7*L122,(VLOOKUP($C122,'S3 - Screening Tool Metrics'!$C$3:$G$17,5,FALSE)/100)*L122)</f>
        <v>389.5578263604898</v>
      </c>
      <c r="P122" s="706">
        <f t="shared" si="71"/>
        <v>55.178162374007059</v>
      </c>
      <c r="Q122" s="707">
        <f t="shared" si="100"/>
        <v>913431.86666666681</v>
      </c>
      <c r="R122" s="706">
        <f>VLOOKUP("*"&amp;$B122&amp;"*",'S4 - Summ PRS Characteristics'!$C$13:$Q$20,12,FALSE)*$J122</f>
        <v>230.33321639732804</v>
      </c>
      <c r="S122" s="706">
        <f t="shared" ref="S122:S134" si="108">$J122-R122</f>
        <v>475.66678360267196</v>
      </c>
      <c r="T122" s="706">
        <f>IF($C122="other",(1-$C120)*R122,(1-(VLOOKUP($C122,'S3 - Screening Tool Metrics'!$C$3:$G$17,5,FALSE)/100))*R122)</f>
        <v>35.471315325188527</v>
      </c>
      <c r="U122" s="706">
        <f>IF($C122="other",$C120*R122,(VLOOKUP($C122,'S3 - Screening Tool Metrics'!$C$3:$G$17,5,FALSE)/100)*R122)</f>
        <v>194.86190107213952</v>
      </c>
      <c r="V122" s="708">
        <f t="shared" si="101"/>
        <v>27.600835845912115</v>
      </c>
      <c r="W122" s="707">
        <f t="shared" si="102"/>
        <v>456715.93333333341</v>
      </c>
      <c r="X122" s="706">
        <f>VLOOKUP("*"&amp;$B122&amp;"*",'S4 - Summ PRS Characteristics'!$C$13:$Q$20,13,FALSE)*$J122</f>
        <v>131.7918780155629</v>
      </c>
      <c r="Y122" s="706">
        <f t="shared" ref="Y122:Y134" si="109">$J122-X122</f>
        <v>574.20812198443707</v>
      </c>
      <c r="Z122" s="706">
        <f>IF($C122="other",(1-$C120)*X122,(1-(VLOOKUP($C122,'S3 - Screening Tool Metrics'!$C$3:$G$17,5,FALSE)/100))*X122)</f>
        <v>20.295949214396689</v>
      </c>
      <c r="AA122" s="706">
        <f>IF($C122="other",$C120*X122,(VLOOKUP($C122,'S3 - Screening Tool Metrics'!$C$3:$G$17,5,FALSE)/100)*X122)</f>
        <v>111.49592880116622</v>
      </c>
      <c r="AB122" s="708">
        <f t="shared" si="103"/>
        <v>15.792624476085868</v>
      </c>
      <c r="AC122" s="706">
        <f t="shared" si="104"/>
        <v>228357.9666666667</v>
      </c>
      <c r="AD122" s="706">
        <f>VLOOKUP("*"&amp;$B122&amp;"*",'S4 - Summ PRS Characteristics'!$C$13:$Q$20,14,FALSE)*$J122</f>
        <v>74.135647350436926</v>
      </c>
      <c r="AE122" s="706">
        <f>$J122-AD122</f>
        <v>631.8643526495631</v>
      </c>
      <c r="AF122" s="706">
        <f>IF($C122="other",(1-$C120)*AD122,(1-(VLOOKUP($C122,'S3 - Screening Tool Metrics'!$C$3:$G$17,5,FALSE)/100))*AD122)</f>
        <v>11.416889691967288</v>
      </c>
      <c r="AG122" s="706">
        <f>IF($C122="other",$C120*AD122,(VLOOKUP($C122,'S3 - Screening Tool Metrics'!$C$3:$G$17,5,FALSE)/100)*AD122)</f>
        <v>62.718757658469634</v>
      </c>
      <c r="AH122" s="708">
        <f t="shared" si="105"/>
        <v>8.8836767221628374</v>
      </c>
      <c r="AI122" s="707">
        <f t="shared" si="106"/>
        <v>45671.593333333338</v>
      </c>
      <c r="AJ122" s="706">
        <f>VLOOKUP("*"&amp;$B122&amp;"*",'S4 - Summ PRS Characteristics'!$C$13:$Q$20,15,FALSE)*$J122</f>
        <v>18.70489446661065</v>
      </c>
      <c r="AK122" s="706">
        <f t="shared" ref="AK122:AK134" si="110">$J122-AJ122</f>
        <v>687.29510553338935</v>
      </c>
      <c r="AL122" s="706">
        <f>IF($C122="other",(1-$C120)*AJ122,(1-(VLOOKUP($C122,'S3 - Screening Tool Metrics'!$C$3:$G$17,5,FALSE)/100))*AJ122)</f>
        <v>2.8805537478580407</v>
      </c>
      <c r="AM122" s="706">
        <f>IF($C122="other",$C120*AJ122,(VLOOKUP($C122,'S3 - Screening Tool Metrics'!$C$3:$G$17,5,FALSE)/100)*AJ122)</f>
        <v>15.824340718752609</v>
      </c>
      <c r="AN122" s="709">
        <f t="shared" si="107"/>
        <v>2.2414080338176499</v>
      </c>
    </row>
    <row r="123" spans="2:40" x14ac:dyDescent="0.15">
      <c r="B123" s="700" t="s">
        <v>32</v>
      </c>
      <c r="C123" s="721" t="str">
        <f>$C121</f>
        <v>Low dose CT</v>
      </c>
      <c r="D123" s="552" t="s">
        <v>194</v>
      </c>
      <c r="E123" s="710">
        <f>VLOOKUP($B123&amp;"_"&amp;$D123,'App5 - CRUK Inci Rates'!C:H,6,FALSE)</f>
        <v>33.4</v>
      </c>
      <c r="F123" s="711">
        <f>VLOOKUP($B123&amp;"_"&amp;$D123,'App5 - CRUK Inci Rates'!C:H,3,FALSE)</f>
        <v>31.5</v>
      </c>
      <c r="G123" s="712">
        <f>VLOOKUP($B123&amp;"_"&amp;$D123,'App5 - CRUK Inci Rates'!C:J,8,FALSE)</f>
        <v>4658110.666666666</v>
      </c>
      <c r="H123" s="713">
        <f>VLOOKUP($B123&amp;"_"&amp;$D123,'App5 - CRUK Inci Rates'!C:J,7,FALSE)</f>
        <v>2293472.6666666665</v>
      </c>
      <c r="I123" s="713">
        <f>VLOOKUP($B123&amp;"_"&amp;$D123,'App5 - CRUK Inci Rates'!C:J,4,FALSE)</f>
        <v>2364638</v>
      </c>
      <c r="J123" s="709">
        <f>VLOOKUP($B123&amp;"_"&amp;$D123,'App5 - CRUK Inci Rates'!C:K,9,FALSE)</f>
        <v>1512</v>
      </c>
      <c r="K123" s="706">
        <f t="shared" si="69"/>
        <v>2329055.333333333</v>
      </c>
      <c r="L123" s="706">
        <f>VLOOKUP("*"&amp;$B123&amp;"*",'S4 - Summ PRS Characteristics'!$C$13:$Q$20,11,FALSE)*$J123</f>
        <v>986.16290200353046</v>
      </c>
      <c r="M123" s="706">
        <f t="shared" si="70"/>
        <v>525.83709799646954</v>
      </c>
      <c r="N123" s="706">
        <f>IF($C123="other",(1-$C$7)*L123,(1-(VLOOKUP($C123,'S3 - Screening Tool Metrics'!$C$3:$G$17,5,FALSE)/100))*L123)</f>
        <v>151.86908690854372</v>
      </c>
      <c r="O123" s="706">
        <f>IF($C123="other",$C$7*L123,(VLOOKUP($C123,'S3 - Screening Tool Metrics'!$C$3:$G$17,5,FALSE)/100)*L123)</f>
        <v>834.29381509498671</v>
      </c>
      <c r="P123" s="706">
        <f t="shared" si="71"/>
        <v>55.178162374007059</v>
      </c>
      <c r="Q123" s="707">
        <f t="shared" si="100"/>
        <v>931622.1333333333</v>
      </c>
      <c r="R123" s="706">
        <f>VLOOKUP("*"&amp;$B123&amp;"*",'S4 - Summ PRS Characteristics'!$C$13:$Q$20,12,FALSE)*$J123</f>
        <v>493.29153426736548</v>
      </c>
      <c r="S123" s="706">
        <f t="shared" si="108"/>
        <v>1018.7084657326345</v>
      </c>
      <c r="T123" s="706">
        <f>IF($C123="other",(1-$C120)*R123,(1-(VLOOKUP($C123,'S3 - Screening Tool Metrics'!$C$3:$G$17,5,FALSE)/100))*R123)</f>
        <v>75.9668962771743</v>
      </c>
      <c r="U123" s="706">
        <f>IF($C123="other",$C120*R123,(VLOOKUP($C123,'S3 - Screening Tool Metrics'!$C$3:$G$17,5,FALSE)/100)*R123)</f>
        <v>417.32463799019121</v>
      </c>
      <c r="V123" s="708">
        <f t="shared" si="101"/>
        <v>27.600835845912119</v>
      </c>
      <c r="W123" s="707">
        <f t="shared" si="102"/>
        <v>465811.06666666665</v>
      </c>
      <c r="X123" s="706">
        <f>VLOOKUP("*"&amp;$B123&amp;"*",'S4 - Summ PRS Characteristics'!$C$13:$Q$20,13,FALSE)*$J123</f>
        <v>282.25116084919415</v>
      </c>
      <c r="Y123" s="706">
        <f t="shared" si="109"/>
        <v>1229.7488391508059</v>
      </c>
      <c r="Z123" s="706">
        <f>IF($C123="other",(1-$C120)*X123,(1-(VLOOKUP($C123,'S3 - Screening Tool Metrics'!$C$3:$G$17,5,FALSE)/100))*X123)</f>
        <v>43.466678770775907</v>
      </c>
      <c r="AA123" s="706">
        <f>IF($C123="other",$C120*X123,(VLOOKUP($C123,'S3 - Screening Tool Metrics'!$C$3:$G$17,5,FALSE)/100)*X123)</f>
        <v>238.78448207841825</v>
      </c>
      <c r="AB123" s="708">
        <f t="shared" si="103"/>
        <v>15.792624476085862</v>
      </c>
      <c r="AC123" s="706">
        <f t="shared" si="104"/>
        <v>232905.53333333333</v>
      </c>
      <c r="AD123" s="706">
        <f>VLOOKUP("*"&amp;$B123&amp;"*",'S4 - Summ PRS Characteristics'!$C$13:$Q$20,14,FALSE)*$J123</f>
        <v>158.77209460886775</v>
      </c>
      <c r="AE123" s="706">
        <f t="shared" ref="AE123:AE134" si="111">$J123-AD123</f>
        <v>1353.2279053911323</v>
      </c>
      <c r="AF123" s="706">
        <f>IF($C123="other",(1-$C120)*AD123,(1-(VLOOKUP($C123,'S3 - Screening Tool Metrics'!$C$3:$G$17,5,FALSE)/100))*AD123)</f>
        <v>24.450902569765638</v>
      </c>
      <c r="AG123" s="706">
        <f>IF($C123="other",$C120*AD123,(VLOOKUP($C123,'S3 - Screening Tool Metrics'!$C$3:$G$17,5,FALSE)/100)*AD123)</f>
        <v>134.3211920391021</v>
      </c>
      <c r="AH123" s="708">
        <f t="shared" si="105"/>
        <v>8.8836767221628374</v>
      </c>
      <c r="AI123" s="707">
        <f t="shared" si="106"/>
        <v>46581.106666666659</v>
      </c>
      <c r="AJ123" s="706">
        <f>VLOOKUP("*"&amp;$B123&amp;"*",'S4 - Summ PRS Characteristics'!$C$13:$Q$20,15,FALSE)*$J123</f>
        <v>40.059207412911199</v>
      </c>
      <c r="AK123" s="706">
        <f t="shared" si="110"/>
        <v>1471.9407925870887</v>
      </c>
      <c r="AL123" s="706">
        <f>IF($C123="other",(1-$C120)*AJ123,(1-(VLOOKUP($C123,'S3 - Screening Tool Metrics'!$C$3:$G$17,5,FALSE)/100))*AJ123)</f>
        <v>6.1691179415883255</v>
      </c>
      <c r="AM123" s="706">
        <f>IF($C123="other",$C120*AJ123,(VLOOKUP($C123,'S3 - Screening Tool Metrics'!$C$3:$G$17,5,FALSE)/100)*AJ123)</f>
        <v>33.890089471322874</v>
      </c>
      <c r="AN123" s="709">
        <f t="shared" si="107"/>
        <v>2.2414080338176503</v>
      </c>
    </row>
    <row r="124" spans="2:40" x14ac:dyDescent="0.15">
      <c r="B124" s="700" t="s">
        <v>32</v>
      </c>
      <c r="C124" s="721" t="str">
        <f>$C121</f>
        <v>Low dose CT</v>
      </c>
      <c r="D124" s="552" t="s">
        <v>195</v>
      </c>
      <c r="E124" s="710">
        <f>VLOOKUP($B124&amp;"_"&amp;$D124,'App5 - CRUK Inci Rates'!C:H,6,FALSE)</f>
        <v>71.400000000000006</v>
      </c>
      <c r="F124" s="711">
        <f>VLOOKUP($B124&amp;"_"&amp;$D124,'App5 - CRUK Inci Rates'!C:H,3,FALSE)</f>
        <v>67.099999999999994</v>
      </c>
      <c r="G124" s="712">
        <f>VLOOKUP($B124&amp;"_"&amp;$D124,'App5 - CRUK Inci Rates'!C:J,8,FALSE)</f>
        <v>4181606</v>
      </c>
      <c r="H124" s="713">
        <f>VLOOKUP($B124&amp;"_"&amp;$D124,'App5 - CRUK Inci Rates'!C:J,7,FALSE)</f>
        <v>2061918.6666666667</v>
      </c>
      <c r="I124" s="713">
        <f>VLOOKUP($B124&amp;"_"&amp;$D124,'App5 - CRUK Inci Rates'!C:J,4,FALSE)</f>
        <v>2119687.3333333335</v>
      </c>
      <c r="J124" s="709">
        <f>VLOOKUP($B124&amp;"_"&amp;$D124,'App5 - CRUK Inci Rates'!C:K,9,FALSE)</f>
        <v>2896</v>
      </c>
      <c r="K124" s="706">
        <f t="shared" si="69"/>
        <v>2090803</v>
      </c>
      <c r="L124" s="706">
        <f>VLOOKUP("*"&amp;$B124&amp;"*",'S4 - Summ PRS Characteristics'!$C$13:$Q$20,11,FALSE)*$J124</f>
        <v>1888.8411138903598</v>
      </c>
      <c r="M124" s="706">
        <f t="shared" si="70"/>
        <v>1007.1588861096402</v>
      </c>
      <c r="N124" s="706">
        <f>IF($C124="other",(1-$C$7)*L124,(1-(VLOOKUP($C124,'S3 - Screening Tool Metrics'!$C$3:$G$17,5,FALSE)/100))*L124)</f>
        <v>290.88153153911543</v>
      </c>
      <c r="O124" s="706">
        <f>IF($C124="other",$C$7*L124,(VLOOKUP($C124,'S3 - Screening Tool Metrics'!$C$3:$G$17,5,FALSE)/100)*L124)</f>
        <v>1597.9595823512443</v>
      </c>
      <c r="P124" s="706">
        <f t="shared" si="71"/>
        <v>55.178162374007059</v>
      </c>
      <c r="Q124" s="707">
        <f t="shared" si="100"/>
        <v>836321.20000000007</v>
      </c>
      <c r="R124" s="706">
        <f>VLOOKUP("*"&amp;$B124&amp;"*",'S4 - Summ PRS Characteristics'!$C$13:$Q$20,12,FALSE)*$J124</f>
        <v>944.82293864966289</v>
      </c>
      <c r="S124" s="706">
        <f t="shared" si="108"/>
        <v>1951.1770613503372</v>
      </c>
      <c r="T124" s="706">
        <f>IF($C124="other",(1-$C120)*R124,(1-(VLOOKUP($C124,'S3 - Screening Tool Metrics'!$C$3:$G$17,5,FALSE)/100))*R124)</f>
        <v>145.50273255204812</v>
      </c>
      <c r="U124" s="706">
        <f>IF($C124="other",$C120*R124,(VLOOKUP($C124,'S3 - Screening Tool Metrics'!$C$3:$G$17,5,FALSE)/100)*R124)</f>
        <v>799.3202060976148</v>
      </c>
      <c r="V124" s="708">
        <f t="shared" si="101"/>
        <v>27.600835845912115</v>
      </c>
      <c r="W124" s="707">
        <f t="shared" si="102"/>
        <v>418160.60000000003</v>
      </c>
      <c r="X124" s="706">
        <f>VLOOKUP("*"&amp;$B124&amp;"*",'S4 - Summ PRS Characteristics'!$C$13:$Q$20,13,FALSE)*$J124</f>
        <v>540.60804353126082</v>
      </c>
      <c r="Y124" s="706">
        <f t="shared" si="109"/>
        <v>2355.3919564687394</v>
      </c>
      <c r="Z124" s="706">
        <f>IF($C124="other",(1-$C120)*X124,(1-(VLOOKUP($C124,'S3 - Screening Tool Metrics'!$C$3:$G$17,5,FALSE)/100))*X124)</f>
        <v>83.253638703814175</v>
      </c>
      <c r="AA124" s="706">
        <f>IF($C124="other",$C120*X124,(VLOOKUP($C124,'S3 - Screening Tool Metrics'!$C$3:$G$17,5,FALSE)/100)*X124)</f>
        <v>457.35440482744661</v>
      </c>
      <c r="AB124" s="708">
        <f t="shared" si="103"/>
        <v>15.792624476085864</v>
      </c>
      <c r="AC124" s="706">
        <f t="shared" si="104"/>
        <v>209080.30000000002</v>
      </c>
      <c r="AD124" s="706">
        <f>VLOOKUP("*"&amp;$B124&amp;"*",'S4 - Summ PRS Characteristics'!$C$13:$Q$20,14,FALSE)*$J124</f>
        <v>304.10316533550332</v>
      </c>
      <c r="AE124" s="706">
        <f t="shared" si="111"/>
        <v>2591.8968346644965</v>
      </c>
      <c r="AF124" s="706">
        <f>IF($C124="other",(1-$C120)*AD124,(1-(VLOOKUP($C124,'S3 - Screening Tool Metrics'!$C$3:$G$17,5,FALSE)/100))*AD124)</f>
        <v>46.83188746166752</v>
      </c>
      <c r="AG124" s="706">
        <f>IF($C124="other",$C120*AD124,(VLOOKUP($C124,'S3 - Screening Tool Metrics'!$C$3:$G$17,5,FALSE)/100)*AD124)</f>
        <v>257.2712778738358</v>
      </c>
      <c r="AH124" s="708">
        <f t="shared" si="105"/>
        <v>8.8836767221628374</v>
      </c>
      <c r="AI124" s="707">
        <f t="shared" si="106"/>
        <v>41816.06</v>
      </c>
      <c r="AJ124" s="706">
        <f>VLOOKUP("*"&amp;$B124&amp;"*",'S4 - Summ PRS Characteristics'!$C$13:$Q$20,15,FALSE)*$J124</f>
        <v>76.727159171819324</v>
      </c>
      <c r="AK124" s="706">
        <f t="shared" si="110"/>
        <v>2819.2728408281805</v>
      </c>
      <c r="AL124" s="706">
        <f>IF($C124="other",(1-$C120)*AJ124,(1-(VLOOKUP($C124,'S3 - Screening Tool Metrics'!$C$3:$G$17,5,FALSE)/100))*AJ124)</f>
        <v>11.815982512460177</v>
      </c>
      <c r="AM124" s="706">
        <f>IF($C124="other",$C120*AJ124,(VLOOKUP($C124,'S3 - Screening Tool Metrics'!$C$3:$G$17,5,FALSE)/100)*AJ124)</f>
        <v>64.911176659359143</v>
      </c>
      <c r="AN124" s="709">
        <f t="shared" si="107"/>
        <v>2.2414080338176499</v>
      </c>
    </row>
    <row r="125" spans="2:40" x14ac:dyDescent="0.15">
      <c r="B125" s="700" t="s">
        <v>32</v>
      </c>
      <c r="C125" s="721" t="str">
        <f>$C121</f>
        <v>Low dose CT</v>
      </c>
      <c r="D125" s="552" t="s">
        <v>196</v>
      </c>
      <c r="E125" s="710">
        <f>VLOOKUP($B125&amp;"_"&amp;$D125,'App5 - CRUK Inci Rates'!C:H,6,FALSE)</f>
        <v>137</v>
      </c>
      <c r="F125" s="711">
        <f>VLOOKUP($B125&amp;"_"&amp;$D125,'App5 - CRUK Inci Rates'!C:H,3,FALSE)</f>
        <v>124.9</v>
      </c>
      <c r="G125" s="712">
        <f>VLOOKUP($B125&amp;"_"&amp;$D125,'App5 - CRUK Inci Rates'!C:J,8,FALSE)</f>
        <v>3602002</v>
      </c>
      <c r="H125" s="713">
        <f>VLOOKUP($B125&amp;"_"&amp;$D125,'App5 - CRUK Inci Rates'!C:J,7,FALSE)</f>
        <v>1764828</v>
      </c>
      <c r="I125" s="713">
        <f>VLOOKUP($B125&amp;"_"&amp;$D125,'App5 - CRUK Inci Rates'!C:J,4,FALSE)</f>
        <v>1837174</v>
      </c>
      <c r="J125" s="709">
        <f>VLOOKUP($B125&amp;"_"&amp;$D125,'App5 - CRUK Inci Rates'!C:K,9,FALSE)</f>
        <v>4711</v>
      </c>
      <c r="K125" s="706">
        <f t="shared" si="69"/>
        <v>1801001</v>
      </c>
      <c r="L125" s="706">
        <f>VLOOKUP("*"&amp;$B125&amp;"*",'S4 - Summ PRS Characteristics'!$C$13:$Q$20,11,FALSE)*$J125</f>
        <v>3072.6279307795185</v>
      </c>
      <c r="M125" s="706">
        <f t="shared" si="70"/>
        <v>1638.3720692204815</v>
      </c>
      <c r="N125" s="706">
        <f>IF($C125="other",(1-$C$7)*L125,(1-(VLOOKUP($C125,'S3 - Screening Tool Metrics'!$C$3:$G$17,5,FALSE)/100))*L125)</f>
        <v>473.18470134004593</v>
      </c>
      <c r="O125" s="706">
        <f>IF($C125="other",$C$7*L125,(VLOOKUP($C125,'S3 - Screening Tool Metrics'!$C$3:$G$17,5,FALSE)/100)*L125)</f>
        <v>2599.4432294394724</v>
      </c>
      <c r="P125" s="706">
        <f t="shared" si="71"/>
        <v>55.178162374007059</v>
      </c>
      <c r="Q125" s="707">
        <f t="shared" si="100"/>
        <v>720400.4</v>
      </c>
      <c r="R125" s="706">
        <f>VLOOKUP("*"&amp;$B125&amp;"*",'S4 - Summ PRS Characteristics'!$C$13:$Q$20,12,FALSE)*$J125</f>
        <v>1536.9685303793378</v>
      </c>
      <c r="S125" s="706">
        <f t="shared" si="108"/>
        <v>3174.0314696206624</v>
      </c>
      <c r="T125" s="706">
        <f>IF($C125="other",(1-$C120)*R125,(1-(VLOOKUP($C125,'S3 - Screening Tool Metrics'!$C$3:$G$17,5,FALSE)/100))*R125)</f>
        <v>236.69315367841807</v>
      </c>
      <c r="U125" s="706">
        <f>IF($C125="other",$C120*R125,(VLOOKUP($C125,'S3 - Screening Tool Metrics'!$C$3:$G$17,5,FALSE)/100)*R125)</f>
        <v>1300.2753767009199</v>
      </c>
      <c r="V125" s="708">
        <f t="shared" si="101"/>
        <v>27.600835845912119</v>
      </c>
      <c r="W125" s="707">
        <f t="shared" si="102"/>
        <v>360200.2</v>
      </c>
      <c r="X125" s="706">
        <f>VLOOKUP("*"&amp;$B125&amp;"*",'S4 - Summ PRS Characteristics'!$C$13:$Q$20,13,FALSE)*$J125</f>
        <v>879.4214409792022</v>
      </c>
      <c r="Y125" s="706">
        <f t="shared" si="109"/>
        <v>3831.5785590207979</v>
      </c>
      <c r="Z125" s="706">
        <f>IF($C125="other",(1-$C120)*X125,(1-(VLOOKUP($C125,'S3 - Screening Tool Metrics'!$C$3:$G$17,5,FALSE)/100))*X125)</f>
        <v>135.43090191079716</v>
      </c>
      <c r="AA125" s="706">
        <f>IF($C125="other",$C120*X125,(VLOOKUP($C125,'S3 - Screening Tool Metrics'!$C$3:$G$17,5,FALSE)/100)*X125)</f>
        <v>743.99053906840504</v>
      </c>
      <c r="AB125" s="708">
        <f t="shared" si="103"/>
        <v>15.792624476085864</v>
      </c>
      <c r="AC125" s="706">
        <f t="shared" si="104"/>
        <v>180100.1</v>
      </c>
      <c r="AD125" s="706">
        <f>VLOOKUP("*"&amp;$B125&amp;"*",'S4 - Summ PRS Characteristics'!$C$13:$Q$20,14,FALSE)*$J125</f>
        <v>494.6926836655926</v>
      </c>
      <c r="AE125" s="706">
        <f t="shared" si="111"/>
        <v>4216.307316334407</v>
      </c>
      <c r="AF125" s="706">
        <f>IF($C125="other",(1-$C120)*AD125,(1-(VLOOKUP($C125,'S3 - Screening Tool Metrics'!$C$3:$G$17,5,FALSE)/100))*AD125)</f>
        <v>76.182673284501277</v>
      </c>
      <c r="AG125" s="706">
        <f>IF($C125="other",$C120*AD125,(VLOOKUP($C125,'S3 - Screening Tool Metrics'!$C$3:$G$17,5,FALSE)/100)*AD125)</f>
        <v>418.51001038109132</v>
      </c>
      <c r="AH125" s="708">
        <f t="shared" si="105"/>
        <v>8.8836767221628374</v>
      </c>
      <c r="AI125" s="707">
        <f t="shared" si="106"/>
        <v>36020.020000000004</v>
      </c>
      <c r="AJ125" s="706">
        <f>VLOOKUP("*"&amp;$B125&amp;"*",'S4 - Summ PRS Characteristics'!$C$13:$Q$20,15,FALSE)*$J125</f>
        <v>124.81410457819091</v>
      </c>
      <c r="AK125" s="706">
        <f t="shared" si="110"/>
        <v>4586.1858954218087</v>
      </c>
      <c r="AL125" s="706">
        <f>IF($C125="other",(1-$C120)*AJ125,(1-(VLOOKUP($C125,'S3 - Screening Tool Metrics'!$C$3:$G$17,5,FALSE)/100))*AJ125)</f>
        <v>19.221372105041404</v>
      </c>
      <c r="AM125" s="706">
        <f>IF($C125="other",$C120*AJ125,(VLOOKUP($C125,'S3 - Screening Tool Metrics'!$C$3:$G$17,5,FALSE)/100)*AJ125)</f>
        <v>105.59273247314951</v>
      </c>
      <c r="AN125" s="709">
        <f t="shared" si="107"/>
        <v>2.2414080338176503</v>
      </c>
    </row>
    <row r="126" spans="2:40" x14ac:dyDescent="0.15">
      <c r="B126" s="700" t="s">
        <v>32</v>
      </c>
      <c r="C126" s="721" t="str">
        <f>$C121</f>
        <v>Low dose CT</v>
      </c>
      <c r="D126" s="552" t="s">
        <v>197</v>
      </c>
      <c r="E126" s="710">
        <f>VLOOKUP($B126&amp;"_"&amp;$D126,'App5 - CRUK Inci Rates'!C:H,6,FALSE)</f>
        <v>229.5</v>
      </c>
      <c r="F126" s="711">
        <f>VLOOKUP($B126&amp;"_"&amp;$D126,'App5 - CRUK Inci Rates'!C:H,3,FALSE)</f>
        <v>197.8</v>
      </c>
      <c r="G126" s="712">
        <f>VLOOKUP($B126&amp;"_"&amp;$D126,'App5 - CRUK Inci Rates'!C:J,8,FALSE)</f>
        <v>3502183.333333333</v>
      </c>
      <c r="H126" s="713">
        <f>VLOOKUP($B126&amp;"_"&amp;$D126,'App5 - CRUK Inci Rates'!C:J,7,FALSE)</f>
        <v>1696993.3333333333</v>
      </c>
      <c r="I126" s="713">
        <f>VLOOKUP($B126&amp;"_"&amp;$D126,'App5 - CRUK Inci Rates'!C:J,4,FALSE)</f>
        <v>1805190</v>
      </c>
      <c r="J126" s="709">
        <f>VLOOKUP($B126&amp;"_"&amp;$D126,'App5 - CRUK Inci Rates'!C:K,9,FALSE)</f>
        <v>7466</v>
      </c>
      <c r="K126" s="706">
        <f t="shared" si="69"/>
        <v>1751091.6666666665</v>
      </c>
      <c r="L126" s="706">
        <f>VLOOKUP("*"&amp;$B126&amp;"*",'S4 - Summ PRS Characteristics'!$C$13:$Q$20,11,FALSE)*$J126</f>
        <v>4869.5054407132002</v>
      </c>
      <c r="M126" s="706">
        <f t="shared" si="70"/>
        <v>2596.4945592867998</v>
      </c>
      <c r="N126" s="706">
        <f>IF($C126="other",(1-$C$7)*L126,(1-(VLOOKUP($C126,'S3 - Screening Tool Metrics'!$C$3:$G$17,5,FALSE)/100))*L126)</f>
        <v>749.90383786983296</v>
      </c>
      <c r="O126" s="706">
        <f>IF($C126="other",$C$7*L126,(VLOOKUP($C126,'S3 - Screening Tool Metrics'!$C$3:$G$17,5,FALSE)/100)*L126)</f>
        <v>4119.6016028433669</v>
      </c>
      <c r="P126" s="706">
        <f t="shared" si="71"/>
        <v>55.178162374007059</v>
      </c>
      <c r="Q126" s="707">
        <f t="shared" si="100"/>
        <v>700436.66666666663</v>
      </c>
      <c r="R126" s="706">
        <f>VLOOKUP("*"&amp;$B126&amp;"*",'S4 - Summ PRS Characteristics'!$C$13:$Q$20,12,FALSE)*$J126</f>
        <v>2435.7900759524805</v>
      </c>
      <c r="S126" s="706">
        <f t="shared" si="108"/>
        <v>5030.20992404752</v>
      </c>
      <c r="T126" s="706">
        <f>IF($C126="other",(1-$C120)*R126,(1-(VLOOKUP($C126,'S3 - Screening Tool Metrics'!$C$3:$G$17,5,FALSE)/100))*R126)</f>
        <v>375.11167169668204</v>
      </c>
      <c r="U126" s="706">
        <f>IF($C126="other",$C120*R126,(VLOOKUP($C126,'S3 - Screening Tool Metrics'!$C$3:$G$17,5,FALSE)/100)*R126)</f>
        <v>2060.6784042557983</v>
      </c>
      <c r="V126" s="708">
        <f t="shared" si="101"/>
        <v>27.600835845912115</v>
      </c>
      <c r="W126" s="707">
        <f t="shared" si="102"/>
        <v>350218.33333333331</v>
      </c>
      <c r="X126" s="706">
        <f>VLOOKUP("*"&amp;$B126&amp;"*",'S4 - Summ PRS Characteristics'!$C$13:$Q$20,13,FALSE)*$J126</f>
        <v>1393.7084437169865</v>
      </c>
      <c r="Y126" s="706">
        <f t="shared" si="109"/>
        <v>6072.2915562830131</v>
      </c>
      <c r="Z126" s="706">
        <f>IF($C126="other",(1-$C120)*X126,(1-(VLOOKUP($C126,'S3 - Screening Tool Metrics'!$C$3:$G$17,5,FALSE)/100))*X126)</f>
        <v>214.63110033241597</v>
      </c>
      <c r="AA126" s="706">
        <f>IF($C126="other",$C120*X126,(VLOOKUP($C126,'S3 - Screening Tool Metrics'!$C$3:$G$17,5,FALSE)/100)*X126)</f>
        <v>1179.0773433845704</v>
      </c>
      <c r="AB126" s="708">
        <f t="shared" si="103"/>
        <v>15.792624476085862</v>
      </c>
      <c r="AC126" s="706">
        <f t="shared" si="104"/>
        <v>175109.16666666666</v>
      </c>
      <c r="AD126" s="706">
        <f>VLOOKUP("*"&amp;$B126&amp;"*",'S4 - Summ PRS Characteristics'!$C$13:$Q$20,14,FALSE)*$J126</f>
        <v>783.98972113082448</v>
      </c>
      <c r="AE126" s="706">
        <f t="shared" si="111"/>
        <v>6682.0102788691756</v>
      </c>
      <c r="AF126" s="706">
        <f>IF($C126="other",(1-$C120)*AD126,(1-(VLOOKUP($C126,'S3 - Screening Tool Metrics'!$C$3:$G$17,5,FALSE)/100))*AD126)</f>
        <v>120.73441705414699</v>
      </c>
      <c r="AG126" s="706">
        <f>IF($C126="other",$C120*AD126,(VLOOKUP($C126,'S3 - Screening Tool Metrics'!$C$3:$G$17,5,FALSE)/100)*AD126)</f>
        <v>663.25530407667748</v>
      </c>
      <c r="AH126" s="708">
        <f t="shared" si="105"/>
        <v>8.8836767221628374</v>
      </c>
      <c r="AI126" s="707">
        <f t="shared" si="106"/>
        <v>35021.833333333328</v>
      </c>
      <c r="AJ126" s="706">
        <f>VLOOKUP("*"&amp;$B126&amp;"*",'S4 - Summ PRS Characteristics'!$C$13:$Q$20,15,FALSE)*$J126</f>
        <v>197.80558369364749</v>
      </c>
      <c r="AK126" s="706">
        <f t="shared" si="110"/>
        <v>7268.1944163063527</v>
      </c>
      <c r="AL126" s="706">
        <f>IF($C126="other",(1-$C120)*AJ126,(1-(VLOOKUP($C126,'S3 - Screening Tool Metrics'!$C$3:$G$17,5,FALSE)/100))*AJ126)</f>
        <v>30.46205988882172</v>
      </c>
      <c r="AM126" s="706">
        <f>IF($C126="other",$C120*AJ126,(VLOOKUP($C126,'S3 - Screening Tool Metrics'!$C$3:$G$17,5,FALSE)/100)*AJ126)</f>
        <v>167.34352380482576</v>
      </c>
      <c r="AN126" s="709">
        <f t="shared" si="107"/>
        <v>2.2414080338176503</v>
      </c>
    </row>
    <row r="127" spans="2:40" x14ac:dyDescent="0.15">
      <c r="B127" s="700" t="s">
        <v>32</v>
      </c>
      <c r="C127" s="721" t="str">
        <f>$C121</f>
        <v>Low dose CT</v>
      </c>
      <c r="D127" s="552" t="s">
        <v>198</v>
      </c>
      <c r="E127" s="710">
        <f>VLOOKUP($B127&amp;"_"&amp;$D127,'App5 - CRUK Inci Rates'!C:H,6,FALSE)</f>
        <v>335</v>
      </c>
      <c r="F127" s="711">
        <f>VLOOKUP($B127&amp;"_"&amp;$D127,'App5 - CRUK Inci Rates'!C:H,3,FALSE)</f>
        <v>278.10000000000002</v>
      </c>
      <c r="G127" s="712">
        <f>VLOOKUP($B127&amp;"_"&amp;$D127,'App5 - CRUK Inci Rates'!C:J,8,FALSE)</f>
        <v>3071574.666666667</v>
      </c>
      <c r="H127" s="713">
        <f>VLOOKUP($B127&amp;"_"&amp;$D127,'App5 - CRUK Inci Rates'!C:J,7,FALSE)</f>
        <v>1467965</v>
      </c>
      <c r="I127" s="713">
        <f>VLOOKUP($B127&amp;"_"&amp;$D127,'App5 - CRUK Inci Rates'!C:J,4,FALSE)</f>
        <v>1603609.6666666667</v>
      </c>
      <c r="J127" s="709">
        <f>VLOOKUP($B127&amp;"_"&amp;$D127,'App5 - CRUK Inci Rates'!C:K,9,FALSE)</f>
        <v>9378</v>
      </c>
      <c r="K127" s="706">
        <f t="shared" si="69"/>
        <v>1535787.3333333335</v>
      </c>
      <c r="L127" s="706">
        <f>VLOOKUP("*"&amp;$B127&amp;"*",'S4 - Summ PRS Characteristics'!$C$13:$Q$20,11,FALSE)*$J127</f>
        <v>6116.5579993314213</v>
      </c>
      <c r="M127" s="706">
        <f t="shared" si="70"/>
        <v>3261.4420006685787</v>
      </c>
      <c r="N127" s="706">
        <f>IF($C127="other",(1-$C$7)*L127,(1-(VLOOKUP($C127,'S3 - Screening Tool Metrics'!$C$3:$G$17,5,FALSE)/100))*L127)</f>
        <v>941.94993189703905</v>
      </c>
      <c r="O127" s="706">
        <f>IF($C127="other",$C$7*L127,(VLOOKUP($C127,'S3 - Screening Tool Metrics'!$C$3:$G$17,5,FALSE)/100)*L127)</f>
        <v>5174.6080674343821</v>
      </c>
      <c r="P127" s="706">
        <f t="shared" si="71"/>
        <v>55.178162374007059</v>
      </c>
      <c r="Q127" s="707">
        <f t="shared" si="100"/>
        <v>614314.93333333347</v>
      </c>
      <c r="R127" s="706">
        <f>VLOOKUP("*"&amp;$B127&amp;"*",'S4 - Summ PRS Characteristics'!$C$13:$Q$20,12,FALSE)*$J127</f>
        <v>3059.5820161106835</v>
      </c>
      <c r="S127" s="706">
        <f t="shared" si="108"/>
        <v>6318.417983889316</v>
      </c>
      <c r="T127" s="706">
        <f>IF($C127="other",(1-$C120)*R127,(1-(VLOOKUP($C127,'S3 - Screening Tool Metrics'!$C$3:$G$17,5,FALSE)/100))*R127)</f>
        <v>471.17563048104535</v>
      </c>
      <c r="U127" s="706">
        <f>IF($C127="other",$C120*R127,(VLOOKUP($C127,'S3 - Screening Tool Metrics'!$C$3:$G$17,5,FALSE)/100)*R127)</f>
        <v>2588.4063856296384</v>
      </c>
      <c r="V127" s="708">
        <f t="shared" si="101"/>
        <v>27.600835845912119</v>
      </c>
      <c r="W127" s="707">
        <f t="shared" si="102"/>
        <v>307157.46666666673</v>
      </c>
      <c r="X127" s="706">
        <f>VLOOKUP("*"&amp;$B127&amp;"*",'S4 - Summ PRS Characteristics'!$C$13:$Q$20,13,FALSE)*$J127</f>
        <v>1750.6292238384544</v>
      </c>
      <c r="Y127" s="706">
        <f t="shared" si="109"/>
        <v>7627.370776161546</v>
      </c>
      <c r="Z127" s="706">
        <f>IF($C127="other",(1-$C120)*X127,(1-(VLOOKUP($C127,'S3 - Screening Tool Metrics'!$C$3:$G$17,5,FALSE)/100))*X127)</f>
        <v>269.59690047112201</v>
      </c>
      <c r="AA127" s="706">
        <f>IF($C127="other",$C120*X127,(VLOOKUP($C127,'S3 - Screening Tool Metrics'!$C$3:$G$17,5,FALSE)/100)*X127)</f>
        <v>1481.0323233673323</v>
      </c>
      <c r="AB127" s="708">
        <f t="shared" si="103"/>
        <v>15.792624476085864</v>
      </c>
      <c r="AC127" s="706">
        <f t="shared" si="104"/>
        <v>153578.73333333337</v>
      </c>
      <c r="AD127" s="706">
        <f>VLOOKUP("*"&amp;$B127&amp;"*",'S4 - Summ PRS Characteristics'!$C$13:$Q$20,14,FALSE)*$J127</f>
        <v>984.7650153716678</v>
      </c>
      <c r="AE127" s="706">
        <f t="shared" si="111"/>
        <v>8393.2349846283323</v>
      </c>
      <c r="AF127" s="706">
        <f>IF($C127="other",(1-$C120)*AD127,(1-(VLOOKUP($C127,'S3 - Screening Tool Metrics'!$C$3:$G$17,5,FALSE)/100))*AD127)</f>
        <v>151.65381236723687</v>
      </c>
      <c r="AG127" s="706">
        <f>IF($C127="other",$C120*AD127,(VLOOKUP($C127,'S3 - Screening Tool Metrics'!$C$3:$G$17,5,FALSE)/100)*AD127)</f>
        <v>833.11120300443099</v>
      </c>
      <c r="AH127" s="708">
        <f t="shared" si="105"/>
        <v>8.8836767221628374</v>
      </c>
      <c r="AI127" s="707">
        <f t="shared" si="106"/>
        <v>30715.74666666667</v>
      </c>
      <c r="AJ127" s="706">
        <f>VLOOKUP("*"&amp;$B127&amp;"*",'S4 - Summ PRS Characteristics'!$C$13:$Q$20,15,FALSE)*$J127</f>
        <v>248.46246502531827</v>
      </c>
      <c r="AK127" s="706">
        <f t="shared" si="110"/>
        <v>9129.537534974681</v>
      </c>
      <c r="AL127" s="706">
        <f>IF($C127="other",(1-$C120)*AJ127,(1-(VLOOKUP($C127,'S3 - Screening Tool Metrics'!$C$3:$G$17,5,FALSE)/100))*AJ127)</f>
        <v>38.263219613899018</v>
      </c>
      <c r="AM127" s="706">
        <f>IF($C127="other",$C120*AJ127,(VLOOKUP($C127,'S3 - Screening Tool Metrics'!$C$3:$G$17,5,FALSE)/100)*AJ127)</f>
        <v>210.19924541141924</v>
      </c>
      <c r="AN127" s="709">
        <f t="shared" si="107"/>
        <v>2.2414080338176503</v>
      </c>
    </row>
    <row r="128" spans="2:40" x14ac:dyDescent="0.15">
      <c r="B128" s="700" t="s">
        <v>32</v>
      </c>
      <c r="C128" s="721" t="str">
        <f>$C121</f>
        <v>Low dose CT</v>
      </c>
      <c r="D128" s="552" t="s">
        <v>199</v>
      </c>
      <c r="E128" s="710">
        <f>VLOOKUP($B128&amp;"_"&amp;$D128,'App5 - CRUK Inci Rates'!C:H,6,FALSE)</f>
        <v>462.2</v>
      </c>
      <c r="F128" s="711">
        <f>VLOOKUP($B128&amp;"_"&amp;$D128,'App5 - CRUK Inci Rates'!C:H,3,FALSE)</f>
        <v>340.5</v>
      </c>
      <c r="G128" s="712">
        <f>VLOOKUP($B128&amp;"_"&amp;$D128,'App5 - CRUK Inci Rates'!C:J,8,FALSE)</f>
        <v>2189010.6666666665</v>
      </c>
      <c r="H128" s="713">
        <f>VLOOKUP($B128&amp;"_"&amp;$D128,'App5 - CRUK Inci Rates'!C:J,7,FALSE)</f>
        <v>1007365.3333333334</v>
      </c>
      <c r="I128" s="713">
        <f>VLOOKUP($B128&amp;"_"&amp;$D128,'App5 - CRUK Inci Rates'!C:J,4,FALSE)</f>
        <v>1181645.3333333333</v>
      </c>
      <c r="J128" s="709">
        <f>VLOOKUP($B128&amp;"_"&amp;$D128,'App5 - CRUK Inci Rates'!C:K,9,FALSE)</f>
        <v>8680</v>
      </c>
      <c r="K128" s="706">
        <f t="shared" si="69"/>
        <v>1094505.3333333333</v>
      </c>
      <c r="L128" s="706">
        <f>VLOOKUP("*"&amp;$B128&amp;"*",'S4 - Summ PRS Characteristics'!$C$13:$Q$20,11,FALSE)*$J128</f>
        <v>5661.3055485387858</v>
      </c>
      <c r="M128" s="706">
        <f t="shared" si="70"/>
        <v>3018.6944514612142</v>
      </c>
      <c r="N128" s="706">
        <f>IF($C128="other",(1-$C$7)*L128,(1-(VLOOKUP($C128,'S3 - Screening Tool Metrics'!$C$3:$G$17,5,FALSE)/100))*L128)</f>
        <v>871.84105447497313</v>
      </c>
      <c r="O128" s="706">
        <f>IF($C128="other",$C$7*L128,(VLOOKUP($C128,'S3 - Screening Tool Metrics'!$C$3:$G$17,5,FALSE)/100)*L128)</f>
        <v>4789.4644940638127</v>
      </c>
      <c r="P128" s="706">
        <f t="shared" si="71"/>
        <v>55.178162374007059</v>
      </c>
      <c r="Q128" s="707">
        <f t="shared" si="100"/>
        <v>437802.1333333333</v>
      </c>
      <c r="R128" s="706">
        <f>VLOOKUP("*"&amp;$B128&amp;"*",'S4 - Summ PRS Characteristics'!$C$13:$Q$20,12,FALSE)*$J128</f>
        <v>2831.8588078311723</v>
      </c>
      <c r="S128" s="706">
        <f t="shared" si="108"/>
        <v>5848.1411921688277</v>
      </c>
      <c r="T128" s="706">
        <f>IF($C128="other",(1-$C120)*R128,(1-(VLOOKUP($C128,'S3 - Screening Tool Metrics'!$C$3:$G$17,5,FALSE)/100))*R128)</f>
        <v>436.10625640600063</v>
      </c>
      <c r="U128" s="706">
        <f>IF($C128="other",$C120*R128,(VLOOKUP($C128,'S3 - Screening Tool Metrics'!$C$3:$G$17,5,FALSE)/100)*R128)</f>
        <v>2395.7525514251715</v>
      </c>
      <c r="V128" s="708">
        <f t="shared" si="101"/>
        <v>27.600835845912115</v>
      </c>
      <c r="W128" s="707">
        <f t="shared" si="102"/>
        <v>218901.06666666665</v>
      </c>
      <c r="X128" s="706">
        <f>VLOOKUP("*"&amp;$B128&amp;"*",'S4 - Summ PRS Characteristics'!$C$13:$Q$20,13,FALSE)*$J128</f>
        <v>1620.3307382083369</v>
      </c>
      <c r="Y128" s="706">
        <f t="shared" si="109"/>
        <v>7059.6692617916633</v>
      </c>
      <c r="Z128" s="706">
        <f>IF($C128="other",(1-$C120)*X128,(1-(VLOOKUP($C128,'S3 - Screening Tool Metrics'!$C$3:$G$17,5,FALSE)/100))*X128)</f>
        <v>249.53093368408392</v>
      </c>
      <c r="AA128" s="706">
        <f>IF($C128="other",$C120*X128,(VLOOKUP($C128,'S3 - Screening Tool Metrics'!$C$3:$G$17,5,FALSE)/100)*X128)</f>
        <v>1370.799804524253</v>
      </c>
      <c r="AB128" s="708">
        <f t="shared" si="103"/>
        <v>15.792624476085864</v>
      </c>
      <c r="AC128" s="706">
        <f t="shared" si="104"/>
        <v>109450.53333333333</v>
      </c>
      <c r="AD128" s="706">
        <f>VLOOKUP("*"&amp;$B128&amp;"*",'S4 - Summ PRS Characteristics'!$C$13:$Q$20,14,FALSE)*$J128</f>
        <v>911.46943201387046</v>
      </c>
      <c r="AE128" s="706">
        <f t="shared" si="111"/>
        <v>7768.5305679861294</v>
      </c>
      <c r="AF128" s="706">
        <f>IF($C128="other",(1-$C120)*AD128,(1-(VLOOKUP($C128,'S3 - Screening Tool Metrics'!$C$3:$G$17,5,FALSE)/100))*AD128)</f>
        <v>140.36629253013606</v>
      </c>
      <c r="AG128" s="706">
        <f>IF($C128="other",$C120*AD128,(VLOOKUP($C128,'S3 - Screening Tool Metrics'!$C$3:$G$17,5,FALSE)/100)*AD128)</f>
        <v>771.10313948373437</v>
      </c>
      <c r="AH128" s="708">
        <f t="shared" si="105"/>
        <v>8.8836767221628374</v>
      </c>
      <c r="AI128" s="707">
        <f t="shared" si="106"/>
        <v>21890.106666666667</v>
      </c>
      <c r="AJ128" s="706">
        <f>VLOOKUP("*"&amp;$B128&amp;"*",'S4 - Summ PRS Characteristics'!$C$13:$Q$20,15,FALSE)*$J128</f>
        <v>229.96952403708281</v>
      </c>
      <c r="AK128" s="706">
        <f t="shared" si="110"/>
        <v>8450.030475962918</v>
      </c>
      <c r="AL128" s="706">
        <f>IF($C128="other",(1-$C120)*AJ128,(1-(VLOOKUP($C128,'S3 - Screening Tool Metrics'!$C$3:$G$17,5,FALSE)/100))*AJ128)</f>
        <v>35.415306701710755</v>
      </c>
      <c r="AM128" s="706">
        <f>IF($C128="other",$C120*AJ128,(VLOOKUP($C128,'S3 - Screening Tool Metrics'!$C$3:$G$17,5,FALSE)/100)*AJ128)</f>
        <v>194.55421733537204</v>
      </c>
      <c r="AN128" s="709">
        <f t="shared" si="107"/>
        <v>2.2414080338176503</v>
      </c>
    </row>
    <row r="129" spans="2:40" x14ac:dyDescent="0.15">
      <c r="B129" s="700" t="s">
        <v>32</v>
      </c>
      <c r="C129" s="721" t="str">
        <f>$C121</f>
        <v>Low dose CT</v>
      </c>
      <c r="D129" s="552" t="s">
        <v>200</v>
      </c>
      <c r="E129" s="710">
        <f>VLOOKUP($B129&amp;"_"&amp;$D129,'App5 - CRUK Inci Rates'!C:H,6,FALSE)</f>
        <v>74.762553006779655</v>
      </c>
      <c r="F129" s="711">
        <f>VLOOKUP($B129&amp;"_"&amp;$D129,'App5 - CRUK Inci Rates'!C:H,3,FALSE)</f>
        <v>67.955614708629497</v>
      </c>
      <c r="G129" s="712">
        <f>VLOOKUP($B129&amp;"_"&amp;$D129,'App5 - CRUK Inci Rates'!C:J,8,FALSE)</f>
        <v>24586669.333333336</v>
      </c>
      <c r="H129" s="713">
        <f>VLOOKUP($B129&amp;"_"&amp;$D129,'App5 - CRUK Inci Rates'!C:J,7,FALSE)</f>
        <v>12090277.333333334</v>
      </c>
      <c r="I129" s="713">
        <f>VLOOKUP($B129&amp;"_"&amp;$D129,'App5 - CRUK Inci Rates'!C:J,4,FALSE)</f>
        <v>12496392</v>
      </c>
      <c r="J129" s="709">
        <f>VLOOKUP($B129&amp;"_"&amp;$D129,'App5 - CRUK Inci Rates'!C:K,9,FALSE)</f>
        <v>17531</v>
      </c>
      <c r="K129" s="706">
        <f t="shared" si="69"/>
        <v>12293334.666666668</v>
      </c>
      <c r="L129" s="706">
        <f>VLOOKUP("*"&amp;$B129&amp;"*",'S4 - Summ PRS Characteristics'!$C$13:$Q$20,11,FALSE)*$J129</f>
        <v>11434.141425280352</v>
      </c>
      <c r="M129" s="706">
        <f t="shared" si="70"/>
        <v>6096.8585747196485</v>
      </c>
      <c r="N129" s="706">
        <f>IF($C129="other",(1-$C$7)*L129,(1-(VLOOKUP($C129,'S3 - Screening Tool Metrics'!$C$3:$G$17,5,FALSE)/100))*L129)</f>
        <v>1760.8577794931743</v>
      </c>
      <c r="O129" s="706">
        <f>IF($C129="other",$C$7*L129,(VLOOKUP($C129,'S3 - Screening Tool Metrics'!$C$3:$G$17,5,FALSE)/100)*L129)</f>
        <v>9673.2836457871763</v>
      </c>
      <c r="P129" s="706">
        <f t="shared" si="71"/>
        <v>55.178162374007059</v>
      </c>
      <c r="Q129" s="707">
        <f t="shared" si="100"/>
        <v>4917333.8666666672</v>
      </c>
      <c r="R129" s="706">
        <f>VLOOKUP("*"&amp;$B129&amp;"*",'S4 - Summ PRS Characteristics'!$C$13:$Q$20,12,FALSE)*$J129</f>
        <v>5719.5065391806775</v>
      </c>
      <c r="S129" s="706">
        <f t="shared" si="108"/>
        <v>11811.493460819322</v>
      </c>
      <c r="T129" s="706">
        <f>IF($C129="other",(1-$C120)*R129,(1-(VLOOKUP($C129,'S3 - Screening Tool Metrics'!$C$3:$G$17,5,FALSE)/100))*R129)</f>
        <v>880.80400703382452</v>
      </c>
      <c r="U129" s="706">
        <f>IF($C129="other",$C120*R129,(VLOOKUP($C129,'S3 - Screening Tool Metrics'!$C$3:$G$17,5,FALSE)/100)*R129)</f>
        <v>4838.7025321468527</v>
      </c>
      <c r="V129" s="708">
        <f t="shared" si="101"/>
        <v>27.600835845912115</v>
      </c>
      <c r="W129" s="707">
        <f t="shared" si="102"/>
        <v>2458666.9333333336</v>
      </c>
      <c r="X129" s="706">
        <f>VLOOKUP("*"&amp;$B129&amp;"*",'S4 - Summ PRS Characteristics'!$C$13:$Q$20,13,FALSE)*$J129</f>
        <v>3272.5827386555707</v>
      </c>
      <c r="Y129" s="706">
        <f t="shared" si="109"/>
        <v>14258.41726134443</v>
      </c>
      <c r="Z129" s="706">
        <f>IF($C129="other",(1-$C120)*X129,(1-(VLOOKUP($C129,'S3 - Screening Tool Metrics'!$C$3:$G$17,5,FALSE)/100))*X129)</f>
        <v>503.97774175295797</v>
      </c>
      <c r="AA129" s="706">
        <f>IF($C129="other",$C120*X129,(VLOOKUP($C129,'S3 - Screening Tool Metrics'!$C$3:$G$17,5,FALSE)/100)*X129)</f>
        <v>2768.6049969026126</v>
      </c>
      <c r="AB129" s="708">
        <f t="shared" si="103"/>
        <v>15.792624476085862</v>
      </c>
      <c r="AC129" s="706">
        <f t="shared" si="104"/>
        <v>1229333.4666666668</v>
      </c>
      <c r="AD129" s="706">
        <f>VLOOKUP("*"&amp;$B129&amp;"*",'S4 - Summ PRS Characteristics'!$C$13:$Q$20,14,FALSE)*$J129</f>
        <v>1840.8952318704105</v>
      </c>
      <c r="AE129" s="706">
        <f t="shared" si="111"/>
        <v>15690.10476812959</v>
      </c>
      <c r="AF129" s="706">
        <f>IF($C129="other",(1-$C120)*AD129,(1-(VLOOKUP($C129,'S3 - Screening Tool Metrics'!$C$3:$G$17,5,FALSE)/100))*AD129)</f>
        <v>283.49786570804326</v>
      </c>
      <c r="AG129" s="706">
        <f>IF($C129="other",$C120*AD129,(VLOOKUP($C129,'S3 - Screening Tool Metrics'!$C$3:$G$17,5,FALSE)/100)*AD129)</f>
        <v>1557.3973661623672</v>
      </c>
      <c r="AH129" s="708">
        <f t="shared" si="105"/>
        <v>8.8836767221628374</v>
      </c>
      <c r="AI129" s="707">
        <f t="shared" si="106"/>
        <v>245866.69333333336</v>
      </c>
      <c r="AJ129" s="706">
        <f>VLOOKUP("*"&amp;$B129&amp;"*",'S4 - Summ PRS Characteristics'!$C$13:$Q$20,15,FALSE)*$J129</f>
        <v>464.4695536744353</v>
      </c>
      <c r="AK129" s="706">
        <f t="shared" si="110"/>
        <v>17066.530446325563</v>
      </c>
      <c r="AL129" s="706">
        <f>IF($C129="other",(1-$C120)*AJ129,(1-(VLOOKUP($C129,'S3 - Screening Tool Metrics'!$C$3:$G$17,5,FALSE)/100))*AJ129)</f>
        <v>71.528311265863053</v>
      </c>
      <c r="AM129" s="706">
        <f>IF($C129="other",$C120*AJ129,(VLOOKUP($C129,'S3 - Screening Tool Metrics'!$C$3:$G$17,5,FALSE)/100)*AJ129)</f>
        <v>392.94124240857224</v>
      </c>
      <c r="AN129" s="709">
        <f t="shared" si="107"/>
        <v>2.2414080338176499</v>
      </c>
    </row>
    <row r="130" spans="2:40" x14ac:dyDescent="0.15">
      <c r="B130" s="700" t="s">
        <v>32</v>
      </c>
      <c r="C130" s="721" t="str">
        <f>$C121</f>
        <v>Low dose CT</v>
      </c>
      <c r="D130" s="552" t="s">
        <v>201</v>
      </c>
      <c r="E130" s="710">
        <f>VLOOKUP($B130&amp;"_"&amp;$D130,'App5 - CRUK Inci Rates'!C:H,6,FALSE)</f>
        <v>11.420374791114012</v>
      </c>
      <c r="F130" s="711">
        <f>VLOOKUP($B130&amp;"_"&amp;$D130,'App5 - CRUK Inci Rates'!C:H,3,FALSE)</f>
        <v>10.481262340656587</v>
      </c>
      <c r="G130" s="712">
        <f>VLOOKUP($B130&amp;"_"&amp;$D130,'App5 - CRUK Inci Rates'!C:J,8,FALSE)</f>
        <v>8642767.333333334</v>
      </c>
      <c r="H130" s="713">
        <f>VLOOKUP($B130&amp;"_"&amp;$D130,'App5 - CRUK Inci Rates'!C:J,7,FALSE)</f>
        <v>4273064.666666667</v>
      </c>
      <c r="I130" s="713">
        <f>VLOOKUP($B130&amp;"_"&amp;$D130,'App5 - CRUK Inci Rates'!C:J,4,FALSE)</f>
        <v>4369702.666666667</v>
      </c>
      <c r="J130" s="709">
        <f>VLOOKUP($B130&amp;"_"&amp;$D130,'App5 - CRUK Inci Rates'!C:K,9,FALSE)</f>
        <v>946</v>
      </c>
      <c r="K130" s="706">
        <f t="shared" si="69"/>
        <v>4321383.666666667</v>
      </c>
      <c r="L130" s="706">
        <f>VLOOKUP("*"&amp;$B130&amp;"*",'S4 - Summ PRS Characteristics'!$C$13:$Q$20,11,FALSE)*$J130</f>
        <v>617.0040378937432</v>
      </c>
      <c r="M130" s="706">
        <f t="shared" si="70"/>
        <v>328.9959621062568</v>
      </c>
      <c r="N130" s="706">
        <f>IF($C130="other",(1-$C$7)*L130,(1-(VLOOKUP($C130,'S3 - Screening Tool Metrics'!$C$3:$G$17,5,FALSE)/100))*L130)</f>
        <v>95.018621835636466</v>
      </c>
      <c r="O130" s="706">
        <f>IF($C130="other",$C$7*L130,(VLOOKUP($C130,'S3 - Screening Tool Metrics'!$C$3:$G$17,5,FALSE)/100)*L130)</f>
        <v>521.98541605810669</v>
      </c>
      <c r="P130" s="706">
        <f t="shared" si="71"/>
        <v>55.178162374007044</v>
      </c>
      <c r="Q130" s="707">
        <f t="shared" si="100"/>
        <v>1728553.4666666668</v>
      </c>
      <c r="R130" s="706">
        <f>VLOOKUP("*"&amp;$B130&amp;"*",'S4 - Summ PRS Characteristics'!$C$13:$Q$20,12,FALSE)*$J130</f>
        <v>308.63345993183049</v>
      </c>
      <c r="S130" s="706">
        <f t="shared" si="108"/>
        <v>637.36654006816957</v>
      </c>
      <c r="T130" s="706">
        <f>IF($C130="other",(1-$C120)*R130,(1-(VLOOKUP($C130,'S3 - Screening Tool Metrics'!$C$3:$G$17,5,FALSE)/100))*R130)</f>
        <v>47.529552829501903</v>
      </c>
      <c r="U130" s="706">
        <f>IF($C130="other",$C120*R130,(VLOOKUP($C130,'S3 - Screening Tool Metrics'!$C$3:$G$17,5,FALSE)/100)*R130)</f>
        <v>261.10390710232861</v>
      </c>
      <c r="V130" s="708">
        <f t="shared" si="101"/>
        <v>27.600835845912115</v>
      </c>
      <c r="W130" s="707">
        <f t="shared" si="102"/>
        <v>864276.7333333334</v>
      </c>
      <c r="X130" s="706">
        <f>VLOOKUP("*"&amp;$B130&amp;"*",'S4 - Summ PRS Characteristics'!$C$13:$Q$20,13,FALSE)*$J130</f>
        <v>176.59364957892703</v>
      </c>
      <c r="Y130" s="706">
        <f t="shared" si="109"/>
        <v>769.40635042107294</v>
      </c>
      <c r="Z130" s="706">
        <f>IF($C130="other",(1-$C120)*X130,(1-(VLOOKUP($C130,'S3 - Screening Tool Metrics'!$C$3:$G$17,5,FALSE)/100))*X130)</f>
        <v>27.195422035154767</v>
      </c>
      <c r="AA130" s="706">
        <f>IF($C130="other",$C120*X130,(VLOOKUP($C130,'S3 - Screening Tool Metrics'!$C$3:$G$17,5,FALSE)/100)*X130)</f>
        <v>149.39822754377226</v>
      </c>
      <c r="AB130" s="708">
        <f t="shared" si="103"/>
        <v>15.792624476085862</v>
      </c>
      <c r="AC130" s="706">
        <f t="shared" si="104"/>
        <v>432138.3666666667</v>
      </c>
      <c r="AD130" s="706">
        <f>VLOOKUP("*"&amp;$B130&amp;"*",'S4 - Summ PRS Characteristics'!$C$13:$Q$20,14,FALSE)*$J130</f>
        <v>99.337567129622286</v>
      </c>
      <c r="AE130" s="706">
        <f t="shared" si="111"/>
        <v>846.66243287037776</v>
      </c>
      <c r="AF130" s="706">
        <f>IF($C130="other",(1-$C120)*AD130,(1-(VLOOKUP($C130,'S3 - Screening Tool Metrics'!$C$3:$G$17,5,FALSE)/100))*AD130)</f>
        <v>15.297985337961835</v>
      </c>
      <c r="AG130" s="706">
        <f>IF($C130="other",$C120*AD130,(VLOOKUP($C130,'S3 - Screening Tool Metrics'!$C$3:$G$17,5,FALSE)/100)*AD130)</f>
        <v>84.039581791660453</v>
      </c>
      <c r="AH130" s="708">
        <f t="shared" si="105"/>
        <v>8.8836767221628374</v>
      </c>
      <c r="AI130" s="707">
        <f t="shared" si="106"/>
        <v>86427.67333333334</v>
      </c>
      <c r="AJ130" s="706">
        <f>VLOOKUP("*"&amp;$B130&amp;"*",'S4 - Summ PRS Characteristics'!$C$13:$Q$20,15,FALSE)*$J130</f>
        <v>25.063498817866396</v>
      </c>
      <c r="AK130" s="706">
        <f t="shared" si="110"/>
        <v>920.93650118213361</v>
      </c>
      <c r="AL130" s="706">
        <f>IF($C130="other",(1-$C120)*AJ130,(1-(VLOOKUP($C130,'S3 - Screening Tool Metrics'!$C$3:$G$17,5,FALSE)/100))*AJ130)</f>
        <v>3.8597788179514256</v>
      </c>
      <c r="AM130" s="706">
        <f>IF($C130="other",$C120*AJ130,(VLOOKUP($C130,'S3 - Screening Tool Metrics'!$C$3:$G$17,5,FALSE)/100)*AJ130)</f>
        <v>21.20371999991497</v>
      </c>
      <c r="AN130" s="709">
        <f t="shared" si="107"/>
        <v>2.2414080338176499</v>
      </c>
    </row>
    <row r="131" spans="2:40" x14ac:dyDescent="0.15">
      <c r="B131" s="700" t="s">
        <v>32</v>
      </c>
      <c r="C131" s="721" t="str">
        <f>$C121</f>
        <v>Low dose CT</v>
      </c>
      <c r="D131" s="552" t="s">
        <v>202</v>
      </c>
      <c r="E131" s="710">
        <f>VLOOKUP($B131&amp;"_"&amp;$D131,'App5 - CRUK Inci Rates'!C:H,6,FALSE)</f>
        <v>51.407550519379285</v>
      </c>
      <c r="F131" s="711">
        <f>VLOOKUP($B131&amp;"_"&amp;$D131,'App5 - CRUK Inci Rates'!C:H,3,FALSE)</f>
        <v>48.368479955661847</v>
      </c>
      <c r="G131" s="712">
        <f>VLOOKUP($B131&amp;"_"&amp;$D131,'App5 - CRUK Inci Rates'!C:J,8,FALSE)</f>
        <v>8839716.6666666679</v>
      </c>
      <c r="H131" s="713">
        <f>VLOOKUP($B131&amp;"_"&amp;$D131,'App5 - CRUK Inci Rates'!C:J,7,FALSE)</f>
        <v>4355391.333333333</v>
      </c>
      <c r="I131" s="713">
        <f>VLOOKUP($B131&amp;"_"&amp;$D131,'App5 - CRUK Inci Rates'!C:J,4,FALSE)</f>
        <v>4484325.333333334</v>
      </c>
      <c r="J131" s="709">
        <f>VLOOKUP($B131&amp;"_"&amp;$D131,'App5 - CRUK Inci Rates'!C:K,9,FALSE)</f>
        <v>4408</v>
      </c>
      <c r="K131" s="706">
        <f t="shared" si="69"/>
        <v>4419858.333333334</v>
      </c>
      <c r="L131" s="706">
        <f>VLOOKUP("*"&amp;$B131&amp;"*",'S4 - Summ PRS Characteristics'!$C$13:$Q$20,11,FALSE)*$J131</f>
        <v>2875.0040158938905</v>
      </c>
      <c r="M131" s="706">
        <f t="shared" si="70"/>
        <v>1532.9959841061095</v>
      </c>
      <c r="N131" s="706">
        <f>IF($C131="other",(1-$C$7)*L131,(1-(VLOOKUP($C131,'S3 - Screening Tool Metrics'!$C$3:$G$17,5,FALSE)/100))*L131)</f>
        <v>442.75061844765924</v>
      </c>
      <c r="O131" s="706">
        <f>IF($C131="other",$C$7*L131,(VLOOKUP($C131,'S3 - Screening Tool Metrics'!$C$3:$G$17,5,FALSE)/100)*L131)</f>
        <v>2432.2533974462312</v>
      </c>
      <c r="P131" s="706">
        <f t="shared" si="71"/>
        <v>55.178162374007059</v>
      </c>
      <c r="Q131" s="707">
        <f t="shared" si="100"/>
        <v>1767943.3333333337</v>
      </c>
      <c r="R131" s="706">
        <f>VLOOKUP("*"&amp;$B131&amp;"*",'S4 - Summ PRS Characteristics'!$C$13:$Q$20,12,FALSE)*$J131</f>
        <v>1438.1144729170285</v>
      </c>
      <c r="S131" s="706">
        <f t="shared" si="108"/>
        <v>2969.8855270829717</v>
      </c>
      <c r="T131" s="706">
        <f>IF($C131="other",(1-$C120)*R131,(1-(VLOOKUP($C131,'S3 - Screening Tool Metrics'!$C$3:$G$17,5,FALSE)/100))*R131)</f>
        <v>221.46962882922242</v>
      </c>
      <c r="U131" s="706">
        <f>IF($C131="other",$C120*R131,(VLOOKUP($C131,'S3 - Screening Tool Metrics'!$C$3:$G$17,5,FALSE)/100)*R131)</f>
        <v>1216.644844087806</v>
      </c>
      <c r="V131" s="708">
        <f t="shared" si="101"/>
        <v>27.600835845912115</v>
      </c>
      <c r="W131" s="707">
        <f t="shared" si="102"/>
        <v>883971.66666666686</v>
      </c>
      <c r="X131" s="706">
        <f>VLOOKUP("*"&amp;$B131&amp;"*",'S4 - Summ PRS Characteristics'!$C$13:$Q$20,13,FALSE)*$J131</f>
        <v>822.85920438045503</v>
      </c>
      <c r="Y131" s="706">
        <f t="shared" si="109"/>
        <v>3585.1407956195449</v>
      </c>
      <c r="Z131" s="706">
        <f>IF($C131="other",(1-$C120)*X131,(1-(VLOOKUP($C131,'S3 - Screening Tool Metrics'!$C$3:$G$17,5,FALSE)/100))*X131)</f>
        <v>126.72031747459009</v>
      </c>
      <c r="AA131" s="706">
        <f>IF($C131="other",$C120*X131,(VLOOKUP($C131,'S3 - Screening Tool Metrics'!$C$3:$G$17,5,FALSE)/100)*X131)</f>
        <v>696.13888690586498</v>
      </c>
      <c r="AB131" s="708">
        <f t="shared" si="103"/>
        <v>15.792624476085868</v>
      </c>
      <c r="AC131" s="706">
        <f t="shared" si="104"/>
        <v>441985.83333333343</v>
      </c>
      <c r="AD131" s="706">
        <f>VLOOKUP("*"&amp;$B131&amp;"*",'S4 - Summ PRS Characteristics'!$C$13:$Q$20,14,FALSE)*$J131</f>
        <v>462.87525994437107</v>
      </c>
      <c r="AE131" s="706">
        <f t="shared" si="111"/>
        <v>3945.124740055629</v>
      </c>
      <c r="AF131" s="706">
        <f>IF($C131="other",(1-$C120)*AD131,(1-(VLOOKUP($C131,'S3 - Screening Tool Metrics'!$C$3:$G$17,5,FALSE)/100))*AD131)</f>
        <v>71.282790031433152</v>
      </c>
      <c r="AG131" s="706">
        <f>IF($C131="other",$C120*AD131,(VLOOKUP($C131,'S3 - Screening Tool Metrics'!$C$3:$G$17,5,FALSE)/100)*AD131)</f>
        <v>391.59246991293793</v>
      </c>
      <c r="AH131" s="708">
        <f t="shared" si="105"/>
        <v>8.8836767221628392</v>
      </c>
      <c r="AI131" s="707">
        <f t="shared" si="106"/>
        <v>88397.166666666686</v>
      </c>
      <c r="AJ131" s="706">
        <f>VLOOKUP("*"&amp;$B131&amp;"*",'S4 - Summ PRS Characteristics'!$C$13:$Q$20,15,FALSE)*$J131</f>
        <v>116.78636658473053</v>
      </c>
      <c r="AK131" s="706">
        <f t="shared" si="110"/>
        <v>4291.2136334152692</v>
      </c>
      <c r="AL131" s="706">
        <f>IF($C131="other",(1-$C120)*AJ131,(1-(VLOOKUP($C131,'S3 - Screening Tool Metrics'!$C$3:$G$17,5,FALSE)/100))*AJ131)</f>
        <v>17.985100454048503</v>
      </c>
      <c r="AM131" s="706">
        <f>IF($C131="other",$C120*AJ131,(VLOOKUP($C131,'S3 - Screening Tool Metrics'!$C$3:$G$17,5,FALSE)/100)*AJ131)</f>
        <v>98.801266130682023</v>
      </c>
      <c r="AN131" s="709">
        <f t="shared" si="107"/>
        <v>2.2414080338176503</v>
      </c>
    </row>
    <row r="132" spans="2:40" x14ac:dyDescent="0.15">
      <c r="B132" s="700" t="s">
        <v>32</v>
      </c>
      <c r="C132" s="721" t="str">
        <f>$C121</f>
        <v>Low dose CT</v>
      </c>
      <c r="D132" s="552" t="s">
        <v>203</v>
      </c>
      <c r="E132" s="710">
        <f>VLOOKUP($B132&amp;"_"&amp;$D132,'App5 - CRUK Inci Rates'!C:H,6,FALSE)</f>
        <v>109.38681553928132</v>
      </c>
      <c r="F132" s="711">
        <f>VLOOKUP($B132&amp;"_"&amp;$D132,'App5 - CRUK Inci Rates'!C:H,3,FALSE)</f>
        <v>98.859445346912068</v>
      </c>
      <c r="G132" s="712">
        <f>VLOOKUP($B132&amp;"_"&amp;$D132,'App5 - CRUK Inci Rates'!C:J,8,FALSE)</f>
        <v>15943902</v>
      </c>
      <c r="H132" s="713">
        <f>VLOOKUP($B132&amp;"_"&amp;$D132,'App5 - CRUK Inci Rates'!C:J,7,FALSE)</f>
        <v>7817212.666666666</v>
      </c>
      <c r="I132" s="713">
        <f>VLOOKUP($B132&amp;"_"&amp;$D132,'App5 - CRUK Inci Rates'!C:J,4,FALSE)</f>
        <v>8126689.333333334</v>
      </c>
      <c r="J132" s="709">
        <f>VLOOKUP($B132&amp;"_"&amp;$D132,'App5 - CRUK Inci Rates'!C:K,9,FALSE)</f>
        <v>16585</v>
      </c>
      <c r="K132" s="706">
        <f t="shared" si="69"/>
        <v>7971951</v>
      </c>
      <c r="L132" s="706">
        <f>VLOOKUP("*"&amp;$B132&amp;"*",'S4 - Summ PRS Characteristics'!$C$13:$Q$20,11,FALSE)*$J132</f>
        <v>10817.137387386609</v>
      </c>
      <c r="M132" s="706">
        <f t="shared" si="70"/>
        <v>5767.8626126133913</v>
      </c>
      <c r="N132" s="706">
        <f>IF($C132="other",(1-$C$7)*L132,(1-(VLOOKUP($C132,'S3 - Screening Tool Metrics'!$C$3:$G$17,5,FALSE)/100))*L132)</f>
        <v>1665.839157657538</v>
      </c>
      <c r="O132" s="706">
        <f>IF($C132="other",$C$7*L132,(VLOOKUP($C132,'S3 - Screening Tool Metrics'!$C$3:$G$17,5,FALSE)/100)*L132)</f>
        <v>9151.298229729071</v>
      </c>
      <c r="P132" s="706">
        <f t="shared" si="71"/>
        <v>55.178162374007059</v>
      </c>
      <c r="Q132" s="707">
        <f t="shared" si="100"/>
        <v>3188780.4000000004</v>
      </c>
      <c r="R132" s="706">
        <f>VLOOKUP("*"&amp;$B132&amp;"*",'S4 - Summ PRS Characteristics'!$C$13:$Q$20,12,FALSE)*$J132</f>
        <v>5410.8730792488468</v>
      </c>
      <c r="S132" s="706">
        <f t="shared" si="108"/>
        <v>11174.126920751154</v>
      </c>
      <c r="T132" s="706">
        <f>IF($C132="other",(1-$C120)*R132,(1-(VLOOKUP($C132,'S3 - Screening Tool Metrics'!$C$3:$G$17,5,FALSE)/100))*R132)</f>
        <v>833.27445420432252</v>
      </c>
      <c r="U132" s="706">
        <f>IF($C132="other",$C120*R132,(VLOOKUP($C132,'S3 - Screening Tool Metrics'!$C$3:$G$17,5,FALSE)/100)*R132)</f>
        <v>4577.5986250445239</v>
      </c>
      <c r="V132" s="708">
        <f t="shared" si="101"/>
        <v>27.600835845912115</v>
      </c>
      <c r="W132" s="707">
        <f t="shared" si="102"/>
        <v>1594390.2000000002</v>
      </c>
      <c r="X132" s="706">
        <f>VLOOKUP("*"&amp;$B132&amp;"*",'S4 - Summ PRS Characteristics'!$C$13:$Q$20,13,FALSE)*$J132</f>
        <v>3095.9890890766437</v>
      </c>
      <c r="Y132" s="706">
        <f t="shared" si="109"/>
        <v>13489.010910923356</v>
      </c>
      <c r="Z132" s="706">
        <f>IF($C132="other",(1-$C120)*X132,(1-(VLOOKUP($C132,'S3 - Screening Tool Metrics'!$C$3:$G$17,5,FALSE)/100))*X132)</f>
        <v>476.7823197178032</v>
      </c>
      <c r="AA132" s="706">
        <f>IF($C132="other",$C120*X132,(VLOOKUP($C132,'S3 - Screening Tool Metrics'!$C$3:$G$17,5,FALSE)/100)*X132)</f>
        <v>2619.2067693588406</v>
      </c>
      <c r="AB132" s="708">
        <f t="shared" si="103"/>
        <v>15.792624476085864</v>
      </c>
      <c r="AC132" s="706">
        <f t="shared" si="104"/>
        <v>797195.10000000009</v>
      </c>
      <c r="AD132" s="706">
        <f>VLOOKUP("*"&amp;$B132&amp;"*",'S4 - Summ PRS Characteristics'!$C$13:$Q$20,14,FALSE)*$J132</f>
        <v>1741.5576647407881</v>
      </c>
      <c r="AE132" s="706">
        <f t="shared" si="111"/>
        <v>14843.442335259211</v>
      </c>
      <c r="AF132" s="706">
        <f>IF($C132="other",(1-$C120)*AD132,(1-(VLOOKUP($C132,'S3 - Screening Tool Metrics'!$C$3:$G$17,5,FALSE)/100))*AD132)</f>
        <v>268.19988037008142</v>
      </c>
      <c r="AG132" s="706">
        <f>IF($C132="other",$C120*AD132,(VLOOKUP($C132,'S3 - Screening Tool Metrics'!$C$3:$G$17,5,FALSE)/100)*AD132)</f>
        <v>1473.3577843707067</v>
      </c>
      <c r="AH132" s="708">
        <f t="shared" si="105"/>
        <v>8.8836767221628374</v>
      </c>
      <c r="AI132" s="707">
        <f t="shared" si="106"/>
        <v>159439.01999999999</v>
      </c>
      <c r="AJ132" s="706">
        <f>VLOOKUP("*"&amp;$B132&amp;"*",'S4 - Summ PRS Characteristics'!$C$13:$Q$20,15,FALSE)*$J132</f>
        <v>439.40605485656891</v>
      </c>
      <c r="AK132" s="706">
        <f t="shared" si="110"/>
        <v>16145.593945143431</v>
      </c>
      <c r="AL132" s="706">
        <f>IF($C132="other",(1-$C120)*AJ132,(1-(VLOOKUP($C132,'S3 - Screening Tool Metrics'!$C$3:$G$17,5,FALSE)/100))*AJ132)</f>
        <v>67.66853244791163</v>
      </c>
      <c r="AM132" s="706">
        <f>IF($C132="other",$C120*AJ132,(VLOOKUP($C132,'S3 - Screening Tool Metrics'!$C$3:$G$17,5,FALSE)/100)*AJ132)</f>
        <v>371.7375224086573</v>
      </c>
      <c r="AN132" s="709">
        <f t="shared" si="107"/>
        <v>2.2414080338176503</v>
      </c>
    </row>
    <row r="133" spans="2:40" x14ac:dyDescent="0.15">
      <c r="B133" s="700" t="s">
        <v>32</v>
      </c>
      <c r="C133" s="721" t="str">
        <f>$C122</f>
        <v>Low dose CT</v>
      </c>
      <c r="D133" s="552" t="s">
        <v>292</v>
      </c>
      <c r="E133" s="710">
        <f>VLOOKUP($B133&amp;"_"&amp;$D133,'App5 - CRUK Inci Rates'!C:H,6,FALSE)</f>
        <v>227.79891947987741</v>
      </c>
      <c r="F133" s="711">
        <f>VLOOKUP($B133&amp;"_"&amp;$D133,'App5 - CRUK Inci Rates'!C:H,3,FALSE)</f>
        <v>196.8176101532089</v>
      </c>
      <c r="G133" s="712">
        <f>VLOOKUP($B133&amp;"_"&amp;$D133,'App5 - CRUK Inci Rates'!C:J,8,FALSE)</f>
        <v>8881256.9603638444</v>
      </c>
      <c r="H133" s="713">
        <f>VLOOKUP($B133&amp;"_"&amp;$D133,'App5 - CRUK Inci Rates'!C:J,7,FALSE)</f>
        <v>4929786.333333333</v>
      </c>
      <c r="I133" s="713">
        <f>VLOOKUP($B133&amp;"_"&amp;$D133,'App5 - CRUK Inci Rates'!C:J,4,FALSE)</f>
        <v>5245973.666666667</v>
      </c>
      <c r="J133" s="709">
        <f>VLOOKUP($B133&amp;"_"&amp;$D133,'App5 - CRUK Inci Rates'!C:K,9,FALSE)</f>
        <v>21555</v>
      </c>
      <c r="K133" s="706">
        <f t="shared" si="69"/>
        <v>4440628.4801819222</v>
      </c>
      <c r="L133" s="706">
        <f>VLOOKUP("*"&amp;$B133&amp;"*",'S4 - Summ PRS Characteristics'!$C$13:$Q$20,11,FALSE)*$J133</f>
        <v>14058.691370824139</v>
      </c>
      <c r="M133" s="706">
        <f t="shared" si="70"/>
        <v>7496.3086291758609</v>
      </c>
      <c r="N133" s="706">
        <f>IF($C133="other",(1-$C$7)*L133,(1-(VLOOKUP($C133,'S3 - Screening Tool Metrics'!$C$3:$G$17,5,FALSE)/100))*L133)</f>
        <v>2165.0384711069178</v>
      </c>
      <c r="O133" s="706">
        <f>IF($C133="other",$C$7*L133,(VLOOKUP($C133,'S3 - Screening Tool Metrics'!$C$3:$G$17,5,FALSE)/100)*L133)</f>
        <v>11893.652899717221</v>
      </c>
      <c r="P133" s="706">
        <f t="shared" si="71"/>
        <v>55.178162374007059</v>
      </c>
      <c r="Q133" s="707">
        <f t="shared" si="100"/>
        <v>1776251.3920727689</v>
      </c>
      <c r="R133" s="706">
        <f>VLOOKUP("*"&amp;$B133&amp;"*",'S4 - Summ PRS Characteristics'!$C$13:$Q$20,12,FALSE)*$J133</f>
        <v>7032.3406224425016</v>
      </c>
      <c r="S133" s="706">
        <f>$J133-R133</f>
        <v>14522.659377557498</v>
      </c>
      <c r="T133" s="706">
        <f>IF($C133="other",(1-$C120)*R133,(1-(VLOOKUP($C133,'S3 - Screening Tool Metrics'!$C$3:$G$17,5,FALSE)/100))*R133)</f>
        <v>1082.9804558561455</v>
      </c>
      <c r="U133" s="706">
        <f>IF($C133="other",$C120*R133,(VLOOKUP($C133,'S3 - Screening Tool Metrics'!$C$3:$G$17,5,FALSE)/100)*R133)</f>
        <v>5949.3601665863562</v>
      </c>
      <c r="V133" s="708">
        <f t="shared" si="101"/>
        <v>27.600835845912115</v>
      </c>
      <c r="W133" s="707">
        <f t="shared" si="102"/>
        <v>888125.69603638444</v>
      </c>
      <c r="X133" s="706">
        <f>VLOOKUP("*"&amp;$B133&amp;"*",'S4 - Summ PRS Characteristics'!$C$13:$Q$20,13,FALSE)*$J133</f>
        <v>4023.759108534643</v>
      </c>
      <c r="Y133" s="706">
        <f t="shared" si="109"/>
        <v>17531.240891465357</v>
      </c>
      <c r="Z133" s="706">
        <f>IF($C133="other",(1-$C120)*X133,(1-(VLOOKUP($C133,'S3 - Screening Tool Metrics'!$C$3:$G$17,5,FALSE)/100))*X133)</f>
        <v>619.65890271433511</v>
      </c>
      <c r="AA133" s="706">
        <f>IF($C133="other",$C120*X133,(VLOOKUP($C133,'S3 - Screening Tool Metrics'!$C$3:$G$17,5,FALSE)/100)*X133)</f>
        <v>3404.100205820308</v>
      </c>
      <c r="AB133" s="708">
        <f t="shared" si="103"/>
        <v>15.792624476085864</v>
      </c>
      <c r="AC133" s="706">
        <f t="shared" si="104"/>
        <v>444062.84801819222</v>
      </c>
      <c r="AD133" s="706">
        <f>VLOOKUP("*"&amp;$B133&amp;"*",'S4 - Summ PRS Characteristics'!$C$13:$Q$20,14,FALSE)*$J133</f>
        <v>2263.447420168085</v>
      </c>
      <c r="AE133" s="706">
        <f t="shared" si="111"/>
        <v>19291.552579831914</v>
      </c>
      <c r="AF133" s="706">
        <f>IF($C133="other",(1-$C120)*AD133,(1-(VLOOKUP($C133,'S3 - Screening Tool Metrics'!$C$3:$G$17,5,FALSE)/100))*AD133)</f>
        <v>348.57090270588515</v>
      </c>
      <c r="AG133" s="706">
        <f>IF($C133="other",$C120*AD133,(VLOOKUP($C133,'S3 - Screening Tool Metrics'!$C$3:$G$17,5,FALSE)/100)*AD133)</f>
        <v>1914.8765174621999</v>
      </c>
      <c r="AH133" s="708">
        <f t="shared" si="105"/>
        <v>8.8836767221628392</v>
      </c>
      <c r="AI133" s="707">
        <f t="shared" si="106"/>
        <v>88812.569603638447</v>
      </c>
      <c r="AJ133" s="706">
        <f>VLOOKUP("*"&amp;$B133&amp;"*",'S4 - Summ PRS Characteristics'!$C$13:$Q$20,15,FALSE)*$J133</f>
        <v>571.08215329715665</v>
      </c>
      <c r="AK133" s="706">
        <f t="shared" si="110"/>
        <v>20983.917846702843</v>
      </c>
      <c r="AL133" s="706">
        <f>IF($C133="other",(1-$C120)*AJ133,(1-(VLOOKUP($C133,'S3 - Screening Tool Metrics'!$C$3:$G$17,5,FALSE)/100))*AJ133)</f>
        <v>87.946651607762135</v>
      </c>
      <c r="AM133" s="706">
        <f>IF($C133="other",$C120*AJ133,(VLOOKUP($C133,'S3 - Screening Tool Metrics'!$C$3:$G$17,5,FALSE)/100)*AJ133)</f>
        <v>483.13550168939452</v>
      </c>
      <c r="AN133" s="709">
        <f t="shared" si="107"/>
        <v>2.2414080338176503</v>
      </c>
    </row>
    <row r="134" spans="2:40" x14ac:dyDescent="0.15">
      <c r="B134" s="700" t="s">
        <v>32</v>
      </c>
      <c r="C134" s="721" t="str">
        <f>$C121</f>
        <v>Low dose CT</v>
      </c>
      <c r="D134" s="552" t="s">
        <v>204</v>
      </c>
      <c r="E134" s="710">
        <f>VLOOKUP($B134&amp;"_"&amp;$D134,'App5 - CRUK Inci Rates'!C:H,6,FALSE)</f>
        <v>127.78732220417946</v>
      </c>
      <c r="F134" s="711">
        <f>VLOOKUP($B134&amp;"_"&amp;$D134,'App5 - CRUK Inci Rates'!C:H,3,FALSE)</f>
        <v>111.08750254471916</v>
      </c>
      <c r="G134" s="712">
        <f>VLOOKUP($B134&amp;"_"&amp;$D134,'App5 - CRUK Inci Rates'!C:J,8,FALSE)</f>
        <v>29847254.666666668</v>
      </c>
      <c r="H134" s="713">
        <f>VLOOKUP($B134&amp;"_"&amp;$D134,'App5 - CRUK Inci Rates'!C:J,7,FALSE)</f>
        <v>14565607.666666668</v>
      </c>
      <c r="I134" s="713">
        <f>VLOOKUP($B134&amp;"_"&amp;$D134,'App5 - CRUK Inci Rates'!C:J,4,FALSE)</f>
        <v>15281647</v>
      </c>
      <c r="J134" s="709">
        <f>VLOOKUP($B134&amp;"_"&amp;$D134,'App5 - CRUK Inci Rates'!C:K,9,FALSE)</f>
        <v>35589</v>
      </c>
      <c r="K134" s="706">
        <f t="shared" si="69"/>
        <v>14923627.333333334</v>
      </c>
      <c r="L134" s="706">
        <f>VLOOKUP("*"&amp;$B134&amp;"*",'S4 - Summ PRS Characteristics'!$C$13:$Q$20,11,FALSE)*$J134</f>
        <v>23212.004973150557</v>
      </c>
      <c r="M134" s="706">
        <f t="shared" si="70"/>
        <v>12376.995026849443</v>
      </c>
      <c r="N134" s="706">
        <f>IF($C134="other",(1-$C$7)*L134,(1-(VLOOKUP($C134,'S3 - Screening Tool Metrics'!$C$3:$G$17,5,FALSE)/100))*L134)</f>
        <v>3574.6487658651863</v>
      </c>
      <c r="O134" s="706">
        <f>IF($C134="other",$C$7*L134,(VLOOKUP($C134,'S3 - Screening Tool Metrics'!$C$3:$G$17,5,FALSE)/100)*L134)</f>
        <v>19637.356207285371</v>
      </c>
      <c r="P134" s="706">
        <f t="shared" si="71"/>
        <v>55.178162374007059</v>
      </c>
      <c r="Q134" s="707">
        <f t="shared" si="100"/>
        <v>5969450.9333333336</v>
      </c>
      <c r="R134" s="706">
        <f>VLOOKUP("*"&amp;$B134&amp;"*",'S4 - Summ PRS Characteristics'!$C$13:$Q$20,12,FALSE)*$J134</f>
        <v>11610.947363122532</v>
      </c>
      <c r="S134" s="706">
        <f t="shared" si="108"/>
        <v>23978.052636877466</v>
      </c>
      <c r="T134" s="706">
        <f>IF($C134="other",(1-$C120)*R134,(1-(VLOOKUP($C134,'S3 - Screening Tool Metrics'!$C$3:$G$17,5,FALSE)/100))*R134)</f>
        <v>1788.0858939208701</v>
      </c>
      <c r="U134" s="706">
        <f>IF($C134="other",$C120*R134,(VLOOKUP($C134,'S3 - Screening Tool Metrics'!$C$3:$G$17,5,FALSE)/100)*R134)</f>
        <v>9822.8614692016617</v>
      </c>
      <c r="V134" s="708">
        <f t="shared" si="101"/>
        <v>27.600835845912115</v>
      </c>
      <c r="W134" s="707">
        <f t="shared" si="102"/>
        <v>2984725.4666666668</v>
      </c>
      <c r="X134" s="706">
        <f>VLOOKUP("*"&amp;$B134&amp;"*",'S4 - Summ PRS Characteristics'!$C$13:$Q$20,13,FALSE)*$J134</f>
        <v>6643.5427007023618</v>
      </c>
      <c r="Y134" s="706">
        <f t="shared" si="109"/>
        <v>28945.457299297639</v>
      </c>
      <c r="Z134" s="706">
        <f>IF($C134="other",(1-$C120)*X134,(1-(VLOOKUP($C134,'S3 - Screening Tool Metrics'!$C$3:$G$17,5,FALSE)/100))*X134)</f>
        <v>1023.1055759081639</v>
      </c>
      <c r="AA134" s="706">
        <f>IF($C134="other",$C120*X134,(VLOOKUP($C134,'S3 - Screening Tool Metrics'!$C$3:$G$17,5,FALSE)/100)*X134)</f>
        <v>5620.4371247941981</v>
      </c>
      <c r="AB134" s="708">
        <f t="shared" si="103"/>
        <v>15.792624476085864</v>
      </c>
      <c r="AC134" s="706">
        <f t="shared" si="104"/>
        <v>1492362.7333333334</v>
      </c>
      <c r="AD134" s="706">
        <f>VLOOKUP("*"&amp;$B134&amp;"*",'S4 - Summ PRS Characteristics'!$C$13:$Q$20,14,FALSE)*$J134</f>
        <v>3737.1296792559488</v>
      </c>
      <c r="AE134" s="706">
        <f t="shared" si="111"/>
        <v>31851.870320744052</v>
      </c>
      <c r="AF134" s="706">
        <f>IF($C134="other",(1-$C120)*AD134,(1-(VLOOKUP($C134,'S3 - Screening Tool Metrics'!$C$3:$G$17,5,FALSE)/100))*AD134)</f>
        <v>575.51797060541617</v>
      </c>
      <c r="AG134" s="706">
        <f>IF($C134="other",$C120*AD134,(VLOOKUP($C134,'S3 - Screening Tool Metrics'!$C$3:$G$17,5,FALSE)/100)*AD134)</f>
        <v>3161.6117086505324</v>
      </c>
      <c r="AH134" s="708">
        <f t="shared" si="105"/>
        <v>8.8836767221628374</v>
      </c>
      <c r="AI134" s="707">
        <f t="shared" si="106"/>
        <v>298472.54666666669</v>
      </c>
      <c r="AJ134" s="706">
        <f>VLOOKUP("*"&amp;$B134&amp;"*",'S4 - Summ PRS Characteristics'!$C$13:$Q$20,15,FALSE)*$J134</f>
        <v>942.9015427368364</v>
      </c>
      <c r="AK134" s="706">
        <f t="shared" si="110"/>
        <v>34646.098457263164</v>
      </c>
      <c r="AL134" s="706">
        <f>IF($C134="other",(1-$C120)*AJ134,(1-(VLOOKUP($C134,'S3 - Screening Tool Metrics'!$C$3:$G$17,5,FALSE)/100))*AJ134)</f>
        <v>145.20683758147283</v>
      </c>
      <c r="AM134" s="706">
        <f>IF($C134="other",$C120*AJ134,(VLOOKUP($C134,'S3 - Screening Tool Metrics'!$C$3:$G$17,5,FALSE)/100)*AJ134)</f>
        <v>797.69470515536352</v>
      </c>
      <c r="AN134" s="709">
        <f t="shared" si="107"/>
        <v>2.2414080338176499</v>
      </c>
    </row>
    <row r="135" spans="2:40" ht="14" thickBot="1" x14ac:dyDescent="0.2">
      <c r="B135" s="700" t="s">
        <v>32</v>
      </c>
      <c r="C135" s="721" t="str">
        <f>$C122</f>
        <v>Low dose CT</v>
      </c>
      <c r="D135" s="552" t="s">
        <v>205</v>
      </c>
      <c r="E135" s="710">
        <f>VLOOKUP($B135&amp;"_"&amp;$D135,'App5 - CRUK Inci Rates'!C:H,6,FALSE)</f>
        <v>90.6</v>
      </c>
      <c r="F135" s="711">
        <f>VLOOKUP($B135&amp;"_"&amp;$D135,'App5 - CRUK Inci Rates'!C:H,3,FALSE)</f>
        <v>70.099999999999994</v>
      </c>
      <c r="G135" s="712">
        <f>VLOOKUP($B135&amp;"_"&amp;$D135,'App5 - CRUK Inci Rates'!C:J,8,FALSE)</f>
        <v>66041277.666666664</v>
      </c>
      <c r="H135" s="713">
        <f>VLOOKUP($B135&amp;"_"&amp;$D135,'App5 - CRUK Inci Rates'!C:J,7,FALSE)</f>
        <v>32583225.666666668</v>
      </c>
      <c r="I135" s="713">
        <f>VLOOKUP($B135&amp;"_"&amp;$D135,'App5 - CRUK Inci Rates'!C:J,4,FALSE)</f>
        <v>33458051.999999996</v>
      </c>
      <c r="J135" s="709">
        <f>VLOOKUP($B135&amp;"_"&amp;$D135,'App5 - CRUK Inci Rates'!C:K,9,FALSE)</f>
        <v>48549</v>
      </c>
      <c r="K135" s="716"/>
      <c r="L135" s="716"/>
      <c r="M135" s="716"/>
      <c r="N135" s="716"/>
      <c r="O135" s="716"/>
      <c r="P135" s="716"/>
      <c r="Q135" s="715"/>
      <c r="R135" s="716"/>
      <c r="S135" s="716"/>
      <c r="T135" s="716"/>
      <c r="U135" s="716"/>
      <c r="V135" s="717"/>
      <c r="W135" s="715"/>
      <c r="X135" s="716"/>
      <c r="Y135" s="716"/>
      <c r="Z135" s="716"/>
      <c r="AA135" s="716"/>
      <c r="AB135" s="717"/>
      <c r="AC135" s="716"/>
      <c r="AD135" s="716"/>
      <c r="AE135" s="716"/>
      <c r="AF135" s="716"/>
      <c r="AG135" s="716"/>
      <c r="AH135" s="717"/>
      <c r="AI135" s="715"/>
      <c r="AJ135" s="716"/>
      <c r="AK135" s="716"/>
      <c r="AL135" s="716"/>
      <c r="AM135" s="716"/>
      <c r="AN135" s="718"/>
    </row>
    <row r="136" spans="2:40" ht="21" customHeight="1" thickBot="1" x14ac:dyDescent="0.2">
      <c r="B136" s="686" t="s">
        <v>17</v>
      </c>
      <c r="C136" s="687"/>
      <c r="D136" s="688"/>
      <c r="E136" s="689"/>
      <c r="F136" s="690"/>
      <c r="G136" s="691"/>
      <c r="H136" s="692"/>
      <c r="I136" s="692"/>
      <c r="J136" s="693"/>
      <c r="K136" s="694"/>
      <c r="L136" s="694"/>
      <c r="M136" s="694"/>
      <c r="N136" s="694"/>
      <c r="O136" s="694"/>
      <c r="P136" s="694"/>
      <c r="Q136" s="695"/>
      <c r="R136" s="696"/>
      <c r="S136" s="696"/>
      <c r="T136" s="696"/>
      <c r="U136" s="696"/>
      <c r="V136" s="697"/>
      <c r="W136" s="695"/>
      <c r="X136" s="696"/>
      <c r="Y136" s="696"/>
      <c r="Z136" s="696"/>
      <c r="AA136" s="696"/>
      <c r="AB136" s="697"/>
      <c r="AC136" s="696"/>
      <c r="AD136" s="696"/>
      <c r="AE136" s="696"/>
      <c r="AF136" s="696"/>
      <c r="AG136" s="696"/>
      <c r="AH136" s="697"/>
      <c r="AI136" s="695"/>
      <c r="AJ136" s="696"/>
      <c r="AK136" s="696"/>
      <c r="AL136" s="696"/>
      <c r="AM136" s="696"/>
      <c r="AN136" s="699"/>
    </row>
    <row r="137" spans="2:40" x14ac:dyDescent="0.15">
      <c r="B137" s="728" t="s">
        <v>17</v>
      </c>
      <c r="C137" s="742" t="s">
        <v>174</v>
      </c>
      <c r="D137" s="593" t="s">
        <v>192</v>
      </c>
      <c r="E137" s="701">
        <f>VLOOKUP($B137&amp;"_"&amp;$D137,'App5 - CRUK Inci Rates'!C:H,6,FALSE)</f>
        <v>12.3</v>
      </c>
      <c r="F137" s="702">
        <f>VLOOKUP($B137&amp;"_"&amp;$D137,'App5 - CRUK Inci Rates'!C:H,3,FALSE)</f>
        <v>0</v>
      </c>
      <c r="G137" s="703">
        <f>VLOOKUP($B137&amp;"_"&amp;$D137,'App5 - CRUK Inci Rates'!C:J,8,FALSE)</f>
        <v>2021384.6666666667</v>
      </c>
      <c r="H137" s="704">
        <f>VLOOKUP($B137&amp;"_"&amp;$D137,'App5 - CRUK Inci Rates'!C:J,7,FALSE)</f>
        <v>2021384.6666666667</v>
      </c>
      <c r="I137" s="704">
        <f>VLOOKUP($B137&amp;"_"&amp;$D137,'App5 - CRUK Inci Rates'!C:J,4,FALSE)</f>
        <v>0</v>
      </c>
      <c r="J137" s="705">
        <f>VLOOKUP($B137&amp;"_"&amp;$D137,'App5 - CRUK Inci Rates'!C:K,9,FALSE)</f>
        <v>248</v>
      </c>
      <c r="K137" s="729">
        <f t="shared" si="69"/>
        <v>1010692.3333333334</v>
      </c>
      <c r="L137" s="729">
        <f>VLOOKUP("*"&amp;$B137&amp;"*",'S4 - Summ PRS Characteristics'!$C$13:$Q$20,11,FALSE)*$J137</f>
        <v>227.77849071908318</v>
      </c>
      <c r="M137" s="729">
        <f t="shared" si="70"/>
        <v>20.22150928091682</v>
      </c>
      <c r="N137" s="729">
        <f>IF($C137="other",(1-$C$7)*L137,(1-(VLOOKUP($C137,'S3 - Screening Tool Metrics'!$C$3:$G$17,5,FALSE)/100))*L137)</f>
        <v>75.166901937297439</v>
      </c>
      <c r="O137" s="729">
        <f>IF($C137="other",$C$7*L137,(VLOOKUP($C137,'S3 - Screening Tool Metrics'!$C$3:$G$17,5,FALSE)/100)*L137)</f>
        <v>152.61158878178574</v>
      </c>
      <c r="P137" s="729">
        <f t="shared" si="71"/>
        <v>61.53693096039747</v>
      </c>
      <c r="Q137" s="730">
        <f t="shared" ref="Q137:Q151" si="112">$G137*Q$3</f>
        <v>404276.93333333335</v>
      </c>
      <c r="R137" s="729">
        <f>VLOOKUP("*"&amp;$B137&amp;"*",'S4 - Summ PRS Characteristics'!$C$13:$Q$20,12,FALSE)*$J137</f>
        <v>176.06236650435395</v>
      </c>
      <c r="S137" s="729">
        <f>$J137-R137</f>
        <v>71.937633495646054</v>
      </c>
      <c r="T137" s="729">
        <f>IF($C137="other",(1-$C136)*R137,(1-(VLOOKUP($C137,'S3 - Screening Tool Metrics'!$C$3:$G$17,5,FALSE)/100))*R137)</f>
        <v>58.100580946436793</v>
      </c>
      <c r="U137" s="729">
        <f>IF($C137="other",$C136*R137,(VLOOKUP($C137,'S3 - Screening Tool Metrics'!$C$3:$G$17,5,FALSE)/100)*R137)</f>
        <v>117.96178555791715</v>
      </c>
      <c r="V137" s="743">
        <f t="shared" ref="V137:V151" si="113">U137/J137*100</f>
        <v>47.565236112063367</v>
      </c>
      <c r="W137" s="730">
        <f t="shared" ref="W137:W151" si="114">$G137*W$3</f>
        <v>202138.46666666667</v>
      </c>
      <c r="X137" s="729">
        <f>VLOOKUP("*"&amp;$B137&amp;"*",'S4 - Summ PRS Characteristics'!$C$13:$Q$20,13,FALSE)*$J137</f>
        <v>135.18046156383315</v>
      </c>
      <c r="Y137" s="729">
        <f>$J137-X137</f>
        <v>112.81953843616685</v>
      </c>
      <c r="Z137" s="729">
        <f>IF($C137="other",(1-$C136)*X137,(1-(VLOOKUP($C137,'S3 - Screening Tool Metrics'!$C$3:$G$17,5,FALSE)/100))*X137)</f>
        <v>44.609552316064935</v>
      </c>
      <c r="AA137" s="729">
        <f>IF($C137="other",$C136*X137,(VLOOKUP($C137,'S3 - Screening Tool Metrics'!$C$3:$G$17,5,FALSE)/100)*X137)</f>
        <v>90.570909247768213</v>
      </c>
      <c r="AB137" s="743">
        <f t="shared" ref="AB137:AB151" si="115">$AA137/$J137*100</f>
        <v>36.520527922487183</v>
      </c>
      <c r="AC137" s="729">
        <f t="shared" ref="AC137:AC151" si="116">$G137*AC$3</f>
        <v>101069.23333333334</v>
      </c>
      <c r="AD137" s="729">
        <f>VLOOKUP("*"&amp;$B137&amp;"*",'S4 - Summ PRS Characteristics'!$C$13:$Q$20,14,FALSE)*$J137</f>
        <v>99.515520660544908</v>
      </c>
      <c r="AE137" s="729">
        <f>$J137-AD137</f>
        <v>148.48447933945511</v>
      </c>
      <c r="AF137" s="729">
        <f>IF($C137="other",(1-$C136)*AD137,(1-(VLOOKUP($C137,'S3 - Screening Tool Metrics'!$C$3:$G$17,5,FALSE)/100))*AD137)</f>
        <v>32.840121817979814</v>
      </c>
      <c r="AG137" s="729">
        <f>IF($C137="other",$C136*AD137,(VLOOKUP($C137,'S3 - Screening Tool Metrics'!$C$3:$G$17,5,FALSE)/100)*AD137)</f>
        <v>66.675398842565087</v>
      </c>
      <c r="AH137" s="743">
        <f t="shared" ref="AH137:AH151" si="117">$AG137/$J137*100</f>
        <v>26.885241468776243</v>
      </c>
      <c r="AI137" s="730">
        <f t="shared" ref="AI137:AI151" si="118">$G137*AI$3</f>
        <v>20213.846666666668</v>
      </c>
      <c r="AJ137" s="729">
        <f>VLOOKUP("*"&amp;$B137&amp;"*",'S4 - Summ PRS Characteristics'!$C$13:$Q$20,15,FALSE)*$J137</f>
        <v>43.594596422283793</v>
      </c>
      <c r="AK137" s="729">
        <f>$J137-AJ137</f>
        <v>204.40540357771621</v>
      </c>
      <c r="AL137" s="729">
        <f>IF($C137="other",(1-$C136)*AJ137,(1-(VLOOKUP($C137,'S3 - Screening Tool Metrics'!$C$3:$G$17,5,FALSE)/100))*AJ137)</f>
        <v>14.386216819353649</v>
      </c>
      <c r="AM137" s="729">
        <f>IF($C137="other",$C136*AJ137,(VLOOKUP($C137,'S3 - Screening Tool Metrics'!$C$3:$G$17,5,FALSE)/100)*AJ137)</f>
        <v>29.208379602930144</v>
      </c>
      <c r="AN137" s="705">
        <f t="shared" ref="AN137:AN151" si="119">$AM137/$J137*100</f>
        <v>11.777572420536348</v>
      </c>
    </row>
    <row r="138" spans="2:40" x14ac:dyDescent="0.15">
      <c r="B138" s="700" t="s">
        <v>17</v>
      </c>
      <c r="C138" s="721" t="str">
        <f>$C137</f>
        <v>Semen assay</v>
      </c>
      <c r="D138" s="552" t="s">
        <v>193</v>
      </c>
      <c r="E138" s="710">
        <f>VLOOKUP($B138&amp;"_"&amp;$D138,'App5 - CRUK Inci Rates'!C:H,6,FALSE)</f>
        <v>9.4</v>
      </c>
      <c r="F138" s="711">
        <f>VLOOKUP($B138&amp;"_"&amp;$D138,'App5 - CRUK Inci Rates'!C:H,3,FALSE)</f>
        <v>0</v>
      </c>
      <c r="G138" s="712">
        <f>VLOOKUP($B138&amp;"_"&amp;$D138,'App5 - CRUK Inci Rates'!C:J,8,FALSE)</f>
        <v>2251680</v>
      </c>
      <c r="H138" s="713">
        <f>VLOOKUP($B138&amp;"_"&amp;$D138,'App5 - CRUK Inci Rates'!C:J,7,FALSE)</f>
        <v>2251680</v>
      </c>
      <c r="I138" s="713">
        <f>VLOOKUP($B138&amp;"_"&amp;$D138,'App5 - CRUK Inci Rates'!C:J,4,FALSE)</f>
        <v>0</v>
      </c>
      <c r="J138" s="709">
        <f>VLOOKUP($B138&amp;"_"&amp;$D138,'App5 - CRUK Inci Rates'!C:K,9,FALSE)</f>
        <v>211</v>
      </c>
      <c r="K138" s="706">
        <f t="shared" ref="K138:K151" si="120">$G138*$K$3</f>
        <v>1125840</v>
      </c>
      <c r="L138" s="706">
        <f>VLOOKUP("*"&amp;$B138&amp;"*",'S4 - Summ PRS Characteristics'!$C$13:$Q$20,11,FALSE)*$J138</f>
        <v>193.79540944244576</v>
      </c>
      <c r="M138" s="706">
        <f t="shared" ref="M138:M151" si="121">$J138-$L138</f>
        <v>17.204590557554241</v>
      </c>
      <c r="N138" s="706">
        <f>IF($C138="other",(1-$C$7)*L138,(1-(VLOOKUP($C138,'S3 - Screening Tool Metrics'!$C$3:$G$17,5,FALSE)/100))*L138)</f>
        <v>63.95248511600709</v>
      </c>
      <c r="O138" s="706">
        <f>IF($C138="other",$C$7*L138,(VLOOKUP($C138,'S3 - Screening Tool Metrics'!$C$3:$G$17,5,FALSE)/100)*L138)</f>
        <v>129.84292432643866</v>
      </c>
      <c r="P138" s="706">
        <f t="shared" ref="P138:P151" si="122">O138/J138*100</f>
        <v>61.53693096039747</v>
      </c>
      <c r="Q138" s="707">
        <f t="shared" si="112"/>
        <v>450336</v>
      </c>
      <c r="R138" s="706">
        <f>VLOOKUP("*"&amp;$B138&amp;"*",'S4 - Summ PRS Characteristics'!$C$13:$Q$20,12,FALSE)*$J138</f>
        <v>149.79499730813984</v>
      </c>
      <c r="S138" s="706">
        <f t="shared" ref="S138:S151" si="123">$J138-R138</f>
        <v>61.205002691860159</v>
      </c>
      <c r="T138" s="706">
        <f>IF($C138="other",(1-$C136)*R138,(1-(VLOOKUP($C138,'S3 - Screening Tool Metrics'!$C$3:$G$17,5,FALSE)/100))*R138)</f>
        <v>49.432349111686143</v>
      </c>
      <c r="U138" s="706">
        <f>IF($C138="other",$C136*R138,(VLOOKUP($C138,'S3 - Screening Tool Metrics'!$C$3:$G$17,5,FALSE)/100)*R138)</f>
        <v>100.3626481964537</v>
      </c>
      <c r="V138" s="708">
        <f t="shared" si="113"/>
        <v>47.565236112063367</v>
      </c>
      <c r="W138" s="707">
        <f t="shared" si="114"/>
        <v>225168</v>
      </c>
      <c r="X138" s="706">
        <f>VLOOKUP("*"&amp;$B138&amp;"*",'S4 - Summ PRS Characteristics'!$C$13:$Q$20,13,FALSE)*$J138</f>
        <v>115.01240883051933</v>
      </c>
      <c r="Y138" s="706">
        <f t="shared" ref="Y138:Y151" si="124">$J138-X138</f>
        <v>95.987591169480666</v>
      </c>
      <c r="Z138" s="706">
        <f>IF($C138="other",(1-$C136)*X138,(1-(VLOOKUP($C138,'S3 - Screening Tool Metrics'!$C$3:$G$17,5,FALSE)/100))*X138)</f>
        <v>37.954094914071376</v>
      </c>
      <c r="AA138" s="706">
        <f>IF($C138="other",$C136*X138,(VLOOKUP($C138,'S3 - Screening Tool Metrics'!$C$3:$G$17,5,FALSE)/100)*X138)</f>
        <v>77.058313916447958</v>
      </c>
      <c r="AB138" s="708">
        <f t="shared" si="115"/>
        <v>36.520527922487183</v>
      </c>
      <c r="AC138" s="706">
        <f t="shared" si="116"/>
        <v>112584</v>
      </c>
      <c r="AD138" s="706">
        <f>VLOOKUP("*"&amp;$B138&amp;"*",'S4 - Summ PRS Characteristics'!$C$13:$Q$20,14,FALSE)*$J138</f>
        <v>84.66844701360877</v>
      </c>
      <c r="AE138" s="706">
        <f>$J138-AD138</f>
        <v>126.33155298639123</v>
      </c>
      <c r="AF138" s="706">
        <f>IF($C138="other",(1-$C136)*AD138,(1-(VLOOKUP($C138,'S3 - Screening Tool Metrics'!$C$3:$G$17,5,FALSE)/100))*AD138)</f>
        <v>27.94058751449089</v>
      </c>
      <c r="AG138" s="706">
        <f>IF($C138="other",$C136*AD138,(VLOOKUP($C138,'S3 - Screening Tool Metrics'!$C$3:$G$17,5,FALSE)/100)*AD138)</f>
        <v>56.727859499117876</v>
      </c>
      <c r="AH138" s="708">
        <f t="shared" si="117"/>
        <v>26.885241468776243</v>
      </c>
      <c r="AI138" s="707">
        <f t="shared" si="118"/>
        <v>22516.799999999999</v>
      </c>
      <c r="AJ138" s="706">
        <f>VLOOKUP("*"&amp;$B138&amp;"*",'S4 - Summ PRS Characteristics'!$C$13:$Q$20,15,FALSE)*$J138</f>
        <v>37.090563891539844</v>
      </c>
      <c r="AK138" s="706">
        <f t="shared" ref="AK138:AK151" si="125">$J138-AJ138</f>
        <v>173.90943610846017</v>
      </c>
      <c r="AL138" s="706">
        <f>IF($C138="other",(1-$C136)*AJ138,(1-(VLOOKUP($C138,'S3 - Screening Tool Metrics'!$C$3:$G$17,5,FALSE)/100))*AJ138)</f>
        <v>12.239886084208146</v>
      </c>
      <c r="AM138" s="706">
        <f>IF($C138="other",$C136*AJ138,(VLOOKUP($C138,'S3 - Screening Tool Metrics'!$C$3:$G$17,5,FALSE)/100)*AJ138)</f>
        <v>24.850677807331696</v>
      </c>
      <c r="AN138" s="709">
        <f t="shared" si="119"/>
        <v>11.777572420536348</v>
      </c>
    </row>
    <row r="139" spans="2:40" x14ac:dyDescent="0.15">
      <c r="B139" s="700" t="s">
        <v>17</v>
      </c>
      <c r="C139" s="721" t="str">
        <f>$C137</f>
        <v>Semen assay</v>
      </c>
      <c r="D139" s="552" t="s">
        <v>194</v>
      </c>
      <c r="E139" s="710">
        <f>VLOOKUP($B139&amp;"_"&amp;$D139,'App5 - CRUK Inci Rates'!C:H,6,FALSE)</f>
        <v>7</v>
      </c>
      <c r="F139" s="711">
        <f>VLOOKUP($B139&amp;"_"&amp;$D139,'App5 - CRUK Inci Rates'!C:H,3,FALSE)</f>
        <v>0</v>
      </c>
      <c r="G139" s="712">
        <f>VLOOKUP($B139&amp;"_"&amp;$D139,'App5 - CRUK Inci Rates'!C:J,8,FALSE)</f>
        <v>2293472.6666666665</v>
      </c>
      <c r="H139" s="713">
        <f>VLOOKUP($B139&amp;"_"&amp;$D139,'App5 - CRUK Inci Rates'!C:J,7,FALSE)</f>
        <v>2293472.6666666665</v>
      </c>
      <c r="I139" s="713">
        <f>VLOOKUP($B139&amp;"_"&amp;$D139,'App5 - CRUK Inci Rates'!C:J,4,FALSE)</f>
        <v>0</v>
      </c>
      <c r="J139" s="709">
        <f>VLOOKUP($B139&amp;"_"&amp;$D139,'App5 - CRUK Inci Rates'!C:K,9,FALSE)</f>
        <v>160</v>
      </c>
      <c r="K139" s="706">
        <f t="shared" si="120"/>
        <v>1146736.3333333333</v>
      </c>
      <c r="L139" s="706">
        <f>VLOOKUP("*"&amp;$B139&amp;"*",'S4 - Summ PRS Characteristics'!$C$13:$Q$20,11,FALSE)*$J139</f>
        <v>146.95386498005365</v>
      </c>
      <c r="M139" s="706">
        <f t="shared" si="121"/>
        <v>13.046135019946348</v>
      </c>
      <c r="N139" s="706">
        <f>IF($C139="other",(1-$C$7)*L139,(1-(VLOOKUP($C139,'S3 - Screening Tool Metrics'!$C$3:$G$17,5,FALSE)/100))*L139)</f>
        <v>48.494775443417701</v>
      </c>
      <c r="O139" s="706">
        <f>IF($C139="other",$C$7*L139,(VLOOKUP($C139,'S3 - Screening Tool Metrics'!$C$3:$G$17,5,FALSE)/100)*L139)</f>
        <v>98.459089536635958</v>
      </c>
      <c r="P139" s="706">
        <f t="shared" si="122"/>
        <v>61.53693096039747</v>
      </c>
      <c r="Q139" s="707">
        <f t="shared" si="112"/>
        <v>458694.53333333333</v>
      </c>
      <c r="R139" s="706">
        <f>VLOOKUP("*"&amp;$B139&amp;"*",'S4 - Summ PRS Characteristics'!$C$13:$Q$20,12,FALSE)*$J139</f>
        <v>113.58862355119609</v>
      </c>
      <c r="S139" s="706">
        <f t="shared" si="123"/>
        <v>46.411376448803907</v>
      </c>
      <c r="T139" s="706">
        <f>IF($C139="other",(1-$C136)*R139,(1-(VLOOKUP($C139,'S3 - Screening Tool Metrics'!$C$3:$G$17,5,FALSE)/100))*R139)</f>
        <v>37.484245771894706</v>
      </c>
      <c r="U139" s="706">
        <f>IF($C139="other",$C136*R139,(VLOOKUP($C139,'S3 - Screening Tool Metrics'!$C$3:$G$17,5,FALSE)/100)*R139)</f>
        <v>76.104377779301387</v>
      </c>
      <c r="V139" s="708">
        <f t="shared" si="113"/>
        <v>47.565236112063367</v>
      </c>
      <c r="W139" s="707">
        <f t="shared" si="114"/>
        <v>229347.26666666666</v>
      </c>
      <c r="X139" s="706">
        <f>VLOOKUP("*"&amp;$B139&amp;"*",'S4 - Summ PRS Characteristics'!$C$13:$Q$20,13,FALSE)*$J139</f>
        <v>87.213201008924614</v>
      </c>
      <c r="Y139" s="706">
        <f t="shared" si="124"/>
        <v>72.786798991075386</v>
      </c>
      <c r="Z139" s="706">
        <f>IF($C139="other",(1-$C136)*X139,(1-(VLOOKUP($C139,'S3 - Screening Tool Metrics'!$C$3:$G$17,5,FALSE)/100))*X139)</f>
        <v>28.780356332945118</v>
      </c>
      <c r="AA139" s="706">
        <f>IF($C139="other",$C136*X139,(VLOOKUP($C139,'S3 - Screening Tool Metrics'!$C$3:$G$17,5,FALSE)/100)*X139)</f>
        <v>58.432844675979496</v>
      </c>
      <c r="AB139" s="708">
        <f t="shared" si="115"/>
        <v>36.520527922487183</v>
      </c>
      <c r="AC139" s="706">
        <f t="shared" si="116"/>
        <v>114673.63333333333</v>
      </c>
      <c r="AD139" s="706">
        <f>VLOOKUP("*"&amp;$B139&amp;"*",'S4 - Summ PRS Characteristics'!$C$13:$Q$20,14,FALSE)*$J139</f>
        <v>64.203561716480579</v>
      </c>
      <c r="AE139" s="706">
        <f t="shared" ref="AE139:AE151" si="126">$J139-AD139</f>
        <v>95.796438283519421</v>
      </c>
      <c r="AF139" s="706">
        <f>IF($C139="other",(1-$C136)*AD139,(1-(VLOOKUP($C139,'S3 - Screening Tool Metrics'!$C$3:$G$17,5,FALSE)/100))*AD139)</f>
        <v>21.187175366438588</v>
      </c>
      <c r="AG139" s="706">
        <f>IF($C139="other",$C136*AD139,(VLOOKUP($C139,'S3 - Screening Tool Metrics'!$C$3:$G$17,5,FALSE)/100)*AD139)</f>
        <v>43.016386350041991</v>
      </c>
      <c r="AH139" s="708">
        <f t="shared" si="117"/>
        <v>26.885241468776243</v>
      </c>
      <c r="AI139" s="707">
        <f t="shared" si="118"/>
        <v>22934.726666666666</v>
      </c>
      <c r="AJ139" s="706">
        <f>VLOOKUP("*"&amp;$B139&amp;"*",'S4 - Summ PRS Characteristics'!$C$13:$Q$20,15,FALSE)*$J139</f>
        <v>28.125546078892771</v>
      </c>
      <c r="AK139" s="706">
        <f t="shared" si="125"/>
        <v>131.87445392110723</v>
      </c>
      <c r="AL139" s="706">
        <f>IF($C139="other",(1-$C136)*AJ139,(1-(VLOOKUP($C139,'S3 - Screening Tool Metrics'!$C$3:$G$17,5,FALSE)/100))*AJ139)</f>
        <v>9.2814302060346137</v>
      </c>
      <c r="AM139" s="706">
        <f>IF($C139="other",$C136*AJ139,(VLOOKUP($C139,'S3 - Screening Tool Metrics'!$C$3:$G$17,5,FALSE)/100)*AJ139)</f>
        <v>18.844115872858158</v>
      </c>
      <c r="AN139" s="709">
        <f t="shared" si="119"/>
        <v>11.777572420536348</v>
      </c>
    </row>
    <row r="140" spans="2:40" x14ac:dyDescent="0.15">
      <c r="B140" s="700" t="s">
        <v>17</v>
      </c>
      <c r="C140" s="721" t="str">
        <f>$C137</f>
        <v>Semen assay</v>
      </c>
      <c r="D140" s="552" t="s">
        <v>195</v>
      </c>
      <c r="E140" s="710">
        <f>VLOOKUP($B140&amp;"_"&amp;$D140,'App5 - CRUK Inci Rates'!C:H,6,FALSE)</f>
        <v>5.2</v>
      </c>
      <c r="F140" s="711">
        <f>VLOOKUP($B140&amp;"_"&amp;$D140,'App5 - CRUK Inci Rates'!C:H,3,FALSE)</f>
        <v>0</v>
      </c>
      <c r="G140" s="712">
        <f>VLOOKUP($B140&amp;"_"&amp;$D140,'App5 - CRUK Inci Rates'!C:J,8,FALSE)</f>
        <v>2061918.6666666667</v>
      </c>
      <c r="H140" s="713">
        <f>VLOOKUP($B140&amp;"_"&amp;$D140,'App5 - CRUK Inci Rates'!C:J,7,FALSE)</f>
        <v>2061918.6666666667</v>
      </c>
      <c r="I140" s="713">
        <f>VLOOKUP($B140&amp;"_"&amp;$D140,'App5 - CRUK Inci Rates'!C:J,4,FALSE)</f>
        <v>0</v>
      </c>
      <c r="J140" s="709">
        <f>VLOOKUP($B140&amp;"_"&amp;$D140,'App5 - CRUK Inci Rates'!C:K,9,FALSE)</f>
        <v>108</v>
      </c>
      <c r="K140" s="706">
        <f t="shared" si="120"/>
        <v>1030959.3333333334</v>
      </c>
      <c r="L140" s="706">
        <f>VLOOKUP("*"&amp;$B140&amp;"*",'S4 - Summ PRS Characteristics'!$C$13:$Q$20,11,FALSE)*$J140</f>
        <v>99.193858861536214</v>
      </c>
      <c r="M140" s="706">
        <f t="shared" si="121"/>
        <v>8.8061411384637864</v>
      </c>
      <c r="N140" s="706">
        <f>IF($C140="other",(1-$C$7)*L140,(1-(VLOOKUP($C140,'S3 - Screening Tool Metrics'!$C$3:$G$17,5,FALSE)/100))*L140)</f>
        <v>32.733973424306946</v>
      </c>
      <c r="O140" s="706">
        <f>IF($C140="other",$C$7*L140,(VLOOKUP($C140,'S3 - Screening Tool Metrics'!$C$3:$G$17,5,FALSE)/100)*L140)</f>
        <v>66.459885437229261</v>
      </c>
      <c r="P140" s="706">
        <f t="shared" si="122"/>
        <v>61.536930960397463</v>
      </c>
      <c r="Q140" s="707">
        <f t="shared" si="112"/>
        <v>412383.7333333334</v>
      </c>
      <c r="R140" s="706">
        <f>VLOOKUP("*"&amp;$B140&amp;"*",'S4 - Summ PRS Characteristics'!$C$13:$Q$20,12,FALSE)*$J140</f>
        <v>76.672320897057361</v>
      </c>
      <c r="S140" s="706">
        <f t="shared" si="123"/>
        <v>31.327679102942639</v>
      </c>
      <c r="T140" s="706">
        <f>IF($C140="other",(1-$C136)*R140,(1-(VLOOKUP($C140,'S3 - Screening Tool Metrics'!$C$3:$G$17,5,FALSE)/100))*R140)</f>
        <v>25.301865896028925</v>
      </c>
      <c r="U140" s="706">
        <f>IF($C140="other",$C136*R140,(VLOOKUP($C140,'S3 - Screening Tool Metrics'!$C$3:$G$17,5,FALSE)/100)*R140)</f>
        <v>51.370455001028432</v>
      </c>
      <c r="V140" s="708">
        <f t="shared" si="113"/>
        <v>47.565236112063367</v>
      </c>
      <c r="W140" s="707">
        <f t="shared" si="114"/>
        <v>206191.8666666667</v>
      </c>
      <c r="X140" s="706">
        <f>VLOOKUP("*"&amp;$B140&amp;"*",'S4 - Summ PRS Characteristics'!$C$13:$Q$20,13,FALSE)*$J140</f>
        <v>58.868910681024111</v>
      </c>
      <c r="Y140" s="706">
        <f t="shared" si="124"/>
        <v>49.131089318975889</v>
      </c>
      <c r="Z140" s="706">
        <f>IF($C140="other",(1-$C136)*X140,(1-(VLOOKUP($C140,'S3 - Screening Tool Metrics'!$C$3:$G$17,5,FALSE)/100))*X140)</f>
        <v>19.426740524737955</v>
      </c>
      <c r="AA140" s="706">
        <f>IF($C140="other",$C136*X140,(VLOOKUP($C140,'S3 - Screening Tool Metrics'!$C$3:$G$17,5,FALSE)/100)*X140)</f>
        <v>39.44217015628616</v>
      </c>
      <c r="AB140" s="708">
        <f t="shared" si="115"/>
        <v>36.520527922487183</v>
      </c>
      <c r="AC140" s="706">
        <f t="shared" si="116"/>
        <v>103095.93333333335</v>
      </c>
      <c r="AD140" s="706">
        <f>VLOOKUP("*"&amp;$B140&amp;"*",'S4 - Summ PRS Characteristics'!$C$13:$Q$20,14,FALSE)*$J140</f>
        <v>43.337404158624395</v>
      </c>
      <c r="AE140" s="706">
        <f t="shared" si="126"/>
        <v>64.662595841375605</v>
      </c>
      <c r="AF140" s="706">
        <f>IF($C140="other",(1-$C136)*AD140,(1-(VLOOKUP($C140,'S3 - Screening Tool Metrics'!$C$3:$G$17,5,FALSE)/100))*AD140)</f>
        <v>14.301343372346048</v>
      </c>
      <c r="AG140" s="706">
        <f>IF($C140="other",$C136*AD140,(VLOOKUP($C140,'S3 - Screening Tool Metrics'!$C$3:$G$17,5,FALSE)/100)*AD140)</f>
        <v>29.036060786278345</v>
      </c>
      <c r="AH140" s="708">
        <f t="shared" si="117"/>
        <v>26.885241468776243</v>
      </c>
      <c r="AI140" s="707">
        <f t="shared" si="118"/>
        <v>20619.186666666668</v>
      </c>
      <c r="AJ140" s="706">
        <f>VLOOKUP("*"&amp;$B140&amp;"*",'S4 - Summ PRS Characteristics'!$C$13:$Q$20,15,FALSE)*$J140</f>
        <v>18.984743603252621</v>
      </c>
      <c r="AK140" s="706">
        <f t="shared" si="125"/>
        <v>89.015256396747375</v>
      </c>
      <c r="AL140" s="706">
        <f>IF($C140="other",(1-$C136)*AJ140,(1-(VLOOKUP($C140,'S3 - Screening Tool Metrics'!$C$3:$G$17,5,FALSE)/100))*AJ140)</f>
        <v>6.2649653890733639</v>
      </c>
      <c r="AM140" s="706">
        <f>IF($C140="other",$C136*AJ140,(VLOOKUP($C140,'S3 - Screening Tool Metrics'!$C$3:$G$17,5,FALSE)/100)*AJ140)</f>
        <v>12.719778214179257</v>
      </c>
      <c r="AN140" s="709">
        <f t="shared" si="119"/>
        <v>11.777572420536348</v>
      </c>
    </row>
    <row r="141" spans="2:40" x14ac:dyDescent="0.15">
      <c r="B141" s="700" t="s">
        <v>17</v>
      </c>
      <c r="C141" s="721" t="str">
        <f>$C137</f>
        <v>Semen assay</v>
      </c>
      <c r="D141" s="552" t="s">
        <v>196</v>
      </c>
      <c r="E141" s="710">
        <f>VLOOKUP($B141&amp;"_"&amp;$D141,'App5 - CRUK Inci Rates'!C:H,6,FALSE)</f>
        <v>3</v>
      </c>
      <c r="F141" s="711">
        <f>VLOOKUP($B141&amp;"_"&amp;$D141,'App5 - CRUK Inci Rates'!C:H,3,FALSE)</f>
        <v>0</v>
      </c>
      <c r="G141" s="712">
        <f>VLOOKUP($B141&amp;"_"&amp;$D141,'App5 - CRUK Inci Rates'!C:J,8,FALSE)</f>
        <v>1764828</v>
      </c>
      <c r="H141" s="713">
        <f>VLOOKUP($B141&amp;"_"&amp;$D141,'App5 - CRUK Inci Rates'!C:J,7,FALSE)</f>
        <v>1764828</v>
      </c>
      <c r="I141" s="713">
        <f>VLOOKUP($B141&amp;"_"&amp;$D141,'App5 - CRUK Inci Rates'!C:J,4,FALSE)</f>
        <v>0</v>
      </c>
      <c r="J141" s="709">
        <f>VLOOKUP($B141&amp;"_"&amp;$D141,'App5 - CRUK Inci Rates'!C:K,9,FALSE)</f>
        <v>52</v>
      </c>
      <c r="K141" s="706">
        <f t="shared" si="120"/>
        <v>882414</v>
      </c>
      <c r="L141" s="706">
        <f>VLOOKUP("*"&amp;$B141&amp;"*",'S4 - Summ PRS Characteristics'!$C$13:$Q$20,11,FALSE)*$J141</f>
        <v>47.760006118517438</v>
      </c>
      <c r="M141" s="706">
        <f t="shared" si="121"/>
        <v>4.2399938814825617</v>
      </c>
      <c r="N141" s="706">
        <f>IF($C141="other",(1-$C$7)*L141,(1-(VLOOKUP($C141,'S3 - Screening Tool Metrics'!$C$3:$G$17,5,FALSE)/100))*L141)</f>
        <v>15.760802019110752</v>
      </c>
      <c r="O141" s="706">
        <f>IF($C141="other",$C$7*L141,(VLOOKUP($C141,'S3 - Screening Tool Metrics'!$C$3:$G$17,5,FALSE)/100)*L141)</f>
        <v>31.999204099406686</v>
      </c>
      <c r="P141" s="706">
        <f t="shared" si="122"/>
        <v>61.53693096039747</v>
      </c>
      <c r="Q141" s="707">
        <f t="shared" si="112"/>
        <v>352965.60000000003</v>
      </c>
      <c r="R141" s="706">
        <f>VLOOKUP("*"&amp;$B141&amp;"*",'S4 - Summ PRS Characteristics'!$C$13:$Q$20,12,FALSE)*$J141</f>
        <v>36.916302654138725</v>
      </c>
      <c r="S141" s="706">
        <f t="shared" si="123"/>
        <v>15.083697345861275</v>
      </c>
      <c r="T141" s="706">
        <f>IF($C141="other",(1-$C136)*R141,(1-(VLOOKUP($C141,'S3 - Screening Tool Metrics'!$C$3:$G$17,5,FALSE)/100))*R141)</f>
        <v>12.182379875865777</v>
      </c>
      <c r="U141" s="706">
        <f>IF($C141="other",$C136*R141,(VLOOKUP($C141,'S3 - Screening Tool Metrics'!$C$3:$G$17,5,FALSE)/100)*R141)</f>
        <v>24.733922778272948</v>
      </c>
      <c r="V141" s="708">
        <f t="shared" si="113"/>
        <v>47.565236112063367</v>
      </c>
      <c r="W141" s="707">
        <f t="shared" si="114"/>
        <v>176482.80000000002</v>
      </c>
      <c r="X141" s="706">
        <f>VLOOKUP("*"&amp;$B141&amp;"*",'S4 - Summ PRS Characteristics'!$C$13:$Q$20,13,FALSE)*$J141</f>
        <v>28.344290327900499</v>
      </c>
      <c r="Y141" s="706">
        <f t="shared" si="124"/>
        <v>23.655709672099501</v>
      </c>
      <c r="Z141" s="706">
        <f>IF($C141="other",(1-$C136)*X141,(1-(VLOOKUP($C141,'S3 - Screening Tool Metrics'!$C$3:$G$17,5,FALSE)/100))*X141)</f>
        <v>9.353615808207163</v>
      </c>
      <c r="AA141" s="706">
        <f>IF($C141="other",$C136*X141,(VLOOKUP($C141,'S3 - Screening Tool Metrics'!$C$3:$G$17,5,FALSE)/100)*X141)</f>
        <v>18.990674519693336</v>
      </c>
      <c r="AB141" s="708">
        <f t="shared" si="115"/>
        <v>36.520527922487183</v>
      </c>
      <c r="AC141" s="706">
        <f t="shared" si="116"/>
        <v>88241.400000000009</v>
      </c>
      <c r="AD141" s="706">
        <f>VLOOKUP("*"&amp;$B141&amp;"*",'S4 - Summ PRS Characteristics'!$C$13:$Q$20,14,FALSE)*$J141</f>
        <v>20.866157557856191</v>
      </c>
      <c r="AE141" s="706">
        <f t="shared" si="126"/>
        <v>31.133842442143809</v>
      </c>
      <c r="AF141" s="706">
        <f>IF($C141="other",(1-$C136)*AD141,(1-(VLOOKUP($C141,'S3 - Screening Tool Metrics'!$C$3:$G$17,5,FALSE)/100))*AD141)</f>
        <v>6.8858319940925421</v>
      </c>
      <c r="AG141" s="706">
        <f>IF($C141="other",$C136*AD141,(VLOOKUP($C141,'S3 - Screening Tool Metrics'!$C$3:$G$17,5,FALSE)/100)*AD141)</f>
        <v>13.980325563763648</v>
      </c>
      <c r="AH141" s="708">
        <f t="shared" si="117"/>
        <v>26.885241468776243</v>
      </c>
      <c r="AI141" s="707">
        <f t="shared" si="118"/>
        <v>17648.28</v>
      </c>
      <c r="AJ141" s="706">
        <f>VLOOKUP("*"&amp;$B141&amp;"*",'S4 - Summ PRS Characteristics'!$C$13:$Q$20,15,FALSE)*$J141</f>
        <v>9.1408024756401502</v>
      </c>
      <c r="AK141" s="706">
        <f t="shared" si="125"/>
        <v>42.85919752435985</v>
      </c>
      <c r="AL141" s="706">
        <f>IF($C141="other",(1-$C136)*AJ141,(1-(VLOOKUP($C141,'S3 - Screening Tool Metrics'!$C$3:$G$17,5,FALSE)/100))*AJ141)</f>
        <v>3.0164648169612494</v>
      </c>
      <c r="AM141" s="706">
        <f>IF($C141="other",$C136*AJ141,(VLOOKUP($C141,'S3 - Screening Tool Metrics'!$C$3:$G$17,5,FALSE)/100)*AJ141)</f>
        <v>6.1243376586789013</v>
      </c>
      <c r="AN141" s="709">
        <f t="shared" si="119"/>
        <v>11.777572420536348</v>
      </c>
    </row>
    <row r="142" spans="2:40" x14ac:dyDescent="0.15">
      <c r="B142" s="700" t="s">
        <v>17</v>
      </c>
      <c r="C142" s="721" t="str">
        <f>$C137</f>
        <v>Semen assay</v>
      </c>
      <c r="D142" s="552" t="s">
        <v>197</v>
      </c>
      <c r="E142" s="710">
        <f>VLOOKUP($B142&amp;"_"&amp;$D142,'App5 - CRUK Inci Rates'!C:H,6,FALSE)</f>
        <v>2.4</v>
      </c>
      <c r="F142" s="711">
        <f>VLOOKUP($B142&amp;"_"&amp;$D142,'App5 - CRUK Inci Rates'!C:H,3,FALSE)</f>
        <v>0</v>
      </c>
      <c r="G142" s="712">
        <f>VLOOKUP($B142&amp;"_"&amp;$D142,'App5 - CRUK Inci Rates'!C:J,8,FALSE)</f>
        <v>1696993.3333333333</v>
      </c>
      <c r="H142" s="713">
        <f>VLOOKUP($B142&amp;"_"&amp;$D142,'App5 - CRUK Inci Rates'!C:J,7,FALSE)</f>
        <v>1696993.3333333333</v>
      </c>
      <c r="I142" s="713">
        <f>VLOOKUP($B142&amp;"_"&amp;$D142,'App5 - CRUK Inci Rates'!C:J,4,FALSE)</f>
        <v>0</v>
      </c>
      <c r="J142" s="709">
        <f>VLOOKUP($B142&amp;"_"&amp;$D142,'App5 - CRUK Inci Rates'!C:K,9,FALSE)</f>
        <v>41</v>
      </c>
      <c r="K142" s="706">
        <f t="shared" si="120"/>
        <v>848496.66666666663</v>
      </c>
      <c r="L142" s="706">
        <f>VLOOKUP("*"&amp;$B142&amp;"*",'S4 - Summ PRS Characteristics'!$C$13:$Q$20,11,FALSE)*$J142</f>
        <v>37.656927901138751</v>
      </c>
      <c r="M142" s="706">
        <f t="shared" si="121"/>
        <v>3.3430720988612492</v>
      </c>
      <c r="N142" s="706">
        <f>IF($C142="other",(1-$C$7)*L142,(1-(VLOOKUP($C142,'S3 - Screening Tool Metrics'!$C$3:$G$17,5,FALSE)/100))*L142)</f>
        <v>12.426786207375786</v>
      </c>
      <c r="O142" s="706">
        <f>IF($C142="other",$C$7*L142,(VLOOKUP($C142,'S3 - Screening Tool Metrics'!$C$3:$G$17,5,FALSE)/100)*L142)</f>
        <v>25.230141693762963</v>
      </c>
      <c r="P142" s="706">
        <f t="shared" si="122"/>
        <v>61.53693096039747</v>
      </c>
      <c r="Q142" s="707">
        <f t="shared" si="112"/>
        <v>339398.66666666669</v>
      </c>
      <c r="R142" s="706">
        <f>VLOOKUP("*"&amp;$B142&amp;"*",'S4 - Summ PRS Characteristics'!$C$13:$Q$20,12,FALSE)*$J142</f>
        <v>29.107084784993997</v>
      </c>
      <c r="S142" s="706">
        <f t="shared" si="123"/>
        <v>11.892915215006003</v>
      </c>
      <c r="T142" s="706">
        <f>IF($C142="other",(1-$C136)*R142,(1-(VLOOKUP($C142,'S3 - Screening Tool Metrics'!$C$3:$G$17,5,FALSE)/100))*R142)</f>
        <v>9.6053379790480182</v>
      </c>
      <c r="U142" s="706">
        <f>IF($C142="other",$C136*R142,(VLOOKUP($C142,'S3 - Screening Tool Metrics'!$C$3:$G$17,5,FALSE)/100)*R142)</f>
        <v>19.501746805945981</v>
      </c>
      <c r="V142" s="708">
        <f t="shared" si="113"/>
        <v>47.565236112063367</v>
      </c>
      <c r="W142" s="707">
        <f t="shared" si="114"/>
        <v>169699.33333333334</v>
      </c>
      <c r="X142" s="706">
        <f>VLOOKUP("*"&amp;$B142&amp;"*",'S4 - Summ PRS Characteristics'!$C$13:$Q$20,13,FALSE)*$J142</f>
        <v>22.348382758536932</v>
      </c>
      <c r="Y142" s="706">
        <f t="shared" si="124"/>
        <v>18.651617241463068</v>
      </c>
      <c r="Z142" s="706">
        <f>IF($C142="other",(1-$C136)*X142,(1-(VLOOKUP($C142,'S3 - Screening Tool Metrics'!$C$3:$G$17,5,FALSE)/100))*X142)</f>
        <v>7.3749663103171867</v>
      </c>
      <c r="AA142" s="706">
        <f>IF($C142="other",$C136*X142,(VLOOKUP($C142,'S3 - Screening Tool Metrics'!$C$3:$G$17,5,FALSE)/100)*X142)</f>
        <v>14.973416448219746</v>
      </c>
      <c r="AB142" s="708">
        <f t="shared" si="115"/>
        <v>36.520527922487183</v>
      </c>
      <c r="AC142" s="706">
        <f t="shared" si="116"/>
        <v>84849.666666666672</v>
      </c>
      <c r="AD142" s="706">
        <f>VLOOKUP("*"&amp;$B142&amp;"*",'S4 - Summ PRS Characteristics'!$C$13:$Q$20,14,FALSE)*$J142</f>
        <v>16.452162689848148</v>
      </c>
      <c r="AE142" s="706">
        <f t="shared" si="126"/>
        <v>24.547837310151852</v>
      </c>
      <c r="AF142" s="706">
        <f>IF($C142="other",(1-$C136)*AD142,(1-(VLOOKUP($C142,'S3 - Screening Tool Metrics'!$C$3:$G$17,5,FALSE)/100))*AD142)</f>
        <v>5.429213687649888</v>
      </c>
      <c r="AG142" s="706">
        <f>IF($C142="other",$C136*AD142,(VLOOKUP($C142,'S3 - Screening Tool Metrics'!$C$3:$G$17,5,FALSE)/100)*AD142)</f>
        <v>11.02294900219826</v>
      </c>
      <c r="AH142" s="708">
        <f t="shared" si="117"/>
        <v>26.885241468776243</v>
      </c>
      <c r="AI142" s="707">
        <f t="shared" si="118"/>
        <v>16969.933333333334</v>
      </c>
      <c r="AJ142" s="706">
        <f>VLOOKUP("*"&amp;$B142&amp;"*",'S4 - Summ PRS Characteristics'!$C$13:$Q$20,15,FALSE)*$J142</f>
        <v>7.207171182716273</v>
      </c>
      <c r="AK142" s="706">
        <f t="shared" si="125"/>
        <v>33.792828817283727</v>
      </c>
      <c r="AL142" s="706">
        <f>IF($C142="other",(1-$C136)*AJ142,(1-(VLOOKUP($C142,'S3 - Screening Tool Metrics'!$C$3:$G$17,5,FALSE)/100))*AJ142)</f>
        <v>2.3783664902963699</v>
      </c>
      <c r="AM142" s="706">
        <f>IF($C142="other",$C136*AJ142,(VLOOKUP($C142,'S3 - Screening Tool Metrics'!$C$3:$G$17,5,FALSE)/100)*AJ142)</f>
        <v>4.8288046924199035</v>
      </c>
      <c r="AN142" s="709">
        <f t="shared" si="119"/>
        <v>11.77757242053635</v>
      </c>
    </row>
    <row r="143" spans="2:40" x14ac:dyDescent="0.15">
      <c r="B143" s="700" t="s">
        <v>17</v>
      </c>
      <c r="C143" s="721" t="str">
        <f>$C137</f>
        <v>Semen assay</v>
      </c>
      <c r="D143" s="552" t="s">
        <v>198</v>
      </c>
      <c r="E143" s="710">
        <f>VLOOKUP($B143&amp;"_"&amp;$D143,'App5 - CRUK Inci Rates'!C:H,6,FALSE)</f>
        <v>2.4</v>
      </c>
      <c r="F143" s="711">
        <f>VLOOKUP($B143&amp;"_"&amp;$D143,'App5 - CRUK Inci Rates'!C:H,3,FALSE)</f>
        <v>0</v>
      </c>
      <c r="G143" s="712">
        <f>VLOOKUP($B143&amp;"_"&amp;$D143,'App5 - CRUK Inci Rates'!C:J,8,FALSE)</f>
        <v>1467965</v>
      </c>
      <c r="H143" s="713">
        <f>VLOOKUP($B143&amp;"_"&amp;$D143,'App5 - CRUK Inci Rates'!C:J,7,FALSE)</f>
        <v>1467965</v>
      </c>
      <c r="I143" s="713">
        <f>VLOOKUP($B143&amp;"_"&amp;$D143,'App5 - CRUK Inci Rates'!C:J,4,FALSE)</f>
        <v>0</v>
      </c>
      <c r="J143" s="709">
        <f>VLOOKUP($B143&amp;"_"&amp;$D143,'App5 - CRUK Inci Rates'!C:K,9,FALSE)</f>
        <v>35</v>
      </c>
      <c r="K143" s="706">
        <f t="shared" si="120"/>
        <v>733982.5</v>
      </c>
      <c r="L143" s="706">
        <f>VLOOKUP("*"&amp;$B143&amp;"*",'S4 - Summ PRS Characteristics'!$C$13:$Q$20,11,FALSE)*$J143</f>
        <v>32.146157964386738</v>
      </c>
      <c r="M143" s="706">
        <f t="shared" si="121"/>
        <v>2.8538420356132619</v>
      </c>
      <c r="N143" s="706">
        <f>IF($C143="other",(1-$C$7)*L143,(1-(VLOOKUP($C143,'S3 - Screening Tool Metrics'!$C$3:$G$17,5,FALSE)/100))*L143)</f>
        <v>10.608232128247622</v>
      </c>
      <c r="O143" s="706">
        <f>IF($C143="other",$C$7*L143,(VLOOKUP($C143,'S3 - Screening Tool Metrics'!$C$3:$G$17,5,FALSE)/100)*L143)</f>
        <v>21.537925836139117</v>
      </c>
      <c r="P143" s="706">
        <f t="shared" si="122"/>
        <v>61.53693096039747</v>
      </c>
      <c r="Q143" s="707">
        <f t="shared" si="112"/>
        <v>293593</v>
      </c>
      <c r="R143" s="706">
        <f>VLOOKUP("*"&amp;$B143&amp;"*",'S4 - Summ PRS Characteristics'!$C$13:$Q$20,12,FALSE)*$J143</f>
        <v>24.847511401824143</v>
      </c>
      <c r="S143" s="706">
        <f t="shared" si="123"/>
        <v>10.152488598175857</v>
      </c>
      <c r="T143" s="706">
        <f>IF($C143="other",(1-$C136)*R143,(1-(VLOOKUP($C143,'S3 - Screening Tool Metrics'!$C$3:$G$17,5,FALSE)/100))*R143)</f>
        <v>8.199678762601966</v>
      </c>
      <c r="U143" s="706">
        <f>IF($C143="other",$C136*R143,(VLOOKUP($C143,'S3 - Screening Tool Metrics'!$C$3:$G$17,5,FALSE)/100)*R143)</f>
        <v>16.647832639222177</v>
      </c>
      <c r="V143" s="708">
        <f t="shared" si="113"/>
        <v>47.565236112063367</v>
      </c>
      <c r="W143" s="707">
        <f t="shared" si="114"/>
        <v>146796.5</v>
      </c>
      <c r="X143" s="706">
        <f>VLOOKUP("*"&amp;$B143&amp;"*",'S4 - Summ PRS Characteristics'!$C$13:$Q$20,13,FALSE)*$J143</f>
        <v>19.077887720702257</v>
      </c>
      <c r="Y143" s="706">
        <f t="shared" si="124"/>
        <v>15.922112279297743</v>
      </c>
      <c r="Z143" s="706">
        <f>IF($C143="other",(1-$C136)*X143,(1-(VLOOKUP($C143,'S3 - Screening Tool Metrics'!$C$3:$G$17,5,FALSE)/100))*X143)</f>
        <v>6.2957029478317441</v>
      </c>
      <c r="AA143" s="706">
        <f>IF($C143="other",$C136*X143,(VLOOKUP($C143,'S3 - Screening Tool Metrics'!$C$3:$G$17,5,FALSE)/100)*X143)</f>
        <v>12.782184772870513</v>
      </c>
      <c r="AB143" s="708">
        <f t="shared" si="115"/>
        <v>36.520527922487183</v>
      </c>
      <c r="AC143" s="706">
        <f t="shared" si="116"/>
        <v>73398.25</v>
      </c>
      <c r="AD143" s="706">
        <f>VLOOKUP("*"&amp;$B143&amp;"*",'S4 - Summ PRS Characteristics'!$C$13:$Q$20,14,FALSE)*$J143</f>
        <v>14.044529125480128</v>
      </c>
      <c r="AE143" s="706">
        <f t="shared" si="126"/>
        <v>20.955470874519872</v>
      </c>
      <c r="AF143" s="706">
        <f>IF($C143="other",(1-$C136)*AD143,(1-(VLOOKUP($C143,'S3 - Screening Tool Metrics'!$C$3:$G$17,5,FALSE)/100))*AD143)</f>
        <v>4.6346946114084417</v>
      </c>
      <c r="AG143" s="706">
        <f>IF($C143="other",$C136*AD143,(VLOOKUP($C143,'S3 - Screening Tool Metrics'!$C$3:$G$17,5,FALSE)/100)*AD143)</f>
        <v>9.4098345140716866</v>
      </c>
      <c r="AH143" s="708">
        <f t="shared" si="117"/>
        <v>26.88524146877625</v>
      </c>
      <c r="AI143" s="707">
        <f t="shared" si="118"/>
        <v>14679.65</v>
      </c>
      <c r="AJ143" s="706">
        <f>VLOOKUP("*"&amp;$B143&amp;"*",'S4 - Summ PRS Characteristics'!$C$13:$Q$20,15,FALSE)*$J143</f>
        <v>6.1524632047577938</v>
      </c>
      <c r="AK143" s="706">
        <f t="shared" si="125"/>
        <v>28.847536795242206</v>
      </c>
      <c r="AL143" s="706">
        <f>IF($C143="other",(1-$C136)*AJ143,(1-(VLOOKUP($C143,'S3 - Screening Tool Metrics'!$C$3:$G$17,5,FALSE)/100))*AJ143)</f>
        <v>2.0303128575700717</v>
      </c>
      <c r="AM143" s="706">
        <f>IF($C143="other",$C136*AJ143,(VLOOKUP($C143,'S3 - Screening Tool Metrics'!$C$3:$G$17,5,FALSE)/100)*AJ143)</f>
        <v>4.1221503471877226</v>
      </c>
      <c r="AN143" s="709">
        <f t="shared" si="119"/>
        <v>11.77757242053635</v>
      </c>
    </row>
    <row r="144" spans="2:40" x14ac:dyDescent="0.15">
      <c r="B144" s="700" t="s">
        <v>17</v>
      </c>
      <c r="C144" s="721" t="str">
        <f>$C137</f>
        <v>Semen assay</v>
      </c>
      <c r="D144" s="552" t="s">
        <v>199</v>
      </c>
      <c r="E144" s="710">
        <f>VLOOKUP($B144&amp;"_"&amp;$D144,'App5 - CRUK Inci Rates'!C:H,6,FALSE)</f>
        <v>1.4</v>
      </c>
      <c r="F144" s="711">
        <f>VLOOKUP($B144&amp;"_"&amp;$D144,'App5 - CRUK Inci Rates'!C:H,3,FALSE)</f>
        <v>0</v>
      </c>
      <c r="G144" s="712">
        <f>VLOOKUP($B144&amp;"_"&amp;$D144,'App5 - CRUK Inci Rates'!C:J,8,FALSE)</f>
        <v>1007365.3333333334</v>
      </c>
      <c r="H144" s="713">
        <f>VLOOKUP($B144&amp;"_"&amp;$D144,'App5 - CRUK Inci Rates'!C:J,7,FALSE)</f>
        <v>1007365.3333333334</v>
      </c>
      <c r="I144" s="713">
        <f>VLOOKUP($B144&amp;"_"&amp;$D144,'App5 - CRUK Inci Rates'!C:J,4,FALSE)</f>
        <v>0</v>
      </c>
      <c r="J144" s="709">
        <f>VLOOKUP($B144&amp;"_"&amp;$D144,'App5 - CRUK Inci Rates'!C:K,9,FALSE)</f>
        <v>14</v>
      </c>
      <c r="K144" s="706">
        <f t="shared" si="120"/>
        <v>503682.66666666669</v>
      </c>
      <c r="L144" s="706">
        <f>VLOOKUP("*"&amp;$B144&amp;"*",'S4 - Summ PRS Characteristics'!$C$13:$Q$20,11,FALSE)*$J144</f>
        <v>12.858463185754696</v>
      </c>
      <c r="M144" s="706">
        <f t="shared" si="121"/>
        <v>1.1415368142453044</v>
      </c>
      <c r="N144" s="706">
        <f>IF($C144="other",(1-$C$7)*L144,(1-(VLOOKUP($C144,'S3 - Screening Tool Metrics'!$C$3:$G$17,5,FALSE)/100))*L144)</f>
        <v>4.2432928512990493</v>
      </c>
      <c r="O144" s="706">
        <f>IF($C144="other",$C$7*L144,(VLOOKUP($C144,'S3 - Screening Tool Metrics'!$C$3:$G$17,5,FALSE)/100)*L144)</f>
        <v>8.6151703344556463</v>
      </c>
      <c r="P144" s="706">
        <f t="shared" si="122"/>
        <v>61.53693096039747</v>
      </c>
      <c r="Q144" s="707">
        <f t="shared" si="112"/>
        <v>201473.06666666668</v>
      </c>
      <c r="R144" s="706">
        <f>VLOOKUP("*"&amp;$B144&amp;"*",'S4 - Summ PRS Characteristics'!$C$13:$Q$20,12,FALSE)*$J144</f>
        <v>9.9390045607296571</v>
      </c>
      <c r="S144" s="706">
        <f t="shared" si="123"/>
        <v>4.0609954392703429</v>
      </c>
      <c r="T144" s="706">
        <f>IF($C144="other",(1-$C136)*R144,(1-(VLOOKUP($C144,'S3 - Screening Tool Metrics'!$C$3:$G$17,5,FALSE)/100))*R144)</f>
        <v>3.2798715050407865</v>
      </c>
      <c r="U144" s="706">
        <f>IF($C144="other",$C136*R144,(VLOOKUP($C144,'S3 - Screening Tool Metrics'!$C$3:$G$17,5,FALSE)/100)*R144)</f>
        <v>6.659133055688871</v>
      </c>
      <c r="V144" s="708">
        <f t="shared" si="113"/>
        <v>47.565236112063367</v>
      </c>
      <c r="W144" s="707">
        <f t="shared" si="114"/>
        <v>100736.53333333334</v>
      </c>
      <c r="X144" s="706">
        <f>VLOOKUP("*"&amp;$B144&amp;"*",'S4 - Summ PRS Characteristics'!$C$13:$Q$20,13,FALSE)*$J144</f>
        <v>7.6311550882809032</v>
      </c>
      <c r="Y144" s="706">
        <f t="shared" si="124"/>
        <v>6.3688449117190968</v>
      </c>
      <c r="Z144" s="706">
        <f>IF($C144="other",(1-$C136)*X144,(1-(VLOOKUP($C144,'S3 - Screening Tool Metrics'!$C$3:$G$17,5,FALSE)/100))*X144)</f>
        <v>2.5182811791326976</v>
      </c>
      <c r="AA144" s="706">
        <f>IF($C144="other",$C136*X144,(VLOOKUP($C144,'S3 - Screening Tool Metrics'!$C$3:$G$17,5,FALSE)/100)*X144)</f>
        <v>5.1128739091482052</v>
      </c>
      <c r="AB144" s="708">
        <f t="shared" si="115"/>
        <v>36.520527922487176</v>
      </c>
      <c r="AC144" s="706">
        <f t="shared" si="116"/>
        <v>50368.26666666667</v>
      </c>
      <c r="AD144" s="706">
        <f>VLOOKUP("*"&amp;$B144&amp;"*",'S4 - Summ PRS Characteristics'!$C$13:$Q$20,14,FALSE)*$J144</f>
        <v>5.617811650192051</v>
      </c>
      <c r="AE144" s="706">
        <f t="shared" si="126"/>
        <v>8.382188349807949</v>
      </c>
      <c r="AF144" s="706">
        <f>IF($C144="other",(1-$C136)*AD144,(1-(VLOOKUP($C144,'S3 - Screening Tool Metrics'!$C$3:$G$17,5,FALSE)/100))*AD144)</f>
        <v>1.8538778445633766</v>
      </c>
      <c r="AG144" s="706">
        <f>IF($C144="other",$C136*AD144,(VLOOKUP($C144,'S3 - Screening Tool Metrics'!$C$3:$G$17,5,FALSE)/100)*AD144)</f>
        <v>3.7639338056286742</v>
      </c>
      <c r="AH144" s="708">
        <f t="shared" si="117"/>
        <v>26.885241468776243</v>
      </c>
      <c r="AI144" s="707">
        <f t="shared" si="118"/>
        <v>10073.653333333334</v>
      </c>
      <c r="AJ144" s="706">
        <f>VLOOKUP("*"&amp;$B144&amp;"*",'S4 - Summ PRS Characteristics'!$C$13:$Q$20,15,FALSE)*$J144</f>
        <v>2.4609852819031177</v>
      </c>
      <c r="AK144" s="706">
        <f t="shared" si="125"/>
        <v>11.539014718096883</v>
      </c>
      <c r="AL144" s="706">
        <f>IF($C144="other",(1-$C136)*AJ144,(1-(VLOOKUP($C144,'S3 - Screening Tool Metrics'!$C$3:$G$17,5,FALSE)/100))*AJ144)</f>
        <v>0.81212514302802874</v>
      </c>
      <c r="AM144" s="706">
        <f>IF($C144="other",$C136*AJ144,(VLOOKUP($C144,'S3 - Screening Tool Metrics'!$C$3:$G$17,5,FALSE)/100)*AJ144)</f>
        <v>1.648860138875089</v>
      </c>
      <c r="AN144" s="709">
        <f t="shared" si="119"/>
        <v>11.77757242053635</v>
      </c>
    </row>
    <row r="145" spans="2:40" x14ac:dyDescent="0.15">
      <c r="B145" s="700" t="s">
        <v>17</v>
      </c>
      <c r="C145" s="721" t="str">
        <f>$C137</f>
        <v>Semen assay</v>
      </c>
      <c r="D145" s="552" t="s">
        <v>206</v>
      </c>
      <c r="E145" s="710">
        <f>VLOOKUP($B145&amp;"_"&amp;$D145,'App5 - CRUK Inci Rates'!C:H,6,FALSE)</f>
        <v>16.008675806590755</v>
      </c>
      <c r="F145" s="711">
        <f>VLOOKUP($B145&amp;"_"&amp;$D145,'App5 - CRUK Inci Rates'!C:H,3,FALSE)</f>
        <v>0</v>
      </c>
      <c r="G145" s="712">
        <f>VLOOKUP($B145&amp;"_"&amp;$D145,'App5 - CRUK Inci Rates'!C:J,8,FALSE)</f>
        <v>8782737.666666666</v>
      </c>
      <c r="H145" s="713">
        <f>VLOOKUP($B145&amp;"_"&amp;$D145,'App5 - CRUK Inci Rates'!C:J,7,FALSE)</f>
        <v>8782737.666666666</v>
      </c>
      <c r="I145" s="713">
        <f>VLOOKUP($B145&amp;"_"&amp;$D145,'App5 - CRUK Inci Rates'!C:J,4,FALSE)</f>
        <v>0</v>
      </c>
      <c r="J145" s="709">
        <f>VLOOKUP($B145&amp;"_"&amp;$D145,'App5 - CRUK Inci Rates'!C:K,9,FALSE)</f>
        <v>1406</v>
      </c>
      <c r="K145" s="706">
        <f t="shared" si="120"/>
        <v>4391368.833333333</v>
      </c>
      <c r="L145" s="706">
        <f>VLOOKUP("*"&amp;$B145&amp;"*",'S4 - Summ PRS Characteristics'!$C$13:$Q$20,11,FALSE)*$J145</f>
        <v>1291.3570885122215</v>
      </c>
      <c r="M145" s="706">
        <f t="shared" si="121"/>
        <v>114.64291148777852</v>
      </c>
      <c r="N145" s="706">
        <f>IF($C145="other",(1-$C$7)*L145,(1-(VLOOKUP($C145,'S3 - Screening Tool Metrics'!$C$3:$G$17,5,FALSE)/100))*L145)</f>
        <v>426.14783920903301</v>
      </c>
      <c r="O145" s="706">
        <f>IF($C145="other",$C$7*L145,(VLOOKUP($C145,'S3 - Screening Tool Metrics'!$C$3:$G$17,5,FALSE)/100)*L145)</f>
        <v>865.20924930318847</v>
      </c>
      <c r="P145" s="706">
        <f t="shared" si="122"/>
        <v>61.53693096039747</v>
      </c>
      <c r="Q145" s="707">
        <f t="shared" si="112"/>
        <v>1756547.5333333332</v>
      </c>
      <c r="R145" s="706">
        <f>VLOOKUP("*"&amp;$B145&amp;"*",'S4 - Summ PRS Characteristics'!$C$13:$Q$20,12,FALSE)*$J145</f>
        <v>998.16002945613559</v>
      </c>
      <c r="S145" s="706">
        <f t="shared" si="123"/>
        <v>407.83997054386441</v>
      </c>
      <c r="T145" s="706">
        <f>IF($C145="other",(1-$C136)*R145,(1-(VLOOKUP($C145,'S3 - Screening Tool Metrics'!$C$3:$G$17,5,FALSE)/100))*R145)</f>
        <v>329.39280972052472</v>
      </c>
      <c r="U145" s="706">
        <f>IF($C145="other",$C136*R145,(VLOOKUP($C145,'S3 - Screening Tool Metrics'!$C$3:$G$17,5,FALSE)/100)*R145)</f>
        <v>668.76721973561087</v>
      </c>
      <c r="V145" s="708">
        <f t="shared" si="113"/>
        <v>47.565236112063367</v>
      </c>
      <c r="W145" s="707">
        <f t="shared" si="114"/>
        <v>878273.7666666666</v>
      </c>
      <c r="X145" s="706">
        <f>VLOOKUP("*"&amp;$B145&amp;"*",'S4 - Summ PRS Characteristics'!$C$13:$Q$20,13,FALSE)*$J145</f>
        <v>766.38600386592498</v>
      </c>
      <c r="Y145" s="706">
        <f t="shared" si="124"/>
        <v>639.61399613407502</v>
      </c>
      <c r="Z145" s="706">
        <f>IF($C145="other",(1-$C136)*X145,(1-(VLOOKUP($C145,'S3 - Screening Tool Metrics'!$C$3:$G$17,5,FALSE)/100))*X145)</f>
        <v>252.9073812757552</v>
      </c>
      <c r="AA145" s="706">
        <f>IF($C145="other",$C136*X145,(VLOOKUP($C145,'S3 - Screening Tool Metrics'!$C$3:$G$17,5,FALSE)/100)*X145)</f>
        <v>513.47862259016972</v>
      </c>
      <c r="AB145" s="708">
        <f t="shared" si="115"/>
        <v>36.520527922487176</v>
      </c>
      <c r="AC145" s="706">
        <f t="shared" si="116"/>
        <v>439136.8833333333</v>
      </c>
      <c r="AD145" s="706">
        <f>VLOOKUP("*"&amp;$B145&amp;"*",'S4 - Summ PRS Characteristics'!$C$13:$Q$20,14,FALSE)*$J145</f>
        <v>564.18879858357309</v>
      </c>
      <c r="AE145" s="706">
        <f t="shared" si="126"/>
        <v>841.81120141642691</v>
      </c>
      <c r="AF145" s="706">
        <f>IF($C145="other",(1-$C136)*AD145,(1-(VLOOKUP($C145,'S3 - Screening Tool Metrics'!$C$3:$G$17,5,FALSE)/100))*AD145)</f>
        <v>186.18230353257908</v>
      </c>
      <c r="AG145" s="706">
        <f>IF($C145="other",$C136*AD145,(VLOOKUP($C145,'S3 - Screening Tool Metrics'!$C$3:$G$17,5,FALSE)/100)*AD145)</f>
        <v>378.00649505099398</v>
      </c>
      <c r="AH145" s="708">
        <f t="shared" si="117"/>
        <v>26.885241468776243</v>
      </c>
      <c r="AI145" s="707">
        <f t="shared" si="118"/>
        <v>87827.376666666663</v>
      </c>
      <c r="AJ145" s="706">
        <f>VLOOKUP("*"&amp;$B145&amp;"*",'S4 - Summ PRS Characteristics'!$C$13:$Q$20,15,FALSE)*$J145</f>
        <v>247.15323616827024</v>
      </c>
      <c r="AK145" s="706">
        <f t="shared" si="125"/>
        <v>1158.8467638317297</v>
      </c>
      <c r="AL145" s="706">
        <f>IF($C145="other",(1-$C136)*AJ145,(1-(VLOOKUP($C145,'S3 - Screening Tool Metrics'!$C$3:$G$17,5,FALSE)/100))*AJ145)</f>
        <v>81.560567935529164</v>
      </c>
      <c r="AM145" s="706">
        <f>IF($C145="other",$C136*AJ145,(VLOOKUP($C145,'S3 - Screening Tool Metrics'!$C$3:$G$17,5,FALSE)/100)*AJ145)</f>
        <v>165.59266823274106</v>
      </c>
      <c r="AN145" s="709">
        <f t="shared" si="119"/>
        <v>11.777572420536348</v>
      </c>
    </row>
    <row r="146" spans="2:40" x14ac:dyDescent="0.15">
      <c r="B146" s="700" t="s">
        <v>17</v>
      </c>
      <c r="C146" s="721" t="str">
        <f>$C137</f>
        <v>Semen assay</v>
      </c>
      <c r="D146" s="552" t="s">
        <v>200</v>
      </c>
      <c r="E146" s="710">
        <f>VLOOKUP($B146&amp;"_"&amp;$D146,'App5 - CRUK Inci Rates'!C:H,6,FALSE)</f>
        <v>6.782309267126819</v>
      </c>
      <c r="F146" s="711">
        <f>VLOOKUP($B146&amp;"_"&amp;$D146,'App5 - CRUK Inci Rates'!C:H,3,FALSE)</f>
        <v>0</v>
      </c>
      <c r="G146" s="712">
        <f>VLOOKUP($B146&amp;"_"&amp;$D146,'App5 - CRUK Inci Rates'!C:J,8,FALSE)</f>
        <v>12090277.333333334</v>
      </c>
      <c r="H146" s="713">
        <f>VLOOKUP($B146&amp;"_"&amp;$D146,'App5 - CRUK Inci Rates'!C:J,7,FALSE)</f>
        <v>12090277.333333334</v>
      </c>
      <c r="I146" s="713">
        <f>VLOOKUP($B146&amp;"_"&amp;$D146,'App5 - CRUK Inci Rates'!C:J,4,FALSE)</f>
        <v>0</v>
      </c>
      <c r="J146" s="709">
        <f>VLOOKUP($B146&amp;"_"&amp;$D146,'App5 - CRUK Inci Rates'!C:K,9,FALSE)</f>
        <v>820</v>
      </c>
      <c r="K146" s="706">
        <f t="shared" si="120"/>
        <v>6045138.666666667</v>
      </c>
      <c r="L146" s="706">
        <f>VLOOKUP("*"&amp;$B146&amp;"*",'S4 - Summ PRS Characteristics'!$C$13:$Q$20,11,FALSE)*$J146</f>
        <v>753.13855802277499</v>
      </c>
      <c r="M146" s="706">
        <f t="shared" si="121"/>
        <v>66.861441977225013</v>
      </c>
      <c r="N146" s="706">
        <f>IF($C146="other",(1-$C$7)*L146,(1-(VLOOKUP($C146,'S3 - Screening Tool Metrics'!$C$3:$G$17,5,FALSE)/100))*L146)</f>
        <v>248.53572414751571</v>
      </c>
      <c r="O146" s="706">
        <f>IF($C146="other",$C$7*L146,(VLOOKUP($C146,'S3 - Screening Tool Metrics'!$C$3:$G$17,5,FALSE)/100)*L146)</f>
        <v>504.60283387525925</v>
      </c>
      <c r="P146" s="706">
        <f t="shared" si="122"/>
        <v>61.53693096039747</v>
      </c>
      <c r="Q146" s="707">
        <f t="shared" si="112"/>
        <v>2418055.4666666668</v>
      </c>
      <c r="R146" s="706">
        <f>VLOOKUP("*"&amp;$B146&amp;"*",'S4 - Summ PRS Characteristics'!$C$13:$Q$20,12,FALSE)*$J146</f>
        <v>582.14169569987996</v>
      </c>
      <c r="S146" s="706">
        <f t="shared" si="123"/>
        <v>237.85830430012004</v>
      </c>
      <c r="T146" s="706">
        <f>IF($C146="other",(1-$C136)*R146,(1-(VLOOKUP($C146,'S3 - Screening Tool Metrics'!$C$3:$G$17,5,FALSE)/100))*R146)</f>
        <v>192.10675958096036</v>
      </c>
      <c r="U146" s="706">
        <f>IF($C146="other",$C136*R146,(VLOOKUP($C146,'S3 - Screening Tool Metrics'!$C$3:$G$17,5,FALSE)/100)*R146)</f>
        <v>390.03493611891957</v>
      </c>
      <c r="V146" s="708">
        <f t="shared" si="113"/>
        <v>47.565236112063367</v>
      </c>
      <c r="W146" s="707">
        <f t="shared" si="114"/>
        <v>1209027.7333333334</v>
      </c>
      <c r="X146" s="706">
        <f>VLOOKUP("*"&amp;$B146&amp;"*",'S4 - Summ PRS Characteristics'!$C$13:$Q$20,13,FALSE)*$J146</f>
        <v>446.96765517073862</v>
      </c>
      <c r="Y146" s="706">
        <f t="shared" si="124"/>
        <v>373.03234482926138</v>
      </c>
      <c r="Z146" s="706">
        <f>IF($C146="other",(1-$C136)*X146,(1-(VLOOKUP($C146,'S3 - Screening Tool Metrics'!$C$3:$G$17,5,FALSE)/100))*X146)</f>
        <v>147.49932620634374</v>
      </c>
      <c r="AA146" s="706">
        <f>IF($C146="other",$C136*X146,(VLOOKUP($C146,'S3 - Screening Tool Metrics'!$C$3:$G$17,5,FALSE)/100)*X146)</f>
        <v>299.46832896439491</v>
      </c>
      <c r="AB146" s="708">
        <f t="shared" si="115"/>
        <v>36.520527922487183</v>
      </c>
      <c r="AC146" s="706">
        <f t="shared" si="116"/>
        <v>604513.8666666667</v>
      </c>
      <c r="AD146" s="706">
        <f>VLOOKUP("*"&amp;$B146&amp;"*",'S4 - Summ PRS Characteristics'!$C$13:$Q$20,14,FALSE)*$J146</f>
        <v>329.04325379696297</v>
      </c>
      <c r="AE146" s="706">
        <f t="shared" si="126"/>
        <v>490.95674620303703</v>
      </c>
      <c r="AF146" s="706">
        <f>IF($C146="other",(1-$C136)*AD146,(1-(VLOOKUP($C146,'S3 - Screening Tool Metrics'!$C$3:$G$17,5,FALSE)/100))*AD146)</f>
        <v>108.58427375299777</v>
      </c>
      <c r="AG146" s="706">
        <f>IF($C146="other",$C136*AD146,(VLOOKUP($C146,'S3 - Screening Tool Metrics'!$C$3:$G$17,5,FALSE)/100)*AD146)</f>
        <v>220.4589800439652</v>
      </c>
      <c r="AH146" s="708">
        <f t="shared" si="117"/>
        <v>26.885241468776243</v>
      </c>
      <c r="AI146" s="707">
        <f t="shared" si="118"/>
        <v>120902.77333333335</v>
      </c>
      <c r="AJ146" s="706">
        <f>VLOOKUP("*"&amp;$B146&amp;"*",'S4 - Summ PRS Characteristics'!$C$13:$Q$20,15,FALSE)*$J146</f>
        <v>144.14342365432546</v>
      </c>
      <c r="AK146" s="706">
        <f t="shared" si="125"/>
        <v>675.85657634567451</v>
      </c>
      <c r="AL146" s="706">
        <f>IF($C146="other",(1-$C136)*AJ146,(1-(VLOOKUP($C146,'S3 - Screening Tool Metrics'!$C$3:$G$17,5,FALSE)/100))*AJ146)</f>
        <v>47.567329805927393</v>
      </c>
      <c r="AM146" s="706">
        <f>IF($C146="other",$C136*AJ146,(VLOOKUP($C146,'S3 - Screening Tool Metrics'!$C$3:$G$17,5,FALSE)/100)*AJ146)</f>
        <v>96.57609384839806</v>
      </c>
      <c r="AN146" s="709">
        <f t="shared" si="119"/>
        <v>11.777572420536348</v>
      </c>
    </row>
    <row r="147" spans="2:40" x14ac:dyDescent="0.15">
      <c r="B147" s="700" t="s">
        <v>17</v>
      </c>
      <c r="C147" s="721" t="str">
        <f>$C137</f>
        <v>Semen assay</v>
      </c>
      <c r="D147" s="552" t="s">
        <v>201</v>
      </c>
      <c r="E147" s="710">
        <f>VLOOKUP($B147&amp;"_"&amp;$D147,'App5 - CRUK Inci Rates'!C:H,6,FALSE)</f>
        <v>10.741704977707645</v>
      </c>
      <c r="F147" s="711">
        <f>VLOOKUP($B147&amp;"_"&amp;$D147,'App5 - CRUK Inci Rates'!C:H,3,FALSE)</f>
        <v>0</v>
      </c>
      <c r="G147" s="712">
        <f>VLOOKUP($B147&amp;"_"&amp;$D147,'App5 - CRUK Inci Rates'!C:J,8,FALSE)</f>
        <v>4273064.666666667</v>
      </c>
      <c r="H147" s="713">
        <f>VLOOKUP($B147&amp;"_"&amp;$D147,'App5 - CRUK Inci Rates'!C:J,7,FALSE)</f>
        <v>4273064.666666667</v>
      </c>
      <c r="I147" s="713">
        <f>VLOOKUP($B147&amp;"_"&amp;$D147,'App5 - CRUK Inci Rates'!C:J,4,FALSE)</f>
        <v>0</v>
      </c>
      <c r="J147" s="709">
        <f>VLOOKUP($B147&amp;"_"&amp;$D147,'App5 - CRUK Inci Rates'!C:K,9,FALSE)</f>
        <v>459</v>
      </c>
      <c r="K147" s="706">
        <f t="shared" si="120"/>
        <v>2136532.3333333335</v>
      </c>
      <c r="L147" s="706">
        <f>VLOOKUP("*"&amp;$B147&amp;"*",'S4 - Summ PRS Characteristics'!$C$13:$Q$20,11,FALSE)*$J147</f>
        <v>421.57390016152891</v>
      </c>
      <c r="M147" s="706">
        <f t="shared" si="121"/>
        <v>37.426099838471089</v>
      </c>
      <c r="N147" s="706">
        <f>IF($C147="other",(1-$C$7)*L147,(1-(VLOOKUP($C147,'S3 - Screening Tool Metrics'!$C$3:$G$17,5,FALSE)/100))*L147)</f>
        <v>139.11938705330454</v>
      </c>
      <c r="O147" s="706">
        <f>IF($C147="other",$C$7*L147,(VLOOKUP($C147,'S3 - Screening Tool Metrics'!$C$3:$G$17,5,FALSE)/100)*L147)</f>
        <v>282.45451310822438</v>
      </c>
      <c r="P147" s="706">
        <f t="shared" si="122"/>
        <v>61.536930960397463</v>
      </c>
      <c r="Q147" s="707">
        <f t="shared" si="112"/>
        <v>854612.93333333347</v>
      </c>
      <c r="R147" s="706">
        <f>VLOOKUP("*"&amp;$B147&amp;"*",'S4 - Summ PRS Characteristics'!$C$13:$Q$20,12,FALSE)*$J147</f>
        <v>325.85736381249376</v>
      </c>
      <c r="S147" s="706">
        <f t="shared" si="123"/>
        <v>133.14263618750624</v>
      </c>
      <c r="T147" s="706">
        <f>IF($C147="other",(1-$C136)*R147,(1-(VLOOKUP($C147,'S3 - Screening Tool Metrics'!$C$3:$G$17,5,FALSE)/100))*R147)</f>
        <v>107.53293005812293</v>
      </c>
      <c r="U147" s="706">
        <f>IF($C147="other",$C136*R147,(VLOOKUP($C147,'S3 - Screening Tool Metrics'!$C$3:$G$17,5,FALSE)/100)*R147)</f>
        <v>218.32443375437083</v>
      </c>
      <c r="V147" s="708">
        <f t="shared" si="113"/>
        <v>47.565236112063367</v>
      </c>
      <c r="W147" s="707">
        <f t="shared" si="114"/>
        <v>427306.46666666673</v>
      </c>
      <c r="X147" s="706">
        <f>VLOOKUP("*"&amp;$B147&amp;"*",'S4 - Summ PRS Characteristics'!$C$13:$Q$20,13,FALSE)*$J147</f>
        <v>250.19287039435247</v>
      </c>
      <c r="Y147" s="706">
        <f t="shared" si="124"/>
        <v>208.80712960564753</v>
      </c>
      <c r="Z147" s="706">
        <f>IF($C147="other",(1-$C136)*X147,(1-(VLOOKUP($C147,'S3 - Screening Tool Metrics'!$C$3:$G$17,5,FALSE)/100))*X147)</f>
        <v>82.563647230136311</v>
      </c>
      <c r="AA147" s="706">
        <f>IF($C147="other",$C136*X147,(VLOOKUP($C147,'S3 - Screening Tool Metrics'!$C$3:$G$17,5,FALSE)/100)*X147)</f>
        <v>167.62922316421617</v>
      </c>
      <c r="AB147" s="708">
        <f t="shared" si="115"/>
        <v>36.520527922487183</v>
      </c>
      <c r="AC147" s="706">
        <f t="shared" si="116"/>
        <v>213653.23333333337</v>
      </c>
      <c r="AD147" s="706">
        <f>VLOOKUP("*"&amp;$B147&amp;"*",'S4 - Summ PRS Characteristics'!$C$13:$Q$20,14,FALSE)*$J147</f>
        <v>184.18396767415368</v>
      </c>
      <c r="AE147" s="706">
        <f t="shared" si="126"/>
        <v>274.81603232584632</v>
      </c>
      <c r="AF147" s="706">
        <f>IF($C147="other",(1-$C136)*AD147,(1-(VLOOKUP($C147,'S3 - Screening Tool Metrics'!$C$3:$G$17,5,FALSE)/100))*AD147)</f>
        <v>60.780709332470707</v>
      </c>
      <c r="AG147" s="706">
        <f>IF($C147="other",$C136*AD147,(VLOOKUP($C147,'S3 - Screening Tool Metrics'!$C$3:$G$17,5,FALSE)/100)*AD147)</f>
        <v>123.40325834168297</v>
      </c>
      <c r="AH147" s="708">
        <f t="shared" si="117"/>
        <v>26.885241468776243</v>
      </c>
      <c r="AI147" s="707">
        <f t="shared" si="118"/>
        <v>42730.646666666667</v>
      </c>
      <c r="AJ147" s="706">
        <f>VLOOKUP("*"&amp;$B147&amp;"*",'S4 - Summ PRS Characteristics'!$C$13:$Q$20,15,FALSE)*$J147</f>
        <v>80.685160313823644</v>
      </c>
      <c r="AK147" s="706">
        <f t="shared" si="125"/>
        <v>378.31483968617636</v>
      </c>
      <c r="AL147" s="706">
        <f>IF($C147="other",(1-$C136)*AJ147,(1-(VLOOKUP($C147,'S3 - Screening Tool Metrics'!$C$3:$G$17,5,FALSE)/100))*AJ147)</f>
        <v>26.626102903561801</v>
      </c>
      <c r="AM147" s="706">
        <f>IF($C147="other",$C136*AJ147,(VLOOKUP($C147,'S3 - Screening Tool Metrics'!$C$3:$G$17,5,FALSE)/100)*AJ147)</f>
        <v>54.059057410261843</v>
      </c>
      <c r="AN147" s="709">
        <f t="shared" si="119"/>
        <v>11.777572420536348</v>
      </c>
    </row>
    <row r="148" spans="2:40" x14ac:dyDescent="0.15">
      <c r="B148" s="700" t="s">
        <v>17</v>
      </c>
      <c r="C148" s="721" t="str">
        <f>$C137</f>
        <v>Semen assay</v>
      </c>
      <c r="D148" s="552" t="s">
        <v>202</v>
      </c>
      <c r="E148" s="710">
        <f>VLOOKUP($B148&amp;"_"&amp;$D148,'App5 - CRUK Inci Rates'!C:H,6,FALSE)</f>
        <v>6.1532932287600035</v>
      </c>
      <c r="F148" s="711">
        <f>VLOOKUP($B148&amp;"_"&amp;$D148,'App5 - CRUK Inci Rates'!C:H,3,FALSE)</f>
        <v>0</v>
      </c>
      <c r="G148" s="712">
        <f>VLOOKUP($B148&amp;"_"&amp;$D148,'App5 - CRUK Inci Rates'!C:J,8,FALSE)</f>
        <v>4355391.333333333</v>
      </c>
      <c r="H148" s="713">
        <f>VLOOKUP($B148&amp;"_"&amp;$D148,'App5 - CRUK Inci Rates'!C:J,7,FALSE)</f>
        <v>4355391.333333333</v>
      </c>
      <c r="I148" s="713">
        <f>VLOOKUP($B148&amp;"_"&amp;$D148,'App5 - CRUK Inci Rates'!C:J,4,FALSE)</f>
        <v>0</v>
      </c>
      <c r="J148" s="709">
        <f>VLOOKUP($B148&amp;"_"&amp;$D148,'App5 - CRUK Inci Rates'!C:K,9,FALSE)</f>
        <v>268</v>
      </c>
      <c r="K148" s="706">
        <f t="shared" si="120"/>
        <v>2177695.6666666665</v>
      </c>
      <c r="L148" s="706">
        <f>VLOOKUP("*"&amp;$B148&amp;"*",'S4 - Summ PRS Characteristics'!$C$13:$Q$20,11,FALSE)*$J148</f>
        <v>246.14772384158988</v>
      </c>
      <c r="M148" s="706">
        <f t="shared" si="121"/>
        <v>21.85227615841012</v>
      </c>
      <c r="N148" s="706">
        <f>IF($C148="other",(1-$C$7)*L148,(1-(VLOOKUP($C148,'S3 - Screening Tool Metrics'!$C$3:$G$17,5,FALSE)/100))*L148)</f>
        <v>81.228748867724647</v>
      </c>
      <c r="O148" s="706">
        <f>IF($C148="other",$C$7*L148,(VLOOKUP($C148,'S3 - Screening Tool Metrics'!$C$3:$G$17,5,FALSE)/100)*L148)</f>
        <v>164.91897497386523</v>
      </c>
      <c r="P148" s="706">
        <f t="shared" si="122"/>
        <v>61.53693096039747</v>
      </c>
      <c r="Q148" s="707">
        <f t="shared" si="112"/>
        <v>871078.2666666666</v>
      </c>
      <c r="R148" s="706">
        <f>VLOOKUP("*"&amp;$B148&amp;"*",'S4 - Summ PRS Characteristics'!$C$13:$Q$20,12,FALSE)*$J148</f>
        <v>190.26094444825344</v>
      </c>
      <c r="S148" s="706">
        <f t="shared" si="123"/>
        <v>77.73905555174656</v>
      </c>
      <c r="T148" s="706">
        <f>IF($C148="other",(1-$C136)*R148,(1-(VLOOKUP($C148,'S3 - Screening Tool Metrics'!$C$3:$G$17,5,FALSE)/100))*R148)</f>
        <v>62.786111667923628</v>
      </c>
      <c r="U148" s="706">
        <f>IF($C148="other",$C136*R148,(VLOOKUP($C148,'S3 - Screening Tool Metrics'!$C$3:$G$17,5,FALSE)/100)*R148)</f>
        <v>127.47483278032981</v>
      </c>
      <c r="V148" s="708">
        <f t="shared" si="113"/>
        <v>47.56523611206336</v>
      </c>
      <c r="W148" s="707">
        <f t="shared" si="114"/>
        <v>435539.1333333333</v>
      </c>
      <c r="X148" s="706">
        <f>VLOOKUP("*"&amp;$B148&amp;"*",'S4 - Summ PRS Characteristics'!$C$13:$Q$20,13,FALSE)*$J148</f>
        <v>146.08211168994873</v>
      </c>
      <c r="Y148" s="706">
        <f t="shared" si="124"/>
        <v>121.91788831005127</v>
      </c>
      <c r="Z148" s="706">
        <f>IF($C148="other",(1-$C136)*X148,(1-(VLOOKUP($C148,'S3 - Screening Tool Metrics'!$C$3:$G$17,5,FALSE)/100))*X148)</f>
        <v>48.207096857683077</v>
      </c>
      <c r="AA148" s="706">
        <f>IF($C148="other",$C136*X148,(VLOOKUP($C148,'S3 - Screening Tool Metrics'!$C$3:$G$17,5,FALSE)/100)*X148)</f>
        <v>97.875014832265663</v>
      </c>
      <c r="AB148" s="708">
        <f t="shared" si="115"/>
        <v>36.52052792248719</v>
      </c>
      <c r="AC148" s="706">
        <f t="shared" si="116"/>
        <v>217769.56666666665</v>
      </c>
      <c r="AD148" s="706">
        <f>VLOOKUP("*"&amp;$B148&amp;"*",'S4 - Summ PRS Characteristics'!$C$13:$Q$20,14,FALSE)*$J148</f>
        <v>107.54096587510497</v>
      </c>
      <c r="AE148" s="706">
        <f t="shared" si="126"/>
        <v>160.45903412489503</v>
      </c>
      <c r="AF148" s="706">
        <f>IF($C148="other",(1-$C136)*AD148,(1-(VLOOKUP($C148,'S3 - Screening Tool Metrics'!$C$3:$G$17,5,FALSE)/100))*AD148)</f>
        <v>35.488518738784634</v>
      </c>
      <c r="AG148" s="706">
        <f>IF($C148="other",$C136*AD148,(VLOOKUP($C148,'S3 - Screening Tool Metrics'!$C$3:$G$17,5,FALSE)/100)*AD148)</f>
        <v>72.052447136320339</v>
      </c>
      <c r="AH148" s="708">
        <f t="shared" si="117"/>
        <v>26.885241468776243</v>
      </c>
      <c r="AI148" s="707">
        <f t="shared" si="118"/>
        <v>43553.91333333333</v>
      </c>
      <c r="AJ148" s="706">
        <f>VLOOKUP("*"&amp;$B148&amp;"*",'S4 - Summ PRS Characteristics'!$C$13:$Q$20,15,FALSE)*$J148</f>
        <v>47.110289682145392</v>
      </c>
      <c r="AK148" s="706">
        <f t="shared" si="125"/>
        <v>220.88971031785462</v>
      </c>
      <c r="AL148" s="706">
        <f>IF($C148="other",(1-$C136)*AJ148,(1-(VLOOKUP($C148,'S3 - Screening Tool Metrics'!$C$3:$G$17,5,FALSE)/100))*AJ148)</f>
        <v>15.546395595107978</v>
      </c>
      <c r="AM148" s="706">
        <f>IF($C148="other",$C136*AJ148,(VLOOKUP($C148,'S3 - Screening Tool Metrics'!$C$3:$G$17,5,FALSE)/100)*AJ148)</f>
        <v>31.563894087037415</v>
      </c>
      <c r="AN148" s="709">
        <f t="shared" si="119"/>
        <v>11.777572420536348</v>
      </c>
    </row>
    <row r="149" spans="2:40" x14ac:dyDescent="0.15">
      <c r="B149" s="700" t="s">
        <v>17</v>
      </c>
      <c r="C149" s="721" t="str">
        <f t="shared" ref="C149:C150" si="127">$C138</f>
        <v>Semen assay</v>
      </c>
      <c r="D149" s="552" t="s">
        <v>203</v>
      </c>
      <c r="E149" s="710">
        <f>VLOOKUP($B149&amp;"_"&amp;$D149,'App5 - CRUK Inci Rates'!C:H,6,FALSE)</f>
        <v>4.6180143152474038</v>
      </c>
      <c r="F149" s="711">
        <f>VLOOKUP($B149&amp;"_"&amp;$D149,'App5 - CRUK Inci Rates'!C:H,3,FALSE)</f>
        <v>0</v>
      </c>
      <c r="G149" s="712">
        <f>VLOOKUP($B149&amp;"_"&amp;$D149,'App5 - CRUK Inci Rates'!C:J,8,FALSE)</f>
        <v>7817212.666666666</v>
      </c>
      <c r="H149" s="713">
        <f>VLOOKUP($B149&amp;"_"&amp;$D149,'App5 - CRUK Inci Rates'!C:J,7,FALSE)</f>
        <v>7817212.666666666</v>
      </c>
      <c r="I149" s="713">
        <f>VLOOKUP($B149&amp;"_"&amp;$D149,'App5 - CRUK Inci Rates'!C:J,4,FALSE)</f>
        <v>0</v>
      </c>
      <c r="J149" s="709">
        <f>VLOOKUP($B149&amp;"_"&amp;$D149,'App5 - CRUK Inci Rates'!C:K,9,FALSE)</f>
        <v>361</v>
      </c>
      <c r="K149" s="706">
        <f t="shared" si="120"/>
        <v>3908606.333333333</v>
      </c>
      <c r="L149" s="706">
        <f>VLOOKUP("*"&amp;$B149&amp;"*",'S4 - Summ PRS Characteristics'!$C$13:$Q$20,11,FALSE)*$J149</f>
        <v>331.56465786124608</v>
      </c>
      <c r="M149" s="706">
        <f t="shared" si="121"/>
        <v>29.435342138753924</v>
      </c>
      <c r="N149" s="706">
        <f>IF($C149="other",(1-$C$7)*L149,(1-(VLOOKUP($C149,'S3 - Screening Tool Metrics'!$C$3:$G$17,5,FALSE)/100))*L149)</f>
        <v>109.41633709421119</v>
      </c>
      <c r="O149" s="706">
        <f>IF($C149="other",$C$7*L149,(VLOOKUP($C149,'S3 - Screening Tool Metrics'!$C$3:$G$17,5,FALSE)/100)*L149)</f>
        <v>222.14832076703487</v>
      </c>
      <c r="P149" s="706">
        <f t="shared" si="122"/>
        <v>61.53693096039747</v>
      </c>
      <c r="Q149" s="707">
        <f t="shared" si="112"/>
        <v>1563442.5333333332</v>
      </c>
      <c r="R149" s="706">
        <f>VLOOKUP("*"&amp;$B149&amp;"*",'S4 - Summ PRS Characteristics'!$C$13:$Q$20,12,FALSE)*$J149</f>
        <v>256.28433188738614</v>
      </c>
      <c r="S149" s="706">
        <f t="shared" si="123"/>
        <v>104.71566811261386</v>
      </c>
      <c r="T149" s="706">
        <f>IF($C149="other",(1-$C136)*R149,(1-(VLOOKUP($C149,'S3 - Screening Tool Metrics'!$C$3:$G$17,5,FALSE)/100))*R149)</f>
        <v>84.573829522837414</v>
      </c>
      <c r="U149" s="706">
        <f>IF($C149="other",$C136*R149,(VLOOKUP($C149,'S3 - Screening Tool Metrics'!$C$3:$G$17,5,FALSE)/100)*R149)</f>
        <v>171.71050236454872</v>
      </c>
      <c r="V149" s="708">
        <f t="shared" si="113"/>
        <v>47.56523611206336</v>
      </c>
      <c r="W149" s="707">
        <f t="shared" si="114"/>
        <v>781721.2666666666</v>
      </c>
      <c r="X149" s="706">
        <f>VLOOKUP("*"&amp;$B149&amp;"*",'S4 - Summ PRS Characteristics'!$C$13:$Q$20,13,FALSE)*$J149</f>
        <v>196.77478477638616</v>
      </c>
      <c r="Y149" s="706">
        <f t="shared" si="124"/>
        <v>164.22521522361384</v>
      </c>
      <c r="Z149" s="706">
        <f>IF($C149="other",(1-$C136)*X149,(1-(VLOOKUP($C149,'S3 - Screening Tool Metrics'!$C$3:$G$17,5,FALSE)/100))*X149)</f>
        <v>64.935678976207427</v>
      </c>
      <c r="AA149" s="706">
        <f>IF($C149="other",$C136*X149,(VLOOKUP($C149,'S3 - Screening Tool Metrics'!$C$3:$G$17,5,FALSE)/100)*X149)</f>
        <v>131.83910580017874</v>
      </c>
      <c r="AB149" s="708">
        <f t="shared" si="115"/>
        <v>36.520527922487183</v>
      </c>
      <c r="AC149" s="706">
        <f t="shared" si="116"/>
        <v>390860.6333333333</v>
      </c>
      <c r="AD149" s="706">
        <f>VLOOKUP("*"&amp;$B149&amp;"*",'S4 - Summ PRS Characteristics'!$C$13:$Q$20,14,FALSE)*$J149</f>
        <v>144.85928612280932</v>
      </c>
      <c r="AE149" s="706">
        <f t="shared" si="126"/>
        <v>216.14071387719068</v>
      </c>
      <c r="AF149" s="706">
        <f>IF($C149="other",(1-$C136)*AD149,(1-(VLOOKUP($C149,'S3 - Screening Tool Metrics'!$C$3:$G$17,5,FALSE)/100))*AD149)</f>
        <v>47.803564420527074</v>
      </c>
      <c r="AG149" s="706">
        <f>IF($C149="other",$C136*AD149,(VLOOKUP($C149,'S3 - Screening Tool Metrics'!$C$3:$G$17,5,FALSE)/100)*AD149)</f>
        <v>97.055721702282256</v>
      </c>
      <c r="AH149" s="708">
        <f t="shared" si="117"/>
        <v>26.88524146877625</v>
      </c>
      <c r="AI149" s="707">
        <f t="shared" si="118"/>
        <v>78172.126666666663</v>
      </c>
      <c r="AJ149" s="706">
        <f>VLOOKUP("*"&amp;$B149&amp;"*",'S4 - Summ PRS Characteristics'!$C$13:$Q$20,15,FALSE)*$J149</f>
        <v>63.458263340501816</v>
      </c>
      <c r="AK149" s="706">
        <f t="shared" si="125"/>
        <v>297.54173665949816</v>
      </c>
      <c r="AL149" s="706">
        <f>IF($C149="other",(1-$C136)*AJ149,(1-(VLOOKUP($C149,'S3 - Screening Tool Metrics'!$C$3:$G$17,5,FALSE)/100))*AJ149)</f>
        <v>20.941226902365596</v>
      </c>
      <c r="AM149" s="706">
        <f>IF($C149="other",$C136*AJ149,(VLOOKUP($C149,'S3 - Screening Tool Metrics'!$C$3:$G$17,5,FALSE)/100)*AJ149)</f>
        <v>42.517036438136216</v>
      </c>
      <c r="AN149" s="709">
        <f t="shared" si="119"/>
        <v>11.777572420536348</v>
      </c>
    </row>
    <row r="150" spans="2:40" x14ac:dyDescent="0.15">
      <c r="B150" s="700" t="s">
        <v>17</v>
      </c>
      <c r="C150" s="721" t="str">
        <f t="shared" si="127"/>
        <v>Semen assay</v>
      </c>
      <c r="D150" s="552" t="s">
        <v>292</v>
      </c>
      <c r="E150" s="710">
        <f>VLOOKUP($B150&amp;"_"&amp;$D150,'App5 - CRUK Inci Rates'!C:H,6,FALSE)</f>
        <v>2.5964614152648537</v>
      </c>
      <c r="F150" s="711">
        <f>VLOOKUP($B150&amp;"_"&amp;$D150,'App5 - CRUK Inci Rates'!C:H,3,FALSE)</f>
        <v>0</v>
      </c>
      <c r="G150" s="712">
        <f>VLOOKUP($B150&amp;"_"&amp;$D150,'App5 - CRUK Inci Rates'!C:J,8,FALSE)</f>
        <v>4929786.333333333</v>
      </c>
      <c r="H150" s="713">
        <f>VLOOKUP($B150&amp;"_"&amp;$D150,'App5 - CRUK Inci Rates'!C:J,7,FALSE)</f>
        <v>4929786.333333333</v>
      </c>
      <c r="I150" s="713">
        <f>VLOOKUP($B150&amp;"_"&amp;$D150,'App5 - CRUK Inci Rates'!C:J,4,FALSE)</f>
        <v>0</v>
      </c>
      <c r="J150" s="709">
        <f>VLOOKUP($B150&amp;"_"&amp;$D150,'App5 - CRUK Inci Rates'!C:K,9,FALSE)</f>
        <v>128</v>
      </c>
      <c r="K150" s="706">
        <f t="shared" si="120"/>
        <v>2464893.1666666665</v>
      </c>
      <c r="L150" s="706">
        <f>VLOOKUP("*"&amp;$B150&amp;"*",'S4 - Summ PRS Characteristics'!$C$13:$Q$20,11,FALSE)*$J150</f>
        <v>117.56309198404293</v>
      </c>
      <c r="M150" s="706">
        <f t="shared" si="121"/>
        <v>10.436908015957073</v>
      </c>
      <c r="N150" s="706">
        <f>IF($C150="other",(1-$C$7)*L150,(1-(VLOOKUP($C150,'S3 - Screening Tool Metrics'!$C$3:$G$17,5,FALSE)/100))*L150)</f>
        <v>38.795820354734161</v>
      </c>
      <c r="O150" s="706">
        <f>IF($C150="other",$C$7*L150,(VLOOKUP($C150,'S3 - Screening Tool Metrics'!$C$3:$G$17,5,FALSE)/100)*L150)</f>
        <v>78.767271629308766</v>
      </c>
      <c r="P150" s="706">
        <f t="shared" si="122"/>
        <v>61.53693096039747</v>
      </c>
      <c r="Q150" s="707">
        <f t="shared" si="112"/>
        <v>985957.2666666666</v>
      </c>
      <c r="R150" s="706">
        <f>VLOOKUP("*"&amp;$B150&amp;"*",'S4 - Summ PRS Characteristics'!$C$13:$Q$20,12,FALSE)*$J150</f>
        <v>90.870898840956869</v>
      </c>
      <c r="S150" s="706">
        <f>$J150-R150</f>
        <v>37.129101159043131</v>
      </c>
      <c r="T150" s="706">
        <f>IF($C150="other",(1-$C137)*R150,(1-(VLOOKUP($C150,'S3 - Screening Tool Metrics'!$C$3:$G$17,5,FALSE)/100))*R150)</f>
        <v>29.987396617515763</v>
      </c>
      <c r="U150" s="706">
        <f>IF($C150="other",$C137*R150,(VLOOKUP($C150,'S3 - Screening Tool Metrics'!$C$3:$G$17,5,FALSE)/100)*R150)</f>
        <v>60.883502223441106</v>
      </c>
      <c r="V150" s="708">
        <f t="shared" si="113"/>
        <v>47.565236112063367</v>
      </c>
      <c r="W150" s="707">
        <f t="shared" si="114"/>
        <v>492978.6333333333</v>
      </c>
      <c r="X150" s="706">
        <f>VLOOKUP("*"&amp;$B150&amp;"*",'S4 - Summ PRS Characteristics'!$C$13:$Q$20,13,FALSE)*$J150</f>
        <v>69.770560807139688</v>
      </c>
      <c r="Y150" s="706">
        <f t="shared" si="124"/>
        <v>58.229439192860312</v>
      </c>
      <c r="Z150" s="706">
        <f>IF($C150="other",(1-$C137)*X150,(1-(VLOOKUP($C150,'S3 - Screening Tool Metrics'!$C$3:$G$17,5,FALSE)/100))*X150)</f>
        <v>23.024285066356093</v>
      </c>
      <c r="AA150" s="706">
        <f>IF($C150="other",$C137*X150,(VLOOKUP($C150,'S3 - Screening Tool Metrics'!$C$3:$G$17,5,FALSE)/100)*X150)</f>
        <v>46.746275740783595</v>
      </c>
      <c r="AB150" s="708">
        <f t="shared" si="115"/>
        <v>36.520527922487183</v>
      </c>
      <c r="AC150" s="706">
        <f t="shared" si="116"/>
        <v>246489.31666666665</v>
      </c>
      <c r="AD150" s="706">
        <f>VLOOKUP("*"&amp;$B150&amp;"*",'S4 - Summ PRS Characteristics'!$C$13:$Q$20,14,FALSE)*$J150</f>
        <v>51.362849373184467</v>
      </c>
      <c r="AE150" s="706">
        <f t="shared" si="126"/>
        <v>76.637150626815526</v>
      </c>
      <c r="AF150" s="706">
        <f>IF($C150="other",(1-$C137)*AD150,(1-(VLOOKUP($C150,'S3 - Screening Tool Metrics'!$C$3:$G$17,5,FALSE)/100))*AD150)</f>
        <v>16.949740293150871</v>
      </c>
      <c r="AG150" s="706">
        <f>IF($C150="other",$C137*AD150,(VLOOKUP($C150,'S3 - Screening Tool Metrics'!$C$3:$G$17,5,FALSE)/100)*AD150)</f>
        <v>34.413109080033593</v>
      </c>
      <c r="AH150" s="708">
        <f t="shared" si="117"/>
        <v>26.885241468776243</v>
      </c>
      <c r="AI150" s="707">
        <f t="shared" si="118"/>
        <v>49297.863333333335</v>
      </c>
      <c r="AJ150" s="706">
        <f>VLOOKUP("*"&amp;$B150&amp;"*",'S4 - Summ PRS Characteristics'!$C$13:$Q$20,15,FALSE)*$J150</f>
        <v>22.500436863114217</v>
      </c>
      <c r="AK150" s="706">
        <f t="shared" si="125"/>
        <v>105.49956313688578</v>
      </c>
      <c r="AL150" s="706">
        <f>IF($C150="other",(1-$C137)*AJ150,(1-(VLOOKUP($C150,'S3 - Screening Tool Metrics'!$C$3:$G$17,5,FALSE)/100))*AJ150)</f>
        <v>7.4251441648276906</v>
      </c>
      <c r="AM150" s="706">
        <f>IF($C150="other",$C137*AJ150,(VLOOKUP($C150,'S3 - Screening Tool Metrics'!$C$3:$G$17,5,FALSE)/100)*AJ150)</f>
        <v>15.075292698286527</v>
      </c>
      <c r="AN150" s="709">
        <f t="shared" si="119"/>
        <v>11.777572420536348</v>
      </c>
    </row>
    <row r="151" spans="2:40" x14ac:dyDescent="0.15">
      <c r="B151" s="700" t="s">
        <v>17</v>
      </c>
      <c r="C151" s="721" t="str">
        <f>$C137</f>
        <v>Semen assay</v>
      </c>
      <c r="D151" s="552" t="s">
        <v>204</v>
      </c>
      <c r="E151" s="710">
        <f>VLOOKUP($B151&amp;"_"&amp;$D151,'App5 - CRUK Inci Rates'!C:H,6,FALSE)</f>
        <v>5.966108794682853</v>
      </c>
      <c r="F151" s="711">
        <f>VLOOKUP($B151&amp;"_"&amp;$D151,'App5 - CRUK Inci Rates'!C:H,3,FALSE)</f>
        <v>0</v>
      </c>
      <c r="G151" s="712">
        <f>VLOOKUP($B151&amp;"_"&amp;$D151,'App5 - CRUK Inci Rates'!C:J,8,FALSE)</f>
        <v>14565607.666666668</v>
      </c>
      <c r="H151" s="713">
        <f>VLOOKUP($B151&amp;"_"&amp;$D151,'App5 - CRUK Inci Rates'!C:J,7,FALSE)</f>
        <v>14565607.666666668</v>
      </c>
      <c r="I151" s="713">
        <f>VLOOKUP($B151&amp;"_"&amp;$D151,'App5 - CRUK Inci Rates'!C:J,4,FALSE)</f>
        <v>0</v>
      </c>
      <c r="J151" s="709">
        <f>VLOOKUP($B151&amp;"_"&amp;$D151,'App5 - CRUK Inci Rates'!C:K,9,FALSE)</f>
        <v>869</v>
      </c>
      <c r="K151" s="706">
        <f t="shared" si="120"/>
        <v>7282803.833333334</v>
      </c>
      <c r="L151" s="706">
        <f>VLOOKUP("*"&amp;$B151&amp;"*",'S4 - Summ PRS Characteristics'!$C$13:$Q$20,11,FALSE)*$J151</f>
        <v>798.14317917291646</v>
      </c>
      <c r="M151" s="706">
        <f t="shared" si="121"/>
        <v>70.856820827083538</v>
      </c>
      <c r="N151" s="706">
        <f>IF($C151="other",(1-$C$7)*L151,(1-(VLOOKUP($C151,'S3 - Screening Tool Metrics'!$C$3:$G$17,5,FALSE)/100))*L151)</f>
        <v>263.38724912706238</v>
      </c>
      <c r="O151" s="706">
        <f>IF($C151="other",$C$7*L151,(VLOOKUP($C151,'S3 - Screening Tool Metrics'!$C$3:$G$17,5,FALSE)/100)*L151)</f>
        <v>534.75593004585403</v>
      </c>
      <c r="P151" s="706">
        <f t="shared" si="122"/>
        <v>61.53693096039747</v>
      </c>
      <c r="Q151" s="707">
        <f t="shared" si="112"/>
        <v>2913121.5333333337</v>
      </c>
      <c r="R151" s="706">
        <f>VLOOKUP("*"&amp;$B151&amp;"*",'S4 - Summ PRS Characteristics'!$C$13:$Q$20,12,FALSE)*$J151</f>
        <v>616.9282116624338</v>
      </c>
      <c r="S151" s="706">
        <f t="shared" si="123"/>
        <v>252.0717883375662</v>
      </c>
      <c r="T151" s="706">
        <f>IF($C151="other",(1-$C136)*R151,(1-(VLOOKUP($C151,'S3 - Screening Tool Metrics'!$C$3:$G$17,5,FALSE)/100))*R151)</f>
        <v>203.58630984860312</v>
      </c>
      <c r="U151" s="706">
        <f>IF($C151="other",$C136*R151,(VLOOKUP($C151,'S3 - Screening Tool Metrics'!$C$3:$G$17,5,FALSE)/100)*R151)</f>
        <v>413.34190181383065</v>
      </c>
      <c r="V151" s="708">
        <f t="shared" si="113"/>
        <v>47.565236112063367</v>
      </c>
      <c r="W151" s="707">
        <f t="shared" si="114"/>
        <v>1456560.7666666668</v>
      </c>
      <c r="X151" s="706">
        <f>VLOOKUP("*"&amp;$B151&amp;"*",'S4 - Summ PRS Characteristics'!$C$13:$Q$20,13,FALSE)*$J151</f>
        <v>473.67669797972178</v>
      </c>
      <c r="Y151" s="706">
        <f t="shared" si="124"/>
        <v>395.32330202027822</v>
      </c>
      <c r="Z151" s="706">
        <f>IF($C151="other",(1-$C136)*X151,(1-(VLOOKUP($C151,'S3 - Screening Tool Metrics'!$C$3:$G$17,5,FALSE)/100))*X151)</f>
        <v>156.31331033330818</v>
      </c>
      <c r="AA151" s="706">
        <f>IF($C151="other",$C136*X151,(VLOOKUP($C151,'S3 - Screening Tool Metrics'!$C$3:$G$17,5,FALSE)/100)*X151)</f>
        <v>317.36338764641363</v>
      </c>
      <c r="AB151" s="708">
        <f t="shared" si="115"/>
        <v>36.520527922487183</v>
      </c>
      <c r="AC151" s="706">
        <f t="shared" si="116"/>
        <v>728280.38333333342</v>
      </c>
      <c r="AD151" s="706">
        <f>VLOOKUP("*"&amp;$B151&amp;"*",'S4 - Summ PRS Characteristics'!$C$13:$Q$20,14,FALSE)*$J151</f>
        <v>348.70559457263516</v>
      </c>
      <c r="AE151" s="706">
        <f t="shared" si="126"/>
        <v>520.29440542736484</v>
      </c>
      <c r="AF151" s="706">
        <f>IF($C151="other",(1-$C136)*AD151,(1-(VLOOKUP($C151,'S3 - Screening Tool Metrics'!$C$3:$G$17,5,FALSE)/100))*AD151)</f>
        <v>115.07284620896959</v>
      </c>
      <c r="AG151" s="706">
        <f>IF($C151="other",$C136*AD151,(VLOOKUP($C151,'S3 - Screening Tool Metrics'!$C$3:$G$17,5,FALSE)/100)*AD151)</f>
        <v>233.63274836366557</v>
      </c>
      <c r="AH151" s="708">
        <f t="shared" si="117"/>
        <v>26.885241468776243</v>
      </c>
      <c r="AI151" s="707">
        <f t="shared" si="118"/>
        <v>145656.07666666669</v>
      </c>
      <c r="AJ151" s="706">
        <f>VLOOKUP("*"&amp;$B151&amp;"*",'S4 - Summ PRS Characteristics'!$C$13:$Q$20,15,FALSE)*$J151</f>
        <v>152.75687214098636</v>
      </c>
      <c r="AK151" s="706">
        <f t="shared" si="125"/>
        <v>716.24312785901361</v>
      </c>
      <c r="AL151" s="706">
        <f>IF($C151="other",(1-$C136)*AJ151,(1-(VLOOKUP($C151,'S3 - Screening Tool Metrics'!$C$3:$G$17,5,FALSE)/100))*AJ151)</f>
        <v>50.409767806525494</v>
      </c>
      <c r="AM151" s="706">
        <f>IF($C151="other",$C136*AJ151,(VLOOKUP($C151,'S3 - Screening Tool Metrics'!$C$3:$G$17,5,FALSE)/100)*AJ151)</f>
        <v>102.34710433446087</v>
      </c>
      <c r="AN151" s="709">
        <f t="shared" si="119"/>
        <v>11.777572420536348</v>
      </c>
    </row>
    <row r="152" spans="2:40" ht="14" thickBot="1" x14ac:dyDescent="0.2">
      <c r="B152" s="731" t="s">
        <v>17</v>
      </c>
      <c r="C152" s="744" t="str">
        <f>$C139</f>
        <v>Semen assay</v>
      </c>
      <c r="D152" s="613" t="s">
        <v>205</v>
      </c>
      <c r="E152" s="722">
        <f>VLOOKUP($B152&amp;"_"&amp;$D152,'App5 - CRUK Inci Rates'!C:H,6,FALSE)</f>
        <v>7.2</v>
      </c>
      <c r="F152" s="723">
        <f>VLOOKUP($B152&amp;"_"&amp;$D152,'App5 - CRUK Inci Rates'!C:H,3,FALSE)</f>
        <v>0</v>
      </c>
      <c r="G152" s="724">
        <f>VLOOKUP($B152&amp;"_"&amp;$D152,'App5 - CRUK Inci Rates'!C:J,8,FALSE)</f>
        <v>32583225.666666668</v>
      </c>
      <c r="H152" s="725">
        <f>VLOOKUP($B152&amp;"_"&amp;$D152,'App5 - CRUK Inci Rates'!C:J,7,FALSE)</f>
        <v>32583225.666666668</v>
      </c>
      <c r="I152" s="725">
        <f>VLOOKUP($B152&amp;"_"&amp;$D152,'App5 - CRUK Inci Rates'!C:J,4,FALSE)</f>
        <v>0</v>
      </c>
      <c r="J152" s="732">
        <f>VLOOKUP($B152&amp;"_"&amp;$D152,'App5 - CRUK Inci Rates'!C:K,9,FALSE)</f>
        <v>2354</v>
      </c>
      <c r="K152" s="735"/>
      <c r="L152" s="735"/>
      <c r="M152" s="735"/>
      <c r="N152" s="735"/>
      <c r="O152" s="735"/>
      <c r="P152" s="735"/>
      <c r="Q152" s="734"/>
      <c r="R152" s="735"/>
      <c r="S152" s="735"/>
      <c r="T152" s="735"/>
      <c r="U152" s="735"/>
      <c r="V152" s="745"/>
      <c r="W152" s="734"/>
      <c r="X152" s="735"/>
      <c r="Y152" s="735"/>
      <c r="Z152" s="735"/>
      <c r="AA152" s="735"/>
      <c r="AB152" s="745"/>
      <c r="AC152" s="735"/>
      <c r="AD152" s="735"/>
      <c r="AE152" s="735"/>
      <c r="AF152" s="735"/>
      <c r="AG152" s="735"/>
      <c r="AH152" s="745"/>
      <c r="AI152" s="734"/>
      <c r="AJ152" s="735"/>
      <c r="AK152" s="735"/>
      <c r="AL152" s="735"/>
      <c r="AM152" s="735"/>
      <c r="AN152" s="736"/>
    </row>
    <row r="154" spans="2:40" x14ac:dyDescent="0.15">
      <c r="B154" s="1035" t="s">
        <v>381</v>
      </c>
      <c r="C154" s="1035"/>
      <c r="D154" s="1035"/>
      <c r="E154" s="1035"/>
      <c r="F154" s="1035"/>
      <c r="G154" s="1035"/>
      <c r="H154" s="1035"/>
      <c r="I154" s="1035"/>
      <c r="J154" s="1035"/>
      <c r="K154" s="1035"/>
      <c r="L154" s="1035"/>
      <c r="M154" s="1035"/>
      <c r="N154" s="1035"/>
      <c r="O154" s="1035"/>
      <c r="P154" s="1035"/>
      <c r="Q154" s="1035"/>
      <c r="R154" s="1035"/>
      <c r="S154" s="1035"/>
      <c r="T154" s="1035"/>
      <c r="U154" s="1035"/>
      <c r="V154" s="1035"/>
      <c r="W154" s="1035"/>
      <c r="X154" s="1035"/>
      <c r="Y154" s="1035"/>
      <c r="Z154" s="1035"/>
      <c r="AA154" s="1035"/>
      <c r="AB154" s="1035"/>
      <c r="AC154" s="1035"/>
      <c r="AD154" s="1035"/>
      <c r="AE154" s="1035"/>
      <c r="AF154" s="1035"/>
      <c r="AG154" s="1035"/>
      <c r="AH154" s="1035"/>
      <c r="AI154" s="1035"/>
      <c r="AJ154" s="1035"/>
      <c r="AK154" s="1035"/>
      <c r="AL154" s="1035"/>
    </row>
  </sheetData>
  <mergeCells count="57">
    <mergeCell ref="B154:AL154"/>
    <mergeCell ref="B2:B6"/>
    <mergeCell ref="C2:C6"/>
    <mergeCell ref="D2:D6"/>
    <mergeCell ref="E2:F4"/>
    <mergeCell ref="G2:J4"/>
    <mergeCell ref="J5:J6"/>
    <mergeCell ref="E5:E6"/>
    <mergeCell ref="F5:F6"/>
    <mergeCell ref="G5:G6"/>
    <mergeCell ref="H5:H6"/>
    <mergeCell ref="I5:I6"/>
    <mergeCell ref="AC2:AH2"/>
    <mergeCell ref="AI2:AN2"/>
    <mergeCell ref="AI3:AN3"/>
    <mergeCell ref="AC3:AH3"/>
    <mergeCell ref="W3:AB3"/>
    <mergeCell ref="Q2:V2"/>
    <mergeCell ref="Q3:V3"/>
    <mergeCell ref="W2:AB2"/>
    <mergeCell ref="Q4:V4"/>
    <mergeCell ref="V5:V6"/>
    <mergeCell ref="U5:U6"/>
    <mergeCell ref="Q5:Q6"/>
    <mergeCell ref="R5:R6"/>
    <mergeCell ref="S5:S6"/>
    <mergeCell ref="T5:T6"/>
    <mergeCell ref="AL5:AL6"/>
    <mergeCell ref="W5:W6"/>
    <mergeCell ref="X5:X6"/>
    <mergeCell ref="Y5:Y6"/>
    <mergeCell ref="Z5:Z6"/>
    <mergeCell ref="AI4:AN4"/>
    <mergeCell ref="AN5:AN6"/>
    <mergeCell ref="W4:AB4"/>
    <mergeCell ref="AI5:AI6"/>
    <mergeCell ref="AJ5:AJ6"/>
    <mergeCell ref="AC4:AH4"/>
    <mergeCell ref="AC5:AC6"/>
    <mergeCell ref="AD5:AD6"/>
    <mergeCell ref="AE5:AE6"/>
    <mergeCell ref="AF5:AF6"/>
    <mergeCell ref="AA5:AA6"/>
    <mergeCell ref="AB5:AB6"/>
    <mergeCell ref="AM5:AM6"/>
    <mergeCell ref="AG5:AG6"/>
    <mergeCell ref="AH5:AH6"/>
    <mergeCell ref="AK5:AK6"/>
    <mergeCell ref="K2:P2"/>
    <mergeCell ref="K3:P3"/>
    <mergeCell ref="K4:P4"/>
    <mergeCell ref="K5:K6"/>
    <mergeCell ref="L5:L6"/>
    <mergeCell ref="M5:M6"/>
    <mergeCell ref="N5:N6"/>
    <mergeCell ref="O5:O6"/>
    <mergeCell ref="P5:P6"/>
  </mergeCells>
  <dataValidations count="18">
    <dataValidation allowBlank="1" showInputMessage="1" showErrorMessage="1" promptTitle="Testis screening sensitivity" prompt="Select 'other' below and input screening sensitivity here. _x000a_" sqref="C136" xr:uid="{0D2B2F4D-1DC3-4E46-B303-102701C2AB98}"/>
    <dataValidation allowBlank="1" showInputMessage="1" showErrorMessage="1" promptTitle="Lung screening sensitivity" prompt="Select 'other' below and input screening sensitivity here. _x000a_" sqref="C120" xr:uid="{9F72B3EC-222B-45F2-83AD-DA99AE389325}"/>
    <dataValidation allowBlank="1" showInputMessage="1" showErrorMessage="1" promptTitle="Kidney screening sensitivity" prompt="Select 'other' below and input screening sensitivity here. _x000a_" sqref="C88" xr:uid="{52B393F4-5154-402E-98EC-D5E3560B5303}"/>
    <dataValidation allowBlank="1" showInputMessage="1" showErrorMessage="1" promptTitle="Ovary screening sensitivity" prompt="Select 'other' below and input screening sensitivity here. _x000a_" sqref="C72" xr:uid="{63950332-5F2F-48D0-B5D8-0AE95A90D17E}"/>
    <dataValidation allowBlank="1" showInputMessage="1" showErrorMessage="1" promptTitle="Pancreas screening sensitivity" prompt="Select 'other' below and input screening sensitivity here. _x000a_" sqref="C56" xr:uid="{DB303915-2819-476A-B8FD-C02C139AECB8}"/>
    <dataValidation allowBlank="1" showInputMessage="1" showErrorMessage="1" promptTitle="Colorectal screening sensitivity" prompt="Select 'other' below and input screening sensitivity here. _x000a_" sqref="C40" xr:uid="{C6DBF2D0-C867-4D47-92E9-A8C1C7378C39}"/>
    <dataValidation allowBlank="1" showInputMessage="1" showErrorMessage="1" promptTitle="Prostate screening sensitivity" prompt="Select 'other' below and input screening sensitivity here. _x000a_" sqref="C23" xr:uid="{E8D14EB7-ECEB-4519-834C-89A731DD7871}"/>
    <dataValidation allowBlank="1" showInputMessage="1" showErrorMessage="1" promptTitle="CLL screening sensitivity" prompt="Select 'other' below and input screening sensitivity here._x000a_" sqref="C104" xr:uid="{02DFF2EC-0C0A-4329-8B9B-FB50BA753C01}"/>
    <dataValidation type="list" allowBlank="1" showInputMessage="1" showErrorMessage="1" sqref="C137" xr:uid="{1D1A0250-9363-4B4B-845C-4308449442A9}">
      <formula1>Testis_sensitivity</formula1>
    </dataValidation>
    <dataValidation type="list" allowBlank="1" showInputMessage="1" showErrorMessage="1" sqref="C121" xr:uid="{9D57BC5B-DA5B-443F-A496-4E9F312C6C5D}">
      <formula1>Lung_sensitivity</formula1>
    </dataValidation>
    <dataValidation type="list" allowBlank="1" showInputMessage="1" showErrorMessage="1" sqref="C105" xr:uid="{1FB56F7C-7726-48A1-9137-8FE58A56FF6D}">
      <formula1>CLL_sensitivity</formula1>
    </dataValidation>
    <dataValidation type="list" allowBlank="1" showInputMessage="1" showErrorMessage="1" sqref="C89" xr:uid="{388E8A16-15DB-4D2F-A07E-D8580D413346}">
      <formula1>Kidney_sensitivity</formula1>
    </dataValidation>
    <dataValidation type="list" allowBlank="1" showInputMessage="1" showErrorMessage="1" sqref="C73" xr:uid="{42138034-0223-4F72-B4B5-BDA2704BB909}">
      <formula1>Ovary_sensitivity</formula1>
    </dataValidation>
    <dataValidation type="list" allowBlank="1" showInputMessage="1" showErrorMessage="1" sqref="C57" xr:uid="{1B1EBF6C-D0A0-45CE-A535-0595069E5E69}">
      <formula1>Pancreas_Sensitivity</formula1>
    </dataValidation>
    <dataValidation type="list" allowBlank="1" showInputMessage="1" showErrorMessage="1" sqref="C41" xr:uid="{A5CFFA21-0F72-4E3E-AC4B-86985267677F}">
      <formula1>Colorectal_Sensitivity</formula1>
    </dataValidation>
    <dataValidation type="list" allowBlank="1" showInputMessage="1" showErrorMessage="1" sqref="C24" xr:uid="{9D3121D6-F4D0-424C-8FCC-F166BA36C228}">
      <formula1>Prostate_sensitivity</formula1>
    </dataValidation>
    <dataValidation allowBlank="1" showInputMessage="1" showErrorMessage="1" promptTitle="Breast screening sensitivity" prompt="Select 'other' below and input screening sensitivity here. _x000a_" sqref="C7" xr:uid="{6FE2F9E9-6FE7-4207-8837-FEBD5255BBA9}"/>
    <dataValidation type="list" allowBlank="1" showInputMessage="1" showErrorMessage="1" sqref="C8" xr:uid="{B5C1530D-FF9F-4B12-9FFC-C0BA5F95E0D7}">
      <formula1>Breast_sensitivity</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C93C6-A0D8-2244-856D-B19B5A59128E}">
  <dimension ref="B1:AN154"/>
  <sheetViews>
    <sheetView topLeftCell="A16" zoomScale="90" zoomScaleNormal="90" workbookViewId="0">
      <selection activeCell="R8" sqref="R8"/>
    </sheetView>
  </sheetViews>
  <sheetFormatPr baseColWidth="10" defaultColWidth="11.1640625" defaultRowHeight="13" x14ac:dyDescent="0.15"/>
  <cols>
    <col min="1" max="1" width="3.83203125" style="546" customWidth="1"/>
    <col min="2" max="2" width="9.83203125" style="546" customWidth="1"/>
    <col min="3" max="3" width="21.1640625" style="740" customWidth="1"/>
    <col min="4" max="4" width="12.6640625" style="546" customWidth="1"/>
    <col min="5" max="6" width="8.6640625" style="546" customWidth="1"/>
    <col min="7" max="7" width="12.83203125" style="706" customWidth="1"/>
    <col min="8" max="9" width="12.83203125" style="546" hidden="1" customWidth="1"/>
    <col min="10" max="10" width="12.83203125" style="546" customWidth="1"/>
    <col min="11" max="11" width="9" style="546" customWidth="1"/>
    <col min="12" max="16" width="8.33203125" style="546" customWidth="1"/>
    <col min="17" max="22" width="8.33203125" style="706" customWidth="1"/>
    <col min="23" max="40" width="8.33203125" style="546" customWidth="1"/>
    <col min="41" max="16384" width="11.1640625" style="546"/>
  </cols>
  <sheetData>
    <row r="1" spans="2:40" ht="14" thickBot="1" x14ac:dyDescent="0.2">
      <c r="C1" s="738"/>
    </row>
    <row r="2" spans="2:40" ht="13" customHeight="1" x14ac:dyDescent="0.15">
      <c r="B2" s="1161" t="s">
        <v>181</v>
      </c>
      <c r="C2" s="1116" t="s">
        <v>207</v>
      </c>
      <c r="D2" s="1136" t="s">
        <v>182</v>
      </c>
      <c r="E2" s="1164" t="s">
        <v>183</v>
      </c>
      <c r="F2" s="1164"/>
      <c r="G2" s="1166" t="s">
        <v>184</v>
      </c>
      <c r="H2" s="1167"/>
      <c r="I2" s="1167"/>
      <c r="J2" s="1168"/>
      <c r="K2" s="1087" t="s">
        <v>208</v>
      </c>
      <c r="L2" s="1088"/>
      <c r="M2" s="1088"/>
      <c r="N2" s="1088"/>
      <c r="O2" s="1088"/>
      <c r="P2" s="1089"/>
      <c r="Q2" s="1104" t="s">
        <v>208</v>
      </c>
      <c r="R2" s="1105"/>
      <c r="S2" s="1105"/>
      <c r="T2" s="1105"/>
      <c r="U2" s="1105"/>
      <c r="V2" s="1105"/>
      <c r="W2" s="1087" t="s">
        <v>208</v>
      </c>
      <c r="X2" s="1088"/>
      <c r="Y2" s="1088"/>
      <c r="Z2" s="1088"/>
      <c r="AA2" s="1088"/>
      <c r="AB2" s="1088"/>
      <c r="AC2" s="1104" t="s">
        <v>208</v>
      </c>
      <c r="AD2" s="1105"/>
      <c r="AE2" s="1105"/>
      <c r="AF2" s="1105"/>
      <c r="AG2" s="1105"/>
      <c r="AH2" s="1105"/>
      <c r="AI2" s="1087" t="s">
        <v>208</v>
      </c>
      <c r="AJ2" s="1088"/>
      <c r="AK2" s="1088"/>
      <c r="AL2" s="1088"/>
      <c r="AM2" s="1088"/>
      <c r="AN2" s="1089"/>
    </row>
    <row r="3" spans="2:40" ht="13" customHeight="1" x14ac:dyDescent="0.15">
      <c r="B3" s="1162"/>
      <c r="C3" s="1117"/>
      <c r="D3" s="1137"/>
      <c r="E3" s="1165"/>
      <c r="F3" s="1165"/>
      <c r="G3" s="1169"/>
      <c r="H3" s="1170"/>
      <c r="I3" s="1170"/>
      <c r="J3" s="1171"/>
      <c r="K3" s="1090">
        <v>0.5</v>
      </c>
      <c r="L3" s="1147"/>
      <c r="M3" s="1147"/>
      <c r="N3" s="1147"/>
      <c r="O3" s="1147"/>
      <c r="P3" s="1148"/>
      <c r="Q3" s="1159">
        <v>0.2</v>
      </c>
      <c r="R3" s="1160"/>
      <c r="S3" s="1160"/>
      <c r="T3" s="1160"/>
      <c r="U3" s="1160"/>
      <c r="V3" s="1160"/>
      <c r="W3" s="1157">
        <v>0.1</v>
      </c>
      <c r="X3" s="1158"/>
      <c r="Y3" s="1158"/>
      <c r="Z3" s="1158"/>
      <c r="AA3" s="1158"/>
      <c r="AB3" s="1158"/>
      <c r="AC3" s="1159">
        <v>0.05</v>
      </c>
      <c r="AD3" s="1160"/>
      <c r="AE3" s="1160"/>
      <c r="AF3" s="1160"/>
      <c r="AG3" s="1160"/>
      <c r="AH3" s="1160"/>
      <c r="AI3" s="1157">
        <v>0.01</v>
      </c>
      <c r="AJ3" s="1158"/>
      <c r="AK3" s="1158"/>
      <c r="AL3" s="1158"/>
      <c r="AM3" s="1158"/>
      <c r="AN3" s="1177"/>
    </row>
    <row r="4" spans="2:40" ht="13" customHeight="1" x14ac:dyDescent="0.15">
      <c r="B4" s="1162"/>
      <c r="C4" s="1117"/>
      <c r="D4" s="1137"/>
      <c r="E4" s="1165"/>
      <c r="F4" s="1165"/>
      <c r="G4" s="1169"/>
      <c r="H4" s="1170"/>
      <c r="I4" s="1170"/>
      <c r="J4" s="1171"/>
      <c r="K4" s="1093" t="s">
        <v>185</v>
      </c>
      <c r="L4" s="1094"/>
      <c r="M4" s="1094"/>
      <c r="N4" s="1094"/>
      <c r="O4" s="1094"/>
      <c r="P4" s="1095"/>
      <c r="Q4" s="1178" t="s">
        <v>185</v>
      </c>
      <c r="R4" s="1179"/>
      <c r="S4" s="1179"/>
      <c r="T4" s="1179"/>
      <c r="U4" s="1179"/>
      <c r="V4" s="1179"/>
      <c r="W4" s="1180" t="s">
        <v>185</v>
      </c>
      <c r="X4" s="1181"/>
      <c r="Y4" s="1181"/>
      <c r="Z4" s="1181"/>
      <c r="AA4" s="1181"/>
      <c r="AB4" s="1181"/>
      <c r="AC4" s="1178" t="s">
        <v>185</v>
      </c>
      <c r="AD4" s="1179"/>
      <c r="AE4" s="1179"/>
      <c r="AF4" s="1179"/>
      <c r="AG4" s="1179"/>
      <c r="AH4" s="1179"/>
      <c r="AI4" s="1182" t="s">
        <v>185</v>
      </c>
      <c r="AJ4" s="1183"/>
      <c r="AK4" s="1183"/>
      <c r="AL4" s="1183"/>
      <c r="AM4" s="1183"/>
      <c r="AN4" s="1184"/>
    </row>
    <row r="5" spans="2:40" ht="45" customHeight="1" x14ac:dyDescent="0.15">
      <c r="B5" s="1162"/>
      <c r="C5" s="1117"/>
      <c r="D5" s="1137"/>
      <c r="E5" s="1173" t="s">
        <v>40</v>
      </c>
      <c r="F5" s="1173" t="s">
        <v>41</v>
      </c>
      <c r="G5" s="1175" t="s">
        <v>209</v>
      </c>
      <c r="H5" s="1176" t="s">
        <v>187</v>
      </c>
      <c r="I5" s="1176" t="s">
        <v>188</v>
      </c>
      <c r="J5" s="1172" t="s">
        <v>291</v>
      </c>
      <c r="K5" s="1096" t="s">
        <v>354</v>
      </c>
      <c r="L5" s="1098" t="s">
        <v>346</v>
      </c>
      <c r="M5" s="1100" t="s">
        <v>355</v>
      </c>
      <c r="N5" s="1100" t="s">
        <v>356</v>
      </c>
      <c r="O5" s="1098" t="s">
        <v>357</v>
      </c>
      <c r="P5" s="1102" t="s">
        <v>212</v>
      </c>
      <c r="Q5" s="1112" t="s">
        <v>354</v>
      </c>
      <c r="R5" s="1114" t="s">
        <v>346</v>
      </c>
      <c r="S5" s="1145" t="s">
        <v>355</v>
      </c>
      <c r="T5" s="1145" t="s">
        <v>356</v>
      </c>
      <c r="U5" s="1114" t="s">
        <v>357</v>
      </c>
      <c r="V5" s="1110" t="s">
        <v>212</v>
      </c>
      <c r="W5" s="1096" t="s">
        <v>354</v>
      </c>
      <c r="X5" s="1098" t="s">
        <v>346</v>
      </c>
      <c r="Y5" s="1100" t="s">
        <v>355</v>
      </c>
      <c r="Z5" s="1100" t="s">
        <v>356</v>
      </c>
      <c r="AA5" s="1098" t="s">
        <v>357</v>
      </c>
      <c r="AB5" s="1102" t="s">
        <v>212</v>
      </c>
      <c r="AC5" s="1112" t="s">
        <v>354</v>
      </c>
      <c r="AD5" s="1114" t="s">
        <v>346</v>
      </c>
      <c r="AE5" s="1145" t="s">
        <v>355</v>
      </c>
      <c r="AF5" s="1145" t="s">
        <v>356</v>
      </c>
      <c r="AG5" s="1114" t="s">
        <v>357</v>
      </c>
      <c r="AH5" s="1114" t="s">
        <v>212</v>
      </c>
      <c r="AI5" s="1096" t="s">
        <v>354</v>
      </c>
      <c r="AJ5" s="1098" t="s">
        <v>346</v>
      </c>
      <c r="AK5" s="1100" t="s">
        <v>355</v>
      </c>
      <c r="AL5" s="1100" t="s">
        <v>356</v>
      </c>
      <c r="AM5" s="1098" t="s">
        <v>357</v>
      </c>
      <c r="AN5" s="1102" t="s">
        <v>212</v>
      </c>
    </row>
    <row r="6" spans="2:40" ht="45" customHeight="1" thickBot="1" x14ac:dyDescent="0.2">
      <c r="B6" s="1163"/>
      <c r="C6" s="1118"/>
      <c r="D6" s="1138"/>
      <c r="E6" s="1174"/>
      <c r="F6" s="1174"/>
      <c r="G6" s="1141"/>
      <c r="H6" s="1134"/>
      <c r="I6" s="1134"/>
      <c r="J6" s="1143"/>
      <c r="K6" s="1097"/>
      <c r="L6" s="1099"/>
      <c r="M6" s="1101"/>
      <c r="N6" s="1101"/>
      <c r="O6" s="1099"/>
      <c r="P6" s="1103"/>
      <c r="Q6" s="1113"/>
      <c r="R6" s="1115"/>
      <c r="S6" s="1146"/>
      <c r="T6" s="1146"/>
      <c r="U6" s="1115"/>
      <c r="V6" s="1111"/>
      <c r="W6" s="1097"/>
      <c r="X6" s="1099"/>
      <c r="Y6" s="1101"/>
      <c r="Z6" s="1101"/>
      <c r="AA6" s="1099"/>
      <c r="AB6" s="1103"/>
      <c r="AC6" s="1113"/>
      <c r="AD6" s="1115"/>
      <c r="AE6" s="1146"/>
      <c r="AF6" s="1146"/>
      <c r="AG6" s="1115"/>
      <c r="AH6" s="1115"/>
      <c r="AI6" s="1097"/>
      <c r="AJ6" s="1099"/>
      <c r="AK6" s="1101"/>
      <c r="AL6" s="1101"/>
      <c r="AM6" s="1099"/>
      <c r="AN6" s="1103"/>
    </row>
    <row r="7" spans="2:40" ht="21" customHeight="1" thickBot="1" x14ac:dyDescent="0.2">
      <c r="B7" s="686" t="s">
        <v>8</v>
      </c>
      <c r="C7" s="687"/>
      <c r="D7" s="688"/>
      <c r="E7" s="689"/>
      <c r="F7" s="690"/>
      <c r="G7" s="691"/>
      <c r="H7" s="692"/>
      <c r="I7" s="692"/>
      <c r="J7" s="693"/>
      <c r="K7" s="694"/>
      <c r="L7" s="694"/>
      <c r="M7" s="694"/>
      <c r="N7" s="694"/>
      <c r="O7" s="694"/>
      <c r="P7" s="694"/>
      <c r="Q7" s="695"/>
      <c r="R7" s="696"/>
      <c r="S7" s="696"/>
      <c r="T7" s="696"/>
      <c r="U7" s="696"/>
      <c r="V7" s="697"/>
      <c r="W7" s="695"/>
      <c r="X7" s="696"/>
      <c r="Y7" s="696"/>
      <c r="Z7" s="696"/>
      <c r="AA7" s="696"/>
      <c r="AB7" s="697"/>
      <c r="AC7" s="695"/>
      <c r="AD7" s="696"/>
      <c r="AE7" s="696"/>
      <c r="AF7" s="698"/>
      <c r="AG7" s="696"/>
      <c r="AH7" s="696"/>
      <c r="AI7" s="695"/>
      <c r="AJ7" s="696"/>
      <c r="AK7" s="696"/>
      <c r="AL7" s="696"/>
      <c r="AM7" s="696"/>
      <c r="AN7" s="699"/>
    </row>
    <row r="8" spans="2:40" x14ac:dyDescent="0.15">
      <c r="B8" s="700" t="s">
        <v>8</v>
      </c>
      <c r="C8" s="720" t="s">
        <v>162</v>
      </c>
      <c r="D8" s="593" t="s">
        <v>192</v>
      </c>
      <c r="E8" s="701">
        <f>VLOOKUP($B8&amp;"_"&amp;$D8,'App5 - CRUK Inci Rates'!C:H,6,FALSE)</f>
        <v>0</v>
      </c>
      <c r="F8" s="702">
        <f>VLOOKUP($B8&amp;"_"&amp;$D8,'App5 - CRUK Inci Rates'!C:H,3,FALSE)</f>
        <v>124.6</v>
      </c>
      <c r="G8" s="703">
        <f>VLOOKUP($B8&amp;"_"&amp;$D8,'App5 - CRUK Inci Rates'!C:J,8,FALSE)</f>
        <v>2054223.3333333333</v>
      </c>
      <c r="H8" s="704">
        <f>VLOOKUP($B8&amp;"_"&amp;$D8,'App5 - CRUK Inci Rates'!C:J,7,FALSE)</f>
        <v>0</v>
      </c>
      <c r="I8" s="704">
        <f>VLOOKUP($B8&amp;"_"&amp;$D8,'App5 - CRUK Inci Rates'!C:J,4,FALSE)</f>
        <v>2054223.3333333333</v>
      </c>
      <c r="J8" s="705">
        <f>VLOOKUP($B8&amp;"_"&amp;$D8,'App5 - CRUK Inci Rates'!C:K,9,FALSE)</f>
        <v>2559</v>
      </c>
      <c r="K8" s="706">
        <f>$G8*$K$3</f>
        <v>1027111.6666666666</v>
      </c>
      <c r="L8" s="706">
        <f>VLOOKUP("*"&amp;$B8&amp;"*",'S4 - Summ PRS Characteristics'!$C$21:$Q$28,11,FALSE)*$J8</f>
        <v>2003.8766562718845</v>
      </c>
      <c r="M8" s="706">
        <f>$J8-$L8</f>
        <v>555.12334372811551</v>
      </c>
      <c r="N8" s="706">
        <f>IF($C8="other",(1-$C$7)*L8,(1-(VLOOKUP($C8,'S3 - Screening Tool Metrics'!$C$3:$G$17,5,FALSE)/100))*L8)</f>
        <v>601.16299688156539</v>
      </c>
      <c r="O8" s="706">
        <f>IF($C8="other",$C$7*L8,(VLOOKUP($C8,'S3 - Screening Tool Metrics'!$C$3:$G$17,5,FALSE)/100)*L8)</f>
        <v>1402.713659390319</v>
      </c>
      <c r="P8" s="706">
        <f>$O8/$J8*100</f>
        <v>54.814914395870218</v>
      </c>
      <c r="Q8" s="707">
        <f t="shared" ref="Q8:Q21" si="0">$G8*Q$3</f>
        <v>410844.66666666669</v>
      </c>
      <c r="R8" s="706">
        <f>VLOOKUP("*"&amp;$B8&amp;"*",'S4 - Summ PRS Characteristics'!$C$21:$Q$28,12,FALSE)*$J8</f>
        <v>1219.2848382587788</v>
      </c>
      <c r="S8" s="706">
        <f>$J8-R8</f>
        <v>1339.7151617412212</v>
      </c>
      <c r="T8" s="706">
        <f>IF($C8="other",(1-$C7)*R8,(1-(VLOOKUP($C8,'S3 - Screening Tool Metrics'!$C$3:$G$17,5,FALSE)/100))*R8)</f>
        <v>365.78545147763367</v>
      </c>
      <c r="U8" s="706">
        <f>IF($C8="other",$C7*R8,(VLOOKUP($C8,'S3 - Screening Tool Metrics'!$C$3:$G$17,5,FALSE)/100)*R8)</f>
        <v>853.49938678114506</v>
      </c>
      <c r="V8" s="708">
        <f t="shared" ref="V8:V21" si="1">U8/J8*100</f>
        <v>33.352848252487107</v>
      </c>
      <c r="W8" s="707">
        <f t="shared" ref="W8:W21" si="2">$G8*W$3</f>
        <v>205422.33333333334</v>
      </c>
      <c r="X8" s="706">
        <f>VLOOKUP("*"&amp;$B8&amp;"*",'S4 - Summ PRS Characteristics'!$C$21:$Q$28,13,FALSE)*$J8</f>
        <v>790.49614445028089</v>
      </c>
      <c r="Y8" s="706">
        <f>$J8-X8</f>
        <v>1768.503855549719</v>
      </c>
      <c r="Z8" s="706">
        <f>IF($C8="other",(1-$C7)*X8,(1-(VLOOKUP($C8,'S3 - Screening Tool Metrics'!$C$3:$G$17,5,FALSE)/100))*X8)</f>
        <v>237.14884333508431</v>
      </c>
      <c r="AA8" s="706">
        <f>IF($C8="other",$C7*X8,(VLOOKUP($C8,'S3 - Screening Tool Metrics'!$C$3:$G$17,5,FALSE)/100)*X8)</f>
        <v>553.34730111519661</v>
      </c>
      <c r="AB8" s="708">
        <f t="shared" ref="AB8:AB21" si="3">$AA8/$J8*100</f>
        <v>21.623575659054186</v>
      </c>
      <c r="AC8" s="707">
        <f t="shared" ref="AC8:AC21" si="4">$G8*AC$3</f>
        <v>102711.16666666667</v>
      </c>
      <c r="AD8" s="706">
        <f>VLOOKUP("*"&amp;$B8&amp;"*",'S4 - Summ PRS Characteristics'!$C$21:$Q$28,14,FALSE)*$J8</f>
        <v>497.15006085416303</v>
      </c>
      <c r="AE8" s="706">
        <f>$J8-AD8</f>
        <v>2061.8499391458372</v>
      </c>
      <c r="AF8" s="706">
        <f>IF($C8="other",(1-$C7)*AD8,(1-(VLOOKUP($C8,'S3 - Screening Tool Metrics'!$C$3:$G$17,5,FALSE)/100))*AD8)</f>
        <v>149.14501825624893</v>
      </c>
      <c r="AG8" s="706">
        <f>IF($C8="other",$C7*AD8,(VLOOKUP($C8,'S3 - Screening Tool Metrics'!$C$3:$G$17,5,FALSE)/100)*AD8)</f>
        <v>348.0050425979141</v>
      </c>
      <c r="AH8" s="706">
        <f t="shared" ref="AH8:AH21" si="5">$AG8/$J8*100</f>
        <v>13.599259187100982</v>
      </c>
      <c r="AI8" s="707">
        <f t="shared" ref="AI8:AI21" si="6">$G8*AI$3</f>
        <v>20542.233333333334</v>
      </c>
      <c r="AJ8" s="706">
        <f>VLOOKUP("*"&amp;$B8&amp;"*",'S4 - Summ PRS Characteristics'!$C$21:$Q$28,15,FALSE)*$J8</f>
        <v>156.93123229377886</v>
      </c>
      <c r="AK8" s="706">
        <f>$J8-AJ8</f>
        <v>2402.068767706221</v>
      </c>
      <c r="AL8" s="706">
        <f>IF($C8="other",(1-$C7)*AJ8,(1-(VLOOKUP($C8,'S3 - Screening Tool Metrics'!$C$3:$G$17,5,FALSE)/100))*AJ8)</f>
        <v>47.079369688133667</v>
      </c>
      <c r="AM8" s="706">
        <f>IF($C8="other",$C7*AJ8,(VLOOKUP($C8,'S3 - Screening Tool Metrics'!$C$3:$G$17,5,FALSE)/100)*AJ8)</f>
        <v>109.8518626056452</v>
      </c>
      <c r="AN8" s="709">
        <f t="shared" ref="AN8:AN21" si="7">$AM8/$J8*100</f>
        <v>4.2927652444566311</v>
      </c>
    </row>
    <row r="9" spans="2:40" x14ac:dyDescent="0.15">
      <c r="B9" s="700" t="s">
        <v>8</v>
      </c>
      <c r="C9" s="721" t="str">
        <f>$C8</f>
        <v>Digital mammography</v>
      </c>
      <c r="D9" s="552" t="s">
        <v>193</v>
      </c>
      <c r="E9" s="710">
        <f>VLOOKUP($B9&amp;"_"&amp;$D9,'App5 - CRUK Inci Rates'!C:H,6,FALSE)</f>
        <v>0</v>
      </c>
      <c r="F9" s="711">
        <f>VLOOKUP($B9&amp;"_"&amp;$D9,'App5 - CRUK Inci Rates'!C:H,3,FALSE)</f>
        <v>214.8</v>
      </c>
      <c r="G9" s="712">
        <f>VLOOKUP($B9&amp;"_"&amp;$D9,'App5 - CRUK Inci Rates'!C:J,8,FALSE)</f>
        <v>2315479.3333333335</v>
      </c>
      <c r="H9" s="713">
        <f>VLOOKUP($B9&amp;"_"&amp;$D9,'App5 - CRUK Inci Rates'!C:J,7,FALSE)</f>
        <v>0</v>
      </c>
      <c r="I9" s="713">
        <f>VLOOKUP($B9&amp;"_"&amp;$D9,'App5 - CRUK Inci Rates'!C:J,4,FALSE)</f>
        <v>2315479.3333333335</v>
      </c>
      <c r="J9" s="709">
        <f>VLOOKUP($B9&amp;"_"&amp;$D9,'App5 - CRUK Inci Rates'!C:K,9,FALSE)</f>
        <v>4974</v>
      </c>
      <c r="K9" s="706">
        <f t="shared" ref="K9:K73" si="8">$G9*$K$3</f>
        <v>1157739.6666666667</v>
      </c>
      <c r="L9" s="706">
        <f>VLOOKUP("*"&amp;$B9&amp;"*",'S4 - Summ PRS Characteristics'!$C$21:$Q$28,11,FALSE)*$J9</f>
        <v>3894.9912029294073</v>
      </c>
      <c r="M9" s="706">
        <f t="shared" ref="M9:M73" si="9">$J9-$L9</f>
        <v>1079.0087970705927</v>
      </c>
      <c r="N9" s="706">
        <f>IF($C9="other",(1-$C$7)*L9,(1-(VLOOKUP($C9,'S3 - Screening Tool Metrics'!$C$3:$G$17,5,FALSE)/100))*L9)</f>
        <v>1168.4973608788223</v>
      </c>
      <c r="O9" s="706">
        <f>IF($C9="other",$C$7*L9,(VLOOKUP($C9,'S3 - Screening Tool Metrics'!$C$3:$G$17,5,FALSE)/100)*L9)</f>
        <v>2726.493842050585</v>
      </c>
      <c r="P9" s="706">
        <f t="shared" ref="P9:P73" si="10">$O9/$J9*100</f>
        <v>54.814914395870233</v>
      </c>
      <c r="Q9" s="707">
        <f t="shared" si="0"/>
        <v>463095.8666666667</v>
      </c>
      <c r="R9" s="706">
        <f>VLOOKUP("*"&amp;$B9&amp;"*",'S4 - Summ PRS Characteristics'!$C$21:$Q$28,12,FALSE)*$J9</f>
        <v>2369.9581029695842</v>
      </c>
      <c r="S9" s="706">
        <f t="shared" ref="S9:S21" si="11">$J9-R9</f>
        <v>2604.0418970304158</v>
      </c>
      <c r="T9" s="706">
        <f>IF($C9="other",(1-$C7)*R9,(1-(VLOOKUP($C9,'S3 - Screening Tool Metrics'!$C$3:$G$17,5,FALSE)/100))*R9)</f>
        <v>710.98743089087532</v>
      </c>
      <c r="U9" s="706">
        <f>IF($C9="other",$C7*R9,(VLOOKUP($C9,'S3 - Screening Tool Metrics'!$C$3:$G$17,5,FALSE)/100)*R9)</f>
        <v>1658.9706720787087</v>
      </c>
      <c r="V9" s="708">
        <f t="shared" si="1"/>
        <v>33.352848252487107</v>
      </c>
      <c r="W9" s="707">
        <f t="shared" si="2"/>
        <v>231547.93333333335</v>
      </c>
      <c r="X9" s="706">
        <f>VLOOKUP("*"&amp;$B9&amp;"*",'S4 - Summ PRS Characteristics'!$C$21:$Q$28,13,FALSE)*$J9</f>
        <v>1536.5095046876504</v>
      </c>
      <c r="Y9" s="706">
        <f t="shared" ref="Y9:Y21" si="12">$J9-X9</f>
        <v>3437.4904953123496</v>
      </c>
      <c r="Z9" s="706">
        <f>IF($C9="other",(1-$C7)*X9,(1-(VLOOKUP($C9,'S3 - Screening Tool Metrics'!$C$3:$G$17,5,FALSE)/100))*X9)</f>
        <v>460.95285140629517</v>
      </c>
      <c r="AA9" s="706">
        <f>IF($C9="other",$C7*X9,(VLOOKUP($C9,'S3 - Screening Tool Metrics'!$C$3:$G$17,5,FALSE)/100)*X9)</f>
        <v>1075.5566532813552</v>
      </c>
      <c r="AB9" s="708">
        <f t="shared" si="3"/>
        <v>21.623575659054186</v>
      </c>
      <c r="AC9" s="707">
        <f t="shared" si="4"/>
        <v>115773.96666666667</v>
      </c>
      <c r="AD9" s="706">
        <f>VLOOKUP("*"&amp;$B9&amp;"*",'S4 - Summ PRS Characteristics'!$C$21:$Q$28,14,FALSE)*$J9</f>
        <v>966.32450280914691</v>
      </c>
      <c r="AE9" s="706">
        <f>$J9-AD9</f>
        <v>4007.6754971908531</v>
      </c>
      <c r="AF9" s="706">
        <f>IF($C9="other",(1-$C7)*AD9,(1-(VLOOKUP($C9,'S3 - Screening Tool Metrics'!$C$3:$G$17,5,FALSE)/100))*AD9)</f>
        <v>289.89735084274412</v>
      </c>
      <c r="AG9" s="706">
        <f>IF($C9="other",$C7*AD9,(VLOOKUP($C9,'S3 - Screening Tool Metrics'!$C$3:$G$17,5,FALSE)/100)*AD9)</f>
        <v>676.42715196640279</v>
      </c>
      <c r="AH9" s="706">
        <f t="shared" si="5"/>
        <v>13.599259187100982</v>
      </c>
      <c r="AI9" s="707">
        <f t="shared" si="6"/>
        <v>23154.793333333335</v>
      </c>
      <c r="AJ9" s="706">
        <f>VLOOKUP("*"&amp;$B9&amp;"*",'S4 - Summ PRS Characteristics'!$C$21:$Q$28,15,FALSE)*$J9</f>
        <v>305.03163322753267</v>
      </c>
      <c r="AK9" s="706">
        <f t="shared" ref="AK9:AK21" si="13">$J9-AJ9</f>
        <v>4668.9683667724676</v>
      </c>
      <c r="AL9" s="706">
        <f>IF($C9="other",(1-$C7)*AJ9,(1-(VLOOKUP($C9,'S3 - Screening Tool Metrics'!$C$3:$G$17,5,FALSE)/100))*AJ9)</f>
        <v>91.509489968259814</v>
      </c>
      <c r="AM9" s="706">
        <f>IF($C9="other",$C7*AJ9,(VLOOKUP($C9,'S3 - Screening Tool Metrics'!$C$3:$G$17,5,FALSE)/100)*AJ9)</f>
        <v>213.52214325927287</v>
      </c>
      <c r="AN9" s="709">
        <f t="shared" si="7"/>
        <v>4.292765244456632</v>
      </c>
    </row>
    <row r="10" spans="2:40" x14ac:dyDescent="0.15">
      <c r="B10" s="700" t="s">
        <v>8</v>
      </c>
      <c r="C10" s="721" t="str">
        <f>$C8</f>
        <v>Digital mammography</v>
      </c>
      <c r="D10" s="552" t="s">
        <v>194</v>
      </c>
      <c r="E10" s="710">
        <f>VLOOKUP($B10&amp;"_"&amp;$D10,'App5 - CRUK Inci Rates'!C:H,6,FALSE)</f>
        <v>0</v>
      </c>
      <c r="F10" s="711">
        <f>VLOOKUP($B10&amp;"_"&amp;$D10,'App5 - CRUK Inci Rates'!C:H,3,FALSE)</f>
        <v>279.8</v>
      </c>
      <c r="G10" s="712">
        <f>VLOOKUP($B10&amp;"_"&amp;$D10,'App5 - CRUK Inci Rates'!C:J,8,FALSE)</f>
        <v>2364638</v>
      </c>
      <c r="H10" s="713">
        <f>VLOOKUP($B10&amp;"_"&amp;$D10,'App5 - CRUK Inci Rates'!C:J,7,FALSE)</f>
        <v>0</v>
      </c>
      <c r="I10" s="713">
        <f>VLOOKUP($B10&amp;"_"&amp;$D10,'App5 - CRUK Inci Rates'!C:J,4,FALSE)</f>
        <v>2364638</v>
      </c>
      <c r="J10" s="709">
        <f>VLOOKUP($B10&amp;"_"&amp;$D10,'App5 - CRUK Inci Rates'!C:K,9,FALSE)</f>
        <v>6616</v>
      </c>
      <c r="K10" s="706">
        <f t="shared" si="8"/>
        <v>1182319</v>
      </c>
      <c r="L10" s="706">
        <f>VLOOKUP("*"&amp;$B10&amp;"*",'S4 - Summ PRS Characteristics'!$C$21:$Q$28,11,FALSE)*$J10</f>
        <v>5180.7924806153915</v>
      </c>
      <c r="M10" s="706">
        <f t="shared" si="9"/>
        <v>1435.2075193846085</v>
      </c>
      <c r="N10" s="706">
        <f>IF($C10="other",(1-$C$7)*L10,(1-(VLOOKUP($C10,'S3 - Screening Tool Metrics'!$C$3:$G$17,5,FALSE)/100))*L10)</f>
        <v>1554.2377441846177</v>
      </c>
      <c r="O10" s="706">
        <f>IF($C10="other",$C$7*L10,(VLOOKUP($C10,'S3 - Screening Tool Metrics'!$C$3:$G$17,5,FALSE)/100)*L10)</f>
        <v>3626.5547364307736</v>
      </c>
      <c r="P10" s="706">
        <f t="shared" si="10"/>
        <v>54.814914395870218</v>
      </c>
      <c r="Q10" s="707">
        <f t="shared" si="0"/>
        <v>472927.60000000003</v>
      </c>
      <c r="R10" s="706">
        <f>VLOOKUP("*"&amp;$B10&amp;"*",'S4 - Summ PRS Characteristics'!$C$21:$Q$28,12,FALSE)*$J10</f>
        <v>3152.3206291207821</v>
      </c>
      <c r="S10" s="706">
        <f t="shared" si="11"/>
        <v>3463.6793708792179</v>
      </c>
      <c r="T10" s="706">
        <f>IF($C10="other",(1-$C7)*R10,(1-(VLOOKUP($C10,'S3 - Screening Tool Metrics'!$C$3:$G$17,5,FALSE)/100))*R10)</f>
        <v>945.69618873623472</v>
      </c>
      <c r="U10" s="706">
        <f>IF($C10="other",$C7*R10,(VLOOKUP($C10,'S3 - Screening Tool Metrics'!$C$3:$G$17,5,FALSE)/100)*R10)</f>
        <v>2206.6244403845471</v>
      </c>
      <c r="V10" s="708">
        <f t="shared" si="1"/>
        <v>33.352848252487114</v>
      </c>
      <c r="W10" s="707">
        <f t="shared" si="2"/>
        <v>236463.80000000002</v>
      </c>
      <c r="X10" s="706">
        <f>VLOOKUP("*"&amp;$B10&amp;"*",'S4 - Summ PRS Characteristics'!$C$21:$Q$28,13,FALSE)*$J10</f>
        <v>2043.7368080043213</v>
      </c>
      <c r="Y10" s="706">
        <f t="shared" si="12"/>
        <v>4572.2631919956784</v>
      </c>
      <c r="Z10" s="706">
        <f>IF($C10="other",(1-$C7)*X10,(1-(VLOOKUP($C10,'S3 - Screening Tool Metrics'!$C$3:$G$17,5,FALSE)/100))*X10)</f>
        <v>613.12104240129645</v>
      </c>
      <c r="AA10" s="706">
        <f>IF($C10="other",$C7*X10,(VLOOKUP($C10,'S3 - Screening Tool Metrics'!$C$3:$G$17,5,FALSE)/100)*X10)</f>
        <v>1430.6157656030248</v>
      </c>
      <c r="AB10" s="708">
        <f t="shared" si="3"/>
        <v>21.623575659054183</v>
      </c>
      <c r="AC10" s="707">
        <f t="shared" si="4"/>
        <v>118231.90000000001</v>
      </c>
      <c r="AD10" s="706">
        <f>VLOOKUP("*"&amp;$B10&amp;"*",'S4 - Summ PRS Characteristics'!$C$21:$Q$28,14,FALSE)*$J10</f>
        <v>1285.3242683122871</v>
      </c>
      <c r="AE10" s="706">
        <f t="shared" ref="AE10:AE21" si="14">$J10-AD10</f>
        <v>5330.6757316877129</v>
      </c>
      <c r="AF10" s="706">
        <f>IF($C10="other",(1-$C7)*AD10,(1-(VLOOKUP($C10,'S3 - Screening Tool Metrics'!$C$3:$G$17,5,FALSE)/100))*AD10)</f>
        <v>385.59728049368618</v>
      </c>
      <c r="AG10" s="706">
        <f>IF($C10="other",$C7*AD10,(VLOOKUP($C10,'S3 - Screening Tool Metrics'!$C$3:$G$17,5,FALSE)/100)*AD10)</f>
        <v>899.72698781860095</v>
      </c>
      <c r="AH10" s="706">
        <f t="shared" si="5"/>
        <v>13.599259187100982</v>
      </c>
      <c r="AI10" s="707">
        <f t="shared" si="6"/>
        <v>23646.38</v>
      </c>
      <c r="AJ10" s="706">
        <f>VLOOKUP("*"&amp;$B10&amp;"*",'S4 - Summ PRS Characteristics'!$C$21:$Q$28,15,FALSE)*$J10</f>
        <v>405.72764081892967</v>
      </c>
      <c r="AK10" s="706">
        <f t="shared" si="13"/>
        <v>6210.27235918107</v>
      </c>
      <c r="AL10" s="706">
        <f>IF($C10="other",(1-$C7)*AJ10,(1-(VLOOKUP($C10,'S3 - Screening Tool Metrics'!$C$3:$G$17,5,FALSE)/100))*AJ10)</f>
        <v>121.71829224567892</v>
      </c>
      <c r="AM10" s="706">
        <f>IF($C10="other",$C7*AJ10,(VLOOKUP($C10,'S3 - Screening Tool Metrics'!$C$3:$G$17,5,FALSE)/100)*AJ10)</f>
        <v>284.00934857325075</v>
      </c>
      <c r="AN10" s="709">
        <f t="shared" si="7"/>
        <v>4.292765244456632</v>
      </c>
    </row>
    <row r="11" spans="2:40" x14ac:dyDescent="0.15">
      <c r="B11" s="700" t="s">
        <v>8</v>
      </c>
      <c r="C11" s="721" t="str">
        <f>$C8</f>
        <v>Digital mammography</v>
      </c>
      <c r="D11" s="552" t="s">
        <v>195</v>
      </c>
      <c r="E11" s="710">
        <f>VLOOKUP($B11&amp;"_"&amp;$D11,'App5 - CRUK Inci Rates'!C:H,6,FALSE)</f>
        <v>0</v>
      </c>
      <c r="F11" s="711">
        <f>VLOOKUP($B11&amp;"_"&amp;$D11,'App5 - CRUK Inci Rates'!C:H,3,FALSE)</f>
        <v>285.5</v>
      </c>
      <c r="G11" s="712">
        <f>VLOOKUP($B11&amp;"_"&amp;$D11,'App5 - CRUK Inci Rates'!C:J,8,FALSE)</f>
        <v>2119687.3333333335</v>
      </c>
      <c r="H11" s="713">
        <f>VLOOKUP($B11&amp;"_"&amp;$D11,'App5 - CRUK Inci Rates'!C:J,7,FALSE)</f>
        <v>0</v>
      </c>
      <c r="I11" s="713">
        <f>VLOOKUP($B11&amp;"_"&amp;$D11,'App5 - CRUK Inci Rates'!C:J,4,FALSE)</f>
        <v>2119687.3333333335</v>
      </c>
      <c r="J11" s="709">
        <f>VLOOKUP($B11&amp;"_"&amp;$D11,'App5 - CRUK Inci Rates'!C:K,9,FALSE)</f>
        <v>6052</v>
      </c>
      <c r="K11" s="706">
        <f t="shared" si="8"/>
        <v>1059843.6666666667</v>
      </c>
      <c r="L11" s="706">
        <f>VLOOKUP("*"&amp;$B11&amp;"*",'S4 - Summ PRS Characteristics'!$C$21:$Q$28,11,FALSE)*$J11</f>
        <v>4739.1408846258091</v>
      </c>
      <c r="M11" s="706">
        <f t="shared" si="9"/>
        <v>1312.8591153741909</v>
      </c>
      <c r="N11" s="706">
        <f>IF($C11="other",(1-$C$7)*L11,(1-(VLOOKUP($C11,'S3 - Screening Tool Metrics'!$C$3:$G$17,5,FALSE)/100))*L11)</f>
        <v>1421.7422653877429</v>
      </c>
      <c r="O11" s="706">
        <f>IF($C11="other",$C$7*L11,(VLOOKUP($C11,'S3 - Screening Tool Metrics'!$C$3:$G$17,5,FALSE)/100)*L11)</f>
        <v>3317.3986192380662</v>
      </c>
      <c r="P11" s="706">
        <f t="shared" si="10"/>
        <v>54.814914395870233</v>
      </c>
      <c r="Q11" s="707">
        <f t="shared" si="0"/>
        <v>423937.46666666673</v>
      </c>
      <c r="R11" s="706">
        <f>VLOOKUP("*"&amp;$B11&amp;"*",'S4 - Summ PRS Characteristics'!$C$21:$Q$28,12,FALSE)*$J11</f>
        <v>2883.5919660578857</v>
      </c>
      <c r="S11" s="706">
        <f t="shared" si="11"/>
        <v>3168.4080339421143</v>
      </c>
      <c r="T11" s="706">
        <f>IF($C11="other",(1-$C7)*R11,(1-(VLOOKUP($C11,'S3 - Screening Tool Metrics'!$C$3:$G$17,5,FALSE)/100))*R11)</f>
        <v>865.07758981736583</v>
      </c>
      <c r="U11" s="706">
        <f>IF($C11="other",$C7*R11,(VLOOKUP($C11,'S3 - Screening Tool Metrics'!$C$3:$G$17,5,FALSE)/100)*R11)</f>
        <v>2018.5143762405198</v>
      </c>
      <c r="V11" s="708">
        <f t="shared" si="1"/>
        <v>33.352848252487114</v>
      </c>
      <c r="W11" s="707">
        <f t="shared" si="2"/>
        <v>211968.73333333337</v>
      </c>
      <c r="X11" s="706">
        <f>VLOOKUP("*"&amp;$B11&amp;"*",'S4 - Summ PRS Characteristics'!$C$21:$Q$28,13,FALSE)*$J11</f>
        <v>1869.5125698370848</v>
      </c>
      <c r="Y11" s="706">
        <f t="shared" si="12"/>
        <v>4182.4874301629152</v>
      </c>
      <c r="Z11" s="706">
        <f>IF($C11="other",(1-$C7)*X11,(1-(VLOOKUP($C11,'S3 - Screening Tool Metrics'!$C$3:$G$17,5,FALSE)/100))*X11)</f>
        <v>560.85377095112551</v>
      </c>
      <c r="AA11" s="706">
        <f>IF($C11="other",$C7*X11,(VLOOKUP($C11,'S3 - Screening Tool Metrics'!$C$3:$G$17,5,FALSE)/100)*X11)</f>
        <v>1308.6587988859592</v>
      </c>
      <c r="AB11" s="708">
        <f t="shared" si="3"/>
        <v>21.623575659054183</v>
      </c>
      <c r="AC11" s="707">
        <f t="shared" si="4"/>
        <v>105984.36666666668</v>
      </c>
      <c r="AD11" s="706">
        <f>VLOOKUP("*"&amp;$B11&amp;"*",'S4 - Summ PRS Characteristics'!$C$21:$Q$28,14,FALSE)*$J11</f>
        <v>1175.7530942905021</v>
      </c>
      <c r="AE11" s="706">
        <f t="shared" si="14"/>
        <v>4876.2469057094977</v>
      </c>
      <c r="AF11" s="706">
        <f>IF($C11="other",(1-$C7)*AD11,(1-(VLOOKUP($C11,'S3 - Screening Tool Metrics'!$C$3:$G$17,5,FALSE)/100))*AD11)</f>
        <v>352.72592828715068</v>
      </c>
      <c r="AG11" s="706">
        <f>IF($C11="other",$C7*AD11,(VLOOKUP($C11,'S3 - Screening Tool Metrics'!$C$3:$G$17,5,FALSE)/100)*AD11)</f>
        <v>823.02716600335145</v>
      </c>
      <c r="AH11" s="706">
        <f t="shared" si="5"/>
        <v>13.599259187100982</v>
      </c>
      <c r="AI11" s="707">
        <f t="shared" si="6"/>
        <v>21196.873333333337</v>
      </c>
      <c r="AJ11" s="706">
        <f>VLOOKUP("*"&amp;$B11&amp;"*",'S4 - Summ PRS Characteristics'!$C$21:$Q$28,15,FALSE)*$J11</f>
        <v>371.14021799216482</v>
      </c>
      <c r="AK11" s="706">
        <f t="shared" si="13"/>
        <v>5680.8597820078348</v>
      </c>
      <c r="AL11" s="706">
        <f>IF($C11="other",(1-$C7)*AJ11,(1-(VLOOKUP($C11,'S3 - Screening Tool Metrics'!$C$3:$G$17,5,FALSE)/100))*AJ11)</f>
        <v>111.34206539764946</v>
      </c>
      <c r="AM11" s="706">
        <f>IF($C11="other",$C7*AJ11,(VLOOKUP($C11,'S3 - Screening Tool Metrics'!$C$3:$G$17,5,FALSE)/100)*AJ11)</f>
        <v>259.79815259451539</v>
      </c>
      <c r="AN11" s="709">
        <f t="shared" si="7"/>
        <v>4.2927652444566329</v>
      </c>
    </row>
    <row r="12" spans="2:40" x14ac:dyDescent="0.15">
      <c r="B12" s="700" t="s">
        <v>8</v>
      </c>
      <c r="C12" s="721" t="str">
        <f>$C8</f>
        <v>Digital mammography</v>
      </c>
      <c r="D12" s="552" t="s">
        <v>196</v>
      </c>
      <c r="E12" s="710">
        <f>VLOOKUP($B12&amp;"_"&amp;$D12,'App5 - CRUK Inci Rates'!C:H,6,FALSE)</f>
        <v>0</v>
      </c>
      <c r="F12" s="711">
        <f>VLOOKUP($B12&amp;"_"&amp;$D12,'App5 - CRUK Inci Rates'!C:H,3,FALSE)</f>
        <v>337.96472190440318</v>
      </c>
      <c r="G12" s="712">
        <f>VLOOKUP($B12&amp;"_"&amp;$D12,'App5 - CRUK Inci Rates'!C:J,8,FALSE)</f>
        <v>1837174</v>
      </c>
      <c r="H12" s="713">
        <f>VLOOKUP($B12&amp;"_"&amp;$D12,'App5 - CRUK Inci Rates'!C:J,7,FALSE)</f>
        <v>0</v>
      </c>
      <c r="I12" s="713">
        <f>VLOOKUP($B12&amp;"_"&amp;$D12,'App5 - CRUK Inci Rates'!C:J,4,FALSE)</f>
        <v>1837174</v>
      </c>
      <c r="J12" s="709">
        <f>VLOOKUP($B12&amp;"_"&amp;$D12,'App5 - CRUK Inci Rates'!C:K,9,FALSE)</f>
        <v>6209</v>
      </c>
      <c r="K12" s="706">
        <f t="shared" si="8"/>
        <v>918587</v>
      </c>
      <c r="L12" s="706">
        <f>VLOOKUP("*"&amp;$B12&amp;"*",'S4 - Summ PRS Characteristics'!$C$21:$Q$28,11,FALSE)*$J12</f>
        <v>4862.0829069136889</v>
      </c>
      <c r="M12" s="706">
        <f t="shared" si="9"/>
        <v>1346.9170930863111</v>
      </c>
      <c r="N12" s="706">
        <f>IF($C12="other",(1-$C$7)*L12,(1-(VLOOKUP($C12,'S3 - Screening Tool Metrics'!$C$3:$G$17,5,FALSE)/100))*L12)</f>
        <v>1458.6248720741069</v>
      </c>
      <c r="O12" s="706">
        <f>IF($C12="other",$C$7*L12,(VLOOKUP($C12,'S3 - Screening Tool Metrics'!$C$3:$G$17,5,FALSE)/100)*L12)</f>
        <v>3403.4580348395821</v>
      </c>
      <c r="P12" s="706">
        <f t="shared" si="10"/>
        <v>54.814914395870218</v>
      </c>
      <c r="Q12" s="707">
        <f t="shared" si="0"/>
        <v>367434.80000000005</v>
      </c>
      <c r="R12" s="706">
        <f>VLOOKUP("*"&amp;$B12&amp;"*",'S4 - Summ PRS Characteristics'!$C$21:$Q$28,12,FALSE)*$J12</f>
        <v>2958.3976399956068</v>
      </c>
      <c r="S12" s="706">
        <f t="shared" si="11"/>
        <v>3250.6023600043932</v>
      </c>
      <c r="T12" s="706">
        <f>IF($C12="other",(1-$C7)*R12,(1-(VLOOKUP($C12,'S3 - Screening Tool Metrics'!$C$3:$G$17,5,FALSE)/100))*R12)</f>
        <v>887.51929199868221</v>
      </c>
      <c r="U12" s="706">
        <f>IF($C12="other",$C7*R12,(VLOOKUP($C12,'S3 - Screening Tool Metrics'!$C$3:$G$17,5,FALSE)/100)*R12)</f>
        <v>2070.8783479969247</v>
      </c>
      <c r="V12" s="708">
        <f t="shared" si="1"/>
        <v>33.352848252487114</v>
      </c>
      <c r="W12" s="707">
        <f t="shared" si="2"/>
        <v>183717.40000000002</v>
      </c>
      <c r="X12" s="706">
        <f>VLOOKUP("*"&amp;$B12&amp;"*",'S4 - Summ PRS Characteristics'!$C$21:$Q$28,13,FALSE)*$J12</f>
        <v>1918.0111609581063</v>
      </c>
      <c r="Y12" s="706">
        <f t="shared" si="12"/>
        <v>4290.9888390418937</v>
      </c>
      <c r="Z12" s="706">
        <f>IF($C12="other",(1-$C7)*X12,(1-(VLOOKUP($C12,'S3 - Screening Tool Metrics'!$C$3:$G$17,5,FALSE)/100))*X12)</f>
        <v>575.40334828743198</v>
      </c>
      <c r="AA12" s="706">
        <f>IF($C12="other",$C7*X12,(VLOOKUP($C12,'S3 - Screening Tool Metrics'!$C$3:$G$17,5,FALSE)/100)*X12)</f>
        <v>1342.6078126706743</v>
      </c>
      <c r="AB12" s="708">
        <f t="shared" si="3"/>
        <v>21.623575659054183</v>
      </c>
      <c r="AC12" s="707">
        <f t="shared" si="4"/>
        <v>91858.700000000012</v>
      </c>
      <c r="AD12" s="706">
        <f>VLOOKUP("*"&amp;$B12&amp;"*",'S4 - Summ PRS Characteristics'!$C$21:$Q$28,14,FALSE)*$J12</f>
        <v>1206.254289895857</v>
      </c>
      <c r="AE12" s="706">
        <f t="shared" si="14"/>
        <v>5002.7457101041427</v>
      </c>
      <c r="AF12" s="706">
        <f>IF($C12="other",(1-$C7)*AD12,(1-(VLOOKUP($C12,'S3 - Screening Tool Metrics'!$C$3:$G$17,5,FALSE)/100))*AD12)</f>
        <v>361.87628696875714</v>
      </c>
      <c r="AG12" s="706">
        <f>IF($C12="other",$C7*AD12,(VLOOKUP($C12,'S3 - Screening Tool Metrics'!$C$3:$G$17,5,FALSE)/100)*AD12)</f>
        <v>844.37800292709983</v>
      </c>
      <c r="AH12" s="706">
        <f t="shared" si="5"/>
        <v>13.599259187100978</v>
      </c>
      <c r="AI12" s="707">
        <f t="shared" si="6"/>
        <v>18371.740000000002</v>
      </c>
      <c r="AJ12" s="706">
        <f>VLOOKUP("*"&amp;$B12&amp;"*",'S4 - Summ PRS Characteristics'!$C$21:$Q$28,15,FALSE)*$J12</f>
        <v>380.76827718330327</v>
      </c>
      <c r="AK12" s="706">
        <f t="shared" si="13"/>
        <v>5828.2317228166967</v>
      </c>
      <c r="AL12" s="706">
        <f>IF($C12="other",(1-$C7)*AJ12,(1-(VLOOKUP($C12,'S3 - Screening Tool Metrics'!$C$3:$G$17,5,FALSE)/100))*AJ12)</f>
        <v>114.23048315499099</v>
      </c>
      <c r="AM12" s="706">
        <f>IF($C12="other",$C7*AJ12,(VLOOKUP($C12,'S3 - Screening Tool Metrics'!$C$3:$G$17,5,FALSE)/100)*AJ12)</f>
        <v>266.53779402831225</v>
      </c>
      <c r="AN12" s="709">
        <f t="shared" si="7"/>
        <v>4.292765244456632</v>
      </c>
    </row>
    <row r="13" spans="2:40" x14ac:dyDescent="0.15">
      <c r="B13" s="700" t="s">
        <v>8</v>
      </c>
      <c r="C13" s="721" t="str">
        <f>$C8</f>
        <v>Digital mammography</v>
      </c>
      <c r="D13" s="552" t="s">
        <v>197</v>
      </c>
      <c r="E13" s="710">
        <f>VLOOKUP($B13&amp;"_"&amp;$D13,'App5 - CRUK Inci Rates'!C:H,6,FALSE)</f>
        <v>0</v>
      </c>
      <c r="F13" s="711">
        <f>VLOOKUP($B13&amp;"_"&amp;$D13,'App5 - CRUK Inci Rates'!C:H,3,FALSE)</f>
        <v>412.3</v>
      </c>
      <c r="G13" s="712">
        <f>VLOOKUP($B13&amp;"_"&amp;$D13,'App5 - CRUK Inci Rates'!C:J,8,FALSE)</f>
        <v>1805190</v>
      </c>
      <c r="H13" s="713">
        <f>VLOOKUP($B13&amp;"_"&amp;$D13,'App5 - CRUK Inci Rates'!C:J,7,FALSE)</f>
        <v>0</v>
      </c>
      <c r="I13" s="713">
        <f>VLOOKUP($B13&amp;"_"&amp;$D13,'App5 - CRUK Inci Rates'!C:J,4,FALSE)</f>
        <v>1805190</v>
      </c>
      <c r="J13" s="709">
        <f>VLOOKUP($B13&amp;"_"&amp;$D13,'App5 - CRUK Inci Rates'!C:K,9,FALSE)</f>
        <v>7443</v>
      </c>
      <c r="K13" s="706">
        <f t="shared" si="8"/>
        <v>902595</v>
      </c>
      <c r="L13" s="706">
        <f>VLOOKUP("*"&amp;$B13&amp;"*",'S4 - Summ PRS Characteristics'!$C$21:$Q$28,11,FALSE)*$J13</f>
        <v>5828.3915406923161</v>
      </c>
      <c r="M13" s="706">
        <f t="shared" si="9"/>
        <v>1614.6084593076839</v>
      </c>
      <c r="N13" s="706">
        <f>IF($C13="other",(1-$C$7)*L13,(1-(VLOOKUP($C13,'S3 - Screening Tool Metrics'!$C$3:$G$17,5,FALSE)/100))*L13)</f>
        <v>1748.5174622076952</v>
      </c>
      <c r="O13" s="706">
        <f>IF($C13="other",$C$7*L13,(VLOOKUP($C13,'S3 - Screening Tool Metrics'!$C$3:$G$17,5,FALSE)/100)*L13)</f>
        <v>4079.8740784846209</v>
      </c>
      <c r="P13" s="706">
        <f t="shared" si="10"/>
        <v>54.814914395870233</v>
      </c>
      <c r="Q13" s="707">
        <f t="shared" si="0"/>
        <v>361038</v>
      </c>
      <c r="R13" s="706">
        <f>VLOOKUP("*"&amp;$B13&amp;"*",'S4 - Summ PRS Characteristics'!$C$21:$Q$28,12,FALSE)*$J13</f>
        <v>3546.3607077608794</v>
      </c>
      <c r="S13" s="706">
        <f t="shared" si="11"/>
        <v>3896.6392922391206</v>
      </c>
      <c r="T13" s="706">
        <f>IF($C13="other",(1-$C7)*R13,(1-(VLOOKUP($C13,'S3 - Screening Tool Metrics'!$C$3:$G$17,5,FALSE)/100))*R13)</f>
        <v>1063.908212328264</v>
      </c>
      <c r="U13" s="706">
        <f>IF($C13="other",$C7*R13,(VLOOKUP($C13,'S3 - Screening Tool Metrics'!$C$3:$G$17,5,FALSE)/100)*R13)</f>
        <v>2482.4524954326153</v>
      </c>
      <c r="V13" s="708">
        <f t="shared" si="1"/>
        <v>33.352848252487107</v>
      </c>
      <c r="W13" s="707">
        <f t="shared" si="2"/>
        <v>180519</v>
      </c>
      <c r="X13" s="706">
        <f>VLOOKUP("*"&amp;$B13&amp;"*",'S4 - Summ PRS Characteristics'!$C$21:$Q$28,13,FALSE)*$J13</f>
        <v>2299.2039090048615</v>
      </c>
      <c r="Y13" s="706">
        <f t="shared" si="12"/>
        <v>5143.796090995138</v>
      </c>
      <c r="Z13" s="706">
        <f>IF($C13="other",(1-$C7)*X13,(1-(VLOOKUP($C13,'S3 - Screening Tool Metrics'!$C$3:$G$17,5,FALSE)/100))*X13)</f>
        <v>689.76117270145858</v>
      </c>
      <c r="AA13" s="706">
        <f>IF($C13="other",$C7*X13,(VLOOKUP($C13,'S3 - Screening Tool Metrics'!$C$3:$G$17,5,FALSE)/100)*X13)</f>
        <v>1609.4427363034031</v>
      </c>
      <c r="AB13" s="708">
        <f t="shared" si="3"/>
        <v>21.623575659054186</v>
      </c>
      <c r="AC13" s="707">
        <f t="shared" si="4"/>
        <v>90259.5</v>
      </c>
      <c r="AD13" s="706">
        <f>VLOOKUP("*"&amp;$B13&amp;"*",'S4 - Summ PRS Characteristics'!$C$21:$Q$28,14,FALSE)*$J13</f>
        <v>1445.9898018513229</v>
      </c>
      <c r="AE13" s="706">
        <f t="shared" si="14"/>
        <v>5997.0101981486769</v>
      </c>
      <c r="AF13" s="706">
        <f>IF($C13="other",(1-$C7)*AD13,(1-(VLOOKUP($C13,'S3 - Screening Tool Metrics'!$C$3:$G$17,5,FALSE)/100))*AD13)</f>
        <v>433.79694055539693</v>
      </c>
      <c r="AG13" s="706">
        <f>IF($C13="other",$C7*AD13,(VLOOKUP($C13,'S3 - Screening Tool Metrics'!$C$3:$G$17,5,FALSE)/100)*AD13)</f>
        <v>1012.1928612959259</v>
      </c>
      <c r="AH13" s="706">
        <f t="shared" si="5"/>
        <v>13.599259187100978</v>
      </c>
      <c r="AI13" s="707">
        <f t="shared" si="6"/>
        <v>18051.900000000001</v>
      </c>
      <c r="AJ13" s="706">
        <f>VLOOKUP("*"&amp;$B13&amp;"*",'S4 - Summ PRS Characteristics'!$C$21:$Q$28,15,FALSE)*$J13</f>
        <v>456.44359592129587</v>
      </c>
      <c r="AK13" s="706">
        <f t="shared" si="13"/>
        <v>6986.556404078704</v>
      </c>
      <c r="AL13" s="706">
        <f>IF($C13="other",(1-$C7)*AJ13,(1-(VLOOKUP($C13,'S3 - Screening Tool Metrics'!$C$3:$G$17,5,FALSE)/100))*AJ13)</f>
        <v>136.93307877638878</v>
      </c>
      <c r="AM13" s="706">
        <f>IF($C13="other",$C7*AJ13,(VLOOKUP($C13,'S3 - Screening Tool Metrics'!$C$3:$G$17,5,FALSE)/100)*AJ13)</f>
        <v>319.51051714490711</v>
      </c>
      <c r="AN13" s="709">
        <f t="shared" si="7"/>
        <v>4.292765244456632</v>
      </c>
    </row>
    <row r="14" spans="2:40" x14ac:dyDescent="0.15">
      <c r="B14" s="700" t="s">
        <v>8</v>
      </c>
      <c r="C14" s="721" t="str">
        <f>$C8</f>
        <v>Digital mammography</v>
      </c>
      <c r="D14" s="552" t="s">
        <v>198</v>
      </c>
      <c r="E14" s="710">
        <f>VLOOKUP($B14&amp;"_"&amp;$D14,'App5 - CRUK Inci Rates'!C:H,6,FALSE)</f>
        <v>0</v>
      </c>
      <c r="F14" s="711">
        <f>VLOOKUP($B14&amp;"_"&amp;$D14,'App5 - CRUK Inci Rates'!C:H,3,FALSE)</f>
        <v>372.7</v>
      </c>
      <c r="G14" s="712">
        <f>VLOOKUP($B14&amp;"_"&amp;$D14,'App5 - CRUK Inci Rates'!C:J,8,FALSE)</f>
        <v>1603609.6666666667</v>
      </c>
      <c r="H14" s="713">
        <f>VLOOKUP($B14&amp;"_"&amp;$D14,'App5 - CRUK Inci Rates'!C:J,7,FALSE)</f>
        <v>0</v>
      </c>
      <c r="I14" s="713">
        <f>VLOOKUP($B14&amp;"_"&amp;$D14,'App5 - CRUK Inci Rates'!C:J,4,FALSE)</f>
        <v>1603609.6666666667</v>
      </c>
      <c r="J14" s="709">
        <f>VLOOKUP($B14&amp;"_"&amp;$D14,'App5 - CRUK Inci Rates'!C:K,9,FALSE)</f>
        <v>5977</v>
      </c>
      <c r="K14" s="706">
        <f t="shared" si="8"/>
        <v>801804.83333333337</v>
      </c>
      <c r="L14" s="706">
        <f>VLOOKUP("*"&amp;$B14&amp;"*",'S4 - Summ PRS Characteristics'!$C$21:$Q$28,11,FALSE)*$J14</f>
        <v>4680.4106192016625</v>
      </c>
      <c r="M14" s="706">
        <f t="shared" si="9"/>
        <v>1296.5893807983375</v>
      </c>
      <c r="N14" s="706">
        <f>IF($C14="other",(1-$C$7)*L14,(1-(VLOOKUP($C14,'S3 - Screening Tool Metrics'!$C$3:$G$17,5,FALSE)/100))*L14)</f>
        <v>1404.1231857604989</v>
      </c>
      <c r="O14" s="706">
        <f>IF($C14="other",$C$7*L14,(VLOOKUP($C14,'S3 - Screening Tool Metrics'!$C$3:$G$17,5,FALSE)/100)*L14)</f>
        <v>3276.2874334411636</v>
      </c>
      <c r="P14" s="706">
        <f t="shared" si="10"/>
        <v>54.814914395870233</v>
      </c>
      <c r="Q14" s="707">
        <f t="shared" si="0"/>
        <v>320721.93333333335</v>
      </c>
      <c r="R14" s="706">
        <f>VLOOKUP("*"&amp;$B14&amp;"*",'S4 - Summ PRS Characteristics'!$C$21:$Q$28,12,FALSE)*$J14</f>
        <v>2847.8567715016497</v>
      </c>
      <c r="S14" s="706">
        <f t="shared" si="11"/>
        <v>3129.1432284983503</v>
      </c>
      <c r="T14" s="706">
        <f>IF($C14="other",(1-$C7)*R14,(1-(VLOOKUP($C14,'S3 - Screening Tool Metrics'!$C$3:$G$17,5,FALSE)/100))*R14)</f>
        <v>854.35703145049501</v>
      </c>
      <c r="U14" s="706">
        <f>IF($C14="other",$C7*R14,(VLOOKUP($C14,'S3 - Screening Tool Metrics'!$C$3:$G$17,5,FALSE)/100)*R14)</f>
        <v>1993.4997400511547</v>
      </c>
      <c r="V14" s="708">
        <f t="shared" si="1"/>
        <v>33.352848252487114</v>
      </c>
      <c r="W14" s="707">
        <f t="shared" si="2"/>
        <v>160360.96666666667</v>
      </c>
      <c r="X14" s="706">
        <f>VLOOKUP("*"&amp;$B14&amp;"*",'S4 - Summ PRS Characteristics'!$C$21:$Q$28,13,FALSE)*$J14</f>
        <v>1846.3444530595268</v>
      </c>
      <c r="Y14" s="706">
        <f t="shared" si="12"/>
        <v>4130.655546940473</v>
      </c>
      <c r="Z14" s="706">
        <f>IF($C14="other",(1-$C7)*X14,(1-(VLOOKUP($C14,'S3 - Screening Tool Metrics'!$C$3:$G$17,5,FALSE)/100))*X14)</f>
        <v>553.90333591785816</v>
      </c>
      <c r="AA14" s="706">
        <f>IF($C14="other",$C7*X14,(VLOOKUP($C14,'S3 - Screening Tool Metrics'!$C$3:$G$17,5,FALSE)/100)*X14)</f>
        <v>1292.4411171416687</v>
      </c>
      <c r="AB14" s="708">
        <f t="shared" si="3"/>
        <v>21.623575659054186</v>
      </c>
      <c r="AC14" s="707">
        <f t="shared" si="4"/>
        <v>80180.483333333337</v>
      </c>
      <c r="AD14" s="706">
        <f>VLOOKUP("*"&amp;$B14&amp;"*",'S4 - Summ PRS Characteristics'!$C$21:$Q$28,14,FALSE)*$J14</f>
        <v>1161.1824594471796</v>
      </c>
      <c r="AE14" s="706">
        <f t="shared" si="14"/>
        <v>4815.81754055282</v>
      </c>
      <c r="AF14" s="706">
        <f>IF($C14="other",(1-$C7)*AD14,(1-(VLOOKUP($C14,'S3 - Screening Tool Metrics'!$C$3:$G$17,5,FALSE)/100))*AD14)</f>
        <v>348.35473783415392</v>
      </c>
      <c r="AG14" s="706">
        <f>IF($C14="other",$C7*AD14,(VLOOKUP($C14,'S3 - Screening Tool Metrics'!$C$3:$G$17,5,FALSE)/100)*AD14)</f>
        <v>812.82772161302569</v>
      </c>
      <c r="AH14" s="706">
        <f t="shared" si="5"/>
        <v>13.599259187100982</v>
      </c>
      <c r="AI14" s="707">
        <f t="shared" si="6"/>
        <v>16036.096666666668</v>
      </c>
      <c r="AJ14" s="706">
        <f>VLOOKUP("*"&amp;$B14&amp;"*",'S4 - Summ PRS Characteristics'!$C$21:$Q$28,15,FALSE)*$J14</f>
        <v>366.54082665881839</v>
      </c>
      <c r="AK14" s="706">
        <f t="shared" si="13"/>
        <v>5610.4591733411817</v>
      </c>
      <c r="AL14" s="706">
        <f>IF($C14="other",(1-$C7)*AJ14,(1-(VLOOKUP($C14,'S3 - Screening Tool Metrics'!$C$3:$G$17,5,FALSE)/100))*AJ14)</f>
        <v>109.96224799764553</v>
      </c>
      <c r="AM14" s="706">
        <f>IF($C14="other",$C7*AJ14,(VLOOKUP($C14,'S3 - Screening Tool Metrics'!$C$3:$G$17,5,FALSE)/100)*AJ14)</f>
        <v>256.57857866117286</v>
      </c>
      <c r="AN14" s="709">
        <f t="shared" si="7"/>
        <v>4.2927652444566311</v>
      </c>
    </row>
    <row r="15" spans="2:40" x14ac:dyDescent="0.15">
      <c r="B15" s="700" t="s">
        <v>8</v>
      </c>
      <c r="C15" s="721" t="str">
        <f>$C8</f>
        <v>Digital mammography</v>
      </c>
      <c r="D15" s="552" t="s">
        <v>199</v>
      </c>
      <c r="E15" s="710">
        <f>VLOOKUP($B15&amp;"_"&amp;$D15,'App5 - CRUK Inci Rates'!C:H,6,FALSE)</f>
        <v>0</v>
      </c>
      <c r="F15" s="711">
        <f>VLOOKUP($B15&amp;"_"&amp;$D15,'App5 - CRUK Inci Rates'!C:H,3,FALSE)</f>
        <v>403</v>
      </c>
      <c r="G15" s="712">
        <f>VLOOKUP($B15&amp;"_"&amp;$D15,'App5 - CRUK Inci Rates'!C:J,8,FALSE)</f>
        <v>1181645.3333333333</v>
      </c>
      <c r="H15" s="713">
        <f>VLOOKUP($B15&amp;"_"&amp;$D15,'App5 - CRUK Inci Rates'!C:J,7,FALSE)</f>
        <v>0</v>
      </c>
      <c r="I15" s="713">
        <f>VLOOKUP($B15&amp;"_"&amp;$D15,'App5 - CRUK Inci Rates'!C:J,4,FALSE)</f>
        <v>1181645.3333333333</v>
      </c>
      <c r="J15" s="709">
        <f>VLOOKUP($B15&amp;"_"&amp;$D15,'App5 - CRUK Inci Rates'!C:K,9,FALSE)</f>
        <v>4762</v>
      </c>
      <c r="K15" s="706">
        <f t="shared" si="8"/>
        <v>590822.66666666663</v>
      </c>
      <c r="L15" s="706">
        <f>VLOOKUP("*"&amp;$B15&amp;"*",'S4 - Summ PRS Characteristics'!$C$21:$Q$28,11,FALSE)*$J15</f>
        <v>3728.9803193304861</v>
      </c>
      <c r="M15" s="706">
        <f t="shared" si="9"/>
        <v>1033.0196806695139</v>
      </c>
      <c r="N15" s="706">
        <f>IF($C15="other",(1-$C$7)*L15,(1-(VLOOKUP($C15,'S3 - Screening Tool Metrics'!$C$3:$G$17,5,FALSE)/100))*L15)</f>
        <v>1118.694095799146</v>
      </c>
      <c r="O15" s="706">
        <f>IF($C15="other",$C$7*L15,(VLOOKUP($C15,'S3 - Screening Tool Metrics'!$C$3:$G$17,5,FALSE)/100)*L15)</f>
        <v>2610.2862235313401</v>
      </c>
      <c r="P15" s="706">
        <f t="shared" si="10"/>
        <v>54.814914395870233</v>
      </c>
      <c r="Q15" s="707">
        <f t="shared" si="0"/>
        <v>236329.06666666665</v>
      </c>
      <c r="R15" s="706">
        <f>VLOOKUP("*"&amp;$B15&amp;"*",'S4 - Summ PRS Characteristics'!$C$21:$Q$28,12,FALSE)*$J15</f>
        <v>2268.9466196906233</v>
      </c>
      <c r="S15" s="706">
        <f t="shared" si="11"/>
        <v>2493.0533803093767</v>
      </c>
      <c r="T15" s="706">
        <f>IF($C15="other",(1-$C7)*R15,(1-(VLOOKUP($C15,'S3 - Screening Tool Metrics'!$C$3:$G$17,5,FALSE)/100))*R15)</f>
        <v>680.68398590718709</v>
      </c>
      <c r="U15" s="706">
        <f>IF($C15="other",$C7*R15,(VLOOKUP($C15,'S3 - Screening Tool Metrics'!$C$3:$G$17,5,FALSE)/100)*R15)</f>
        <v>1588.2626337834363</v>
      </c>
      <c r="V15" s="708">
        <f t="shared" si="1"/>
        <v>33.352848252487114</v>
      </c>
      <c r="W15" s="707">
        <f t="shared" si="2"/>
        <v>118164.53333333333</v>
      </c>
      <c r="X15" s="706">
        <f>VLOOKUP("*"&amp;$B15&amp;"*",'S4 - Summ PRS Characteristics'!$C$21:$Q$28,13,FALSE)*$J15</f>
        <v>1471.0209612630863</v>
      </c>
      <c r="Y15" s="706">
        <f t="shared" si="12"/>
        <v>3290.9790387369139</v>
      </c>
      <c r="Z15" s="706">
        <f>IF($C15="other",(1-$C7)*X15,(1-(VLOOKUP($C15,'S3 - Screening Tool Metrics'!$C$3:$G$17,5,FALSE)/100))*X15)</f>
        <v>441.30628837892596</v>
      </c>
      <c r="AA15" s="706">
        <f>IF($C15="other",$C7*X15,(VLOOKUP($C15,'S3 - Screening Tool Metrics'!$C$3:$G$17,5,FALSE)/100)*X15)</f>
        <v>1029.7146728841603</v>
      </c>
      <c r="AB15" s="708">
        <f t="shared" si="3"/>
        <v>21.623575659054186</v>
      </c>
      <c r="AC15" s="707">
        <f t="shared" si="4"/>
        <v>59082.266666666663</v>
      </c>
      <c r="AD15" s="706">
        <f>VLOOKUP("*"&amp;$B15&amp;"*",'S4 - Summ PRS Characteristics'!$C$21:$Q$28,14,FALSE)*$J15</f>
        <v>925.13817498535536</v>
      </c>
      <c r="AE15" s="706">
        <f t="shared" si="14"/>
        <v>3836.8618250146446</v>
      </c>
      <c r="AF15" s="706">
        <f>IF($C15="other",(1-$C7)*AD15,(1-(VLOOKUP($C15,'S3 - Screening Tool Metrics'!$C$3:$G$17,5,FALSE)/100))*AD15)</f>
        <v>277.54145249560668</v>
      </c>
      <c r="AG15" s="706">
        <f>IF($C15="other",$C7*AD15,(VLOOKUP($C15,'S3 - Screening Tool Metrics'!$C$3:$G$17,5,FALSE)/100)*AD15)</f>
        <v>647.59672248974869</v>
      </c>
      <c r="AH15" s="706">
        <f t="shared" si="5"/>
        <v>13.599259187100982</v>
      </c>
      <c r="AI15" s="707">
        <f t="shared" si="6"/>
        <v>11816.453333333333</v>
      </c>
      <c r="AJ15" s="706">
        <f>VLOOKUP("*"&amp;$B15&amp;"*",'S4 - Summ PRS Characteristics'!$C$21:$Q$28,15,FALSE)*$J15</f>
        <v>292.03068705860687</v>
      </c>
      <c r="AK15" s="706">
        <f t="shared" si="13"/>
        <v>4469.9693129413936</v>
      </c>
      <c r="AL15" s="706">
        <f>IF($C15="other",(1-$C7)*AJ15,(1-(VLOOKUP($C15,'S3 - Screening Tool Metrics'!$C$3:$G$17,5,FALSE)/100))*AJ15)</f>
        <v>87.609206117582076</v>
      </c>
      <c r="AM15" s="706">
        <f>IF($C15="other",$C7*AJ15,(VLOOKUP($C15,'S3 - Screening Tool Metrics'!$C$3:$G$17,5,FALSE)/100)*AJ15)</f>
        <v>204.42148094102481</v>
      </c>
      <c r="AN15" s="709">
        <f t="shared" si="7"/>
        <v>4.292765244456632</v>
      </c>
    </row>
    <row r="16" spans="2:40" x14ac:dyDescent="0.15">
      <c r="B16" s="700" t="s">
        <v>8</v>
      </c>
      <c r="C16" s="721" t="str">
        <f>$C8</f>
        <v>Digital mammography</v>
      </c>
      <c r="D16" s="552" t="s">
        <v>200</v>
      </c>
      <c r="E16" s="710">
        <f>VLOOKUP($B16&amp;"_"&amp;$D16,'App5 - CRUK Inci Rates'!C:H,6,FALSE)</f>
        <v>0</v>
      </c>
      <c r="F16" s="711">
        <f>VLOOKUP($B16&amp;"_"&amp;$D16,'App5 - CRUK Inci Rates'!C:H,3,FALSE)</f>
        <v>270.90219320904782</v>
      </c>
      <c r="G16" s="712">
        <f>VLOOKUP($B16&amp;"_"&amp;$D16,'App5 - CRUK Inci Rates'!C:J,8,FALSE)</f>
        <v>12496392</v>
      </c>
      <c r="H16" s="713">
        <f>VLOOKUP($B16&amp;"_"&amp;$D16,'App5 - CRUK Inci Rates'!C:J,7,FALSE)</f>
        <v>0</v>
      </c>
      <c r="I16" s="713">
        <f>VLOOKUP($B16&amp;"_"&amp;$D16,'App5 - CRUK Inci Rates'!C:J,4,FALSE)</f>
        <v>12496392</v>
      </c>
      <c r="J16" s="709">
        <f>VLOOKUP($B16&amp;"_"&amp;$D16,'App5 - CRUK Inci Rates'!C:K,9,FALSE)</f>
        <v>33853</v>
      </c>
      <c r="K16" s="706">
        <f t="shared" si="8"/>
        <v>6248196</v>
      </c>
      <c r="L16" s="706">
        <f>VLOOKUP("*"&amp;$B16&amp;"*",'S4 - Summ PRS Characteristics'!$C$21:$Q$28,11,FALSE)*$J16</f>
        <v>26509.275672048498</v>
      </c>
      <c r="M16" s="706">
        <f t="shared" si="9"/>
        <v>7343.7243279515023</v>
      </c>
      <c r="N16" s="706">
        <f>IF($C16="other",(1-$C$7)*L16,(1-(VLOOKUP($C16,'S3 - Screening Tool Metrics'!$C$3:$G$17,5,FALSE)/100))*L16)</f>
        <v>7952.7827016145502</v>
      </c>
      <c r="O16" s="706">
        <f>IF($C16="other",$C$7*L16,(VLOOKUP($C16,'S3 - Screening Tool Metrics'!$C$3:$G$17,5,FALSE)/100)*L16)</f>
        <v>18556.492970433948</v>
      </c>
      <c r="P16" s="706">
        <f t="shared" si="10"/>
        <v>54.814914395870233</v>
      </c>
      <c r="Q16" s="707">
        <f t="shared" si="0"/>
        <v>2499278.4</v>
      </c>
      <c r="R16" s="706">
        <f>VLOOKUP("*"&amp;$B16&amp;"*",'S4 - Summ PRS Characteristics'!$C$21:$Q$28,12,FALSE)*$J16</f>
        <v>16129.913884163518</v>
      </c>
      <c r="S16" s="706">
        <f t="shared" si="11"/>
        <v>17723.086115836482</v>
      </c>
      <c r="T16" s="706">
        <f>IF($C16="other",(1-$C7)*R16,(1-(VLOOKUP($C16,'S3 - Screening Tool Metrics'!$C$3:$G$17,5,FALSE)/100))*R16)</f>
        <v>4838.9741652490557</v>
      </c>
      <c r="U16" s="706">
        <f>IF($C16="other",$C7*R16,(VLOOKUP($C16,'S3 - Screening Tool Metrics'!$C$3:$G$17,5,FALSE)/100)*R16)</f>
        <v>11290.939718914462</v>
      </c>
      <c r="V16" s="708">
        <f t="shared" si="1"/>
        <v>33.352848252487114</v>
      </c>
      <c r="W16" s="707">
        <f t="shared" si="2"/>
        <v>1249639.2</v>
      </c>
      <c r="X16" s="706">
        <f>VLOOKUP("*"&amp;$B16&amp;"*",'S4 - Summ PRS Characteristics'!$C$21:$Q$28,13,FALSE)*$J16</f>
        <v>10457.470096942305</v>
      </c>
      <c r="Y16" s="706">
        <f t="shared" si="12"/>
        <v>23395.529903057693</v>
      </c>
      <c r="Z16" s="706">
        <f>IF($C16="other",(1-$C7)*X16,(1-(VLOOKUP($C16,'S3 - Screening Tool Metrics'!$C$3:$G$17,5,FALSE)/100))*X16)</f>
        <v>3137.241029082692</v>
      </c>
      <c r="AA16" s="706">
        <f>IF($C16="other",$C7*X16,(VLOOKUP($C16,'S3 - Screening Tool Metrics'!$C$3:$G$17,5,FALSE)/100)*X16)</f>
        <v>7320.2290678596128</v>
      </c>
      <c r="AB16" s="708">
        <f t="shared" si="3"/>
        <v>21.623575659054183</v>
      </c>
      <c r="AC16" s="707">
        <f t="shared" si="4"/>
        <v>624819.6</v>
      </c>
      <c r="AD16" s="706">
        <f>VLOOKUP("*"&amp;$B16&amp;"*",'S4 - Summ PRS Characteristics'!$C$21:$Q$28,14,FALSE)*$J16</f>
        <v>6576.7960180132786</v>
      </c>
      <c r="AE16" s="706">
        <f t="shared" si="14"/>
        <v>27276.20398198672</v>
      </c>
      <c r="AF16" s="706">
        <f>IF($C16="other",(1-$C7)*AD16,(1-(VLOOKUP($C16,'S3 - Screening Tool Metrics'!$C$3:$G$17,5,FALSE)/100))*AD16)</f>
        <v>1973.0388054039838</v>
      </c>
      <c r="AG16" s="706">
        <f>IF($C16="other",$C7*AD16,(VLOOKUP($C16,'S3 - Screening Tool Metrics'!$C$3:$G$17,5,FALSE)/100)*AD16)</f>
        <v>4603.7572126092946</v>
      </c>
      <c r="AH16" s="706">
        <f t="shared" si="5"/>
        <v>13.599259187100978</v>
      </c>
      <c r="AI16" s="707">
        <f t="shared" si="6"/>
        <v>124963.92</v>
      </c>
      <c r="AJ16" s="706">
        <f>VLOOKUP("*"&amp;$B16&amp;"*",'S4 - Summ PRS Characteristics'!$C$21:$Q$28,15,FALSE)*$J16</f>
        <v>2076.042597437005</v>
      </c>
      <c r="AK16" s="706">
        <f t="shared" si="13"/>
        <v>31776.957402562995</v>
      </c>
      <c r="AL16" s="706">
        <f>IF($C16="other",(1-$C7)*AJ16,(1-(VLOOKUP($C16,'S3 - Screening Tool Metrics'!$C$3:$G$17,5,FALSE)/100))*AJ16)</f>
        <v>622.81277923110156</v>
      </c>
      <c r="AM16" s="706">
        <f>IF($C16="other",$C7*AJ16,(VLOOKUP($C16,'S3 - Screening Tool Metrics'!$C$3:$G$17,5,FALSE)/100)*AJ16)</f>
        <v>1453.2298182059035</v>
      </c>
      <c r="AN16" s="709">
        <f t="shared" si="7"/>
        <v>4.292765244456632</v>
      </c>
    </row>
    <row r="17" spans="2:40" x14ac:dyDescent="0.15">
      <c r="B17" s="700" t="s">
        <v>8</v>
      </c>
      <c r="C17" s="721" t="str">
        <f>$C8</f>
        <v>Digital mammography</v>
      </c>
      <c r="D17" s="552" t="s">
        <v>201</v>
      </c>
      <c r="E17" s="710">
        <f>VLOOKUP($B17&amp;"_"&amp;$D17,'App5 - CRUK Inci Rates'!C:H,6,FALSE)</f>
        <v>0</v>
      </c>
      <c r="F17" s="711">
        <f>VLOOKUP($B17&amp;"_"&amp;$D17,'App5 - CRUK Inci Rates'!C:H,3,FALSE)</f>
        <v>172.39159216630148</v>
      </c>
      <c r="G17" s="712">
        <f>VLOOKUP($B17&amp;"_"&amp;$D17,'App5 - CRUK Inci Rates'!C:J,8,FALSE)</f>
        <v>4369702.666666667</v>
      </c>
      <c r="H17" s="713">
        <f>VLOOKUP($B17&amp;"_"&amp;$D17,'App5 - CRUK Inci Rates'!C:J,7,FALSE)</f>
        <v>0</v>
      </c>
      <c r="I17" s="713">
        <f>VLOOKUP($B17&amp;"_"&amp;$D17,'App5 - CRUK Inci Rates'!C:J,4,FALSE)</f>
        <v>4369702.666666667</v>
      </c>
      <c r="J17" s="709">
        <f>VLOOKUP($B17&amp;"_"&amp;$D17,'App5 - CRUK Inci Rates'!C:K,9,FALSE)</f>
        <v>7533</v>
      </c>
      <c r="K17" s="706">
        <f t="shared" si="8"/>
        <v>2184851.3333333335</v>
      </c>
      <c r="L17" s="706">
        <f>VLOOKUP("*"&amp;$B17&amp;"*",'S4 - Summ PRS Characteristics'!$C$21:$Q$28,11,FALSE)*$J17</f>
        <v>5898.867859201292</v>
      </c>
      <c r="M17" s="706">
        <f t="shared" si="9"/>
        <v>1634.132140798708</v>
      </c>
      <c r="N17" s="706">
        <f>IF($C17="other",(1-$C$7)*L17,(1-(VLOOKUP($C17,'S3 - Screening Tool Metrics'!$C$3:$G$17,5,FALSE)/100))*L17)</f>
        <v>1769.6603577603878</v>
      </c>
      <c r="O17" s="706">
        <f>IF($C17="other",$C$7*L17,(VLOOKUP($C17,'S3 - Screening Tool Metrics'!$C$3:$G$17,5,FALSE)/100)*L17)</f>
        <v>4129.2075014409038</v>
      </c>
      <c r="P17" s="706">
        <f t="shared" si="10"/>
        <v>54.814914395870218</v>
      </c>
      <c r="Q17" s="707">
        <f t="shared" si="0"/>
        <v>873940.53333333344</v>
      </c>
      <c r="R17" s="706">
        <f>VLOOKUP("*"&amp;$B17&amp;"*",'S4 - Summ PRS Characteristics'!$C$21:$Q$28,12,FALSE)*$J17</f>
        <v>3589.2429412283632</v>
      </c>
      <c r="S17" s="706">
        <f t="shared" si="11"/>
        <v>3943.7570587716368</v>
      </c>
      <c r="T17" s="706">
        <f>IF($C17="other",(1-$C7)*R17,(1-(VLOOKUP($C17,'S3 - Screening Tool Metrics'!$C$3:$G$17,5,FALSE)/100))*R17)</f>
        <v>1076.772882368509</v>
      </c>
      <c r="U17" s="706">
        <f>IF($C17="other",$C7*R17,(VLOOKUP($C17,'S3 - Screening Tool Metrics'!$C$3:$G$17,5,FALSE)/100)*R17)</f>
        <v>2512.4700588598539</v>
      </c>
      <c r="V17" s="708">
        <f t="shared" si="1"/>
        <v>33.352848252487114</v>
      </c>
      <c r="W17" s="707">
        <f t="shared" si="2"/>
        <v>436970.26666666672</v>
      </c>
      <c r="X17" s="706">
        <f>VLOOKUP("*"&amp;$B17&amp;"*",'S4 - Summ PRS Characteristics'!$C$21:$Q$28,13,FALSE)*$J17</f>
        <v>2327.0056491379314</v>
      </c>
      <c r="Y17" s="706">
        <f t="shared" si="12"/>
        <v>5205.994350862069</v>
      </c>
      <c r="Z17" s="706">
        <f>IF($C17="other",(1-$C7)*X17,(1-(VLOOKUP($C17,'S3 - Screening Tool Metrics'!$C$3:$G$17,5,FALSE)/100))*X17)</f>
        <v>698.10169474137956</v>
      </c>
      <c r="AA17" s="706">
        <f>IF($C17="other",$C7*X17,(VLOOKUP($C17,'S3 - Screening Tool Metrics'!$C$3:$G$17,5,FALSE)/100)*X17)</f>
        <v>1628.9039543965519</v>
      </c>
      <c r="AB17" s="708">
        <f t="shared" si="3"/>
        <v>21.623575659054186</v>
      </c>
      <c r="AC17" s="707">
        <f t="shared" si="4"/>
        <v>218485.13333333336</v>
      </c>
      <c r="AD17" s="706">
        <f>VLOOKUP("*"&amp;$B17&amp;"*",'S4 - Summ PRS Characteristics'!$C$21:$Q$28,14,FALSE)*$J17</f>
        <v>1463.4745636633099</v>
      </c>
      <c r="AE17" s="706">
        <f t="shared" si="14"/>
        <v>6069.5254363366903</v>
      </c>
      <c r="AF17" s="706">
        <f>IF($C17="other",(1-$C7)*AD17,(1-(VLOOKUP($C17,'S3 - Screening Tool Metrics'!$C$3:$G$17,5,FALSE)/100))*AD17)</f>
        <v>439.04236909899305</v>
      </c>
      <c r="AG17" s="706">
        <f>IF($C17="other",$C7*AD17,(VLOOKUP($C17,'S3 - Screening Tool Metrics'!$C$3:$G$17,5,FALSE)/100)*AD17)</f>
        <v>1024.4321945643169</v>
      </c>
      <c r="AH17" s="706">
        <f t="shared" si="5"/>
        <v>13.599259187100982</v>
      </c>
      <c r="AI17" s="707">
        <f t="shared" si="6"/>
        <v>43697.026666666672</v>
      </c>
      <c r="AJ17" s="706">
        <f>VLOOKUP("*"&amp;$B17&amp;"*",'S4 - Summ PRS Characteristics'!$C$21:$Q$28,15,FALSE)*$J17</f>
        <v>461.96286552131153</v>
      </c>
      <c r="AK17" s="706">
        <f t="shared" si="13"/>
        <v>7071.0371344786881</v>
      </c>
      <c r="AL17" s="706">
        <f>IF($C17="other",(1-$C7)*AJ17,(1-(VLOOKUP($C17,'S3 - Screening Tool Metrics'!$C$3:$G$17,5,FALSE)/100))*AJ17)</f>
        <v>138.58885965639348</v>
      </c>
      <c r="AM17" s="706">
        <f>IF($C17="other",$C7*AJ17,(VLOOKUP($C17,'S3 - Screening Tool Metrics'!$C$3:$G$17,5,FALSE)/100)*AJ17)</f>
        <v>323.37400586491805</v>
      </c>
      <c r="AN17" s="709">
        <f t="shared" si="7"/>
        <v>4.2927652444566311</v>
      </c>
    </row>
    <row r="18" spans="2:40" x14ac:dyDescent="0.15">
      <c r="B18" s="700" t="s">
        <v>8</v>
      </c>
      <c r="C18" s="721" t="str">
        <f>$C8</f>
        <v>Digital mammography</v>
      </c>
      <c r="D18" s="552" t="s">
        <v>202</v>
      </c>
      <c r="E18" s="710">
        <f>VLOOKUP($B18&amp;"_"&amp;$D18,'App5 - CRUK Inci Rates'!C:H,6,FALSE)</f>
        <v>0</v>
      </c>
      <c r="F18" s="711">
        <f>VLOOKUP($B18&amp;"_"&amp;$D18,'App5 - CRUK Inci Rates'!C:H,3,FALSE)</f>
        <v>282.4951148355575</v>
      </c>
      <c r="G18" s="712">
        <f>VLOOKUP($B18&amp;"_"&amp;$D18,'App5 - CRUK Inci Rates'!C:J,8,FALSE)</f>
        <v>4484325.333333334</v>
      </c>
      <c r="H18" s="713">
        <f>VLOOKUP($B18&amp;"_"&amp;$D18,'App5 - CRUK Inci Rates'!C:J,7,FALSE)</f>
        <v>0</v>
      </c>
      <c r="I18" s="713">
        <f>VLOOKUP($B18&amp;"_"&amp;$D18,'App5 - CRUK Inci Rates'!C:J,4,FALSE)</f>
        <v>4484325.333333334</v>
      </c>
      <c r="J18" s="709">
        <f>VLOOKUP($B18&amp;"_"&amp;$D18,'App5 - CRUK Inci Rates'!C:K,9,FALSE)</f>
        <v>12668</v>
      </c>
      <c r="K18" s="706">
        <f t="shared" si="8"/>
        <v>2242162.666666667</v>
      </c>
      <c r="L18" s="706">
        <f>VLOOKUP("*"&amp;$B18&amp;"*",'S4 - Summ PRS Characteristics'!$C$21:$Q$28,11,FALSE)*$J18</f>
        <v>9919.9333652412006</v>
      </c>
      <c r="M18" s="706">
        <f t="shared" si="9"/>
        <v>2748.0666347587994</v>
      </c>
      <c r="N18" s="706">
        <f>IF($C18="other",(1-$C$7)*L18,(1-(VLOOKUP($C18,'S3 - Screening Tool Metrics'!$C$3:$G$17,5,FALSE)/100))*L18)</f>
        <v>2975.9800095723608</v>
      </c>
      <c r="O18" s="706">
        <f>IF($C18="other",$C$7*L18,(VLOOKUP($C18,'S3 - Screening Tool Metrics'!$C$3:$G$17,5,FALSE)/100)*L18)</f>
        <v>6943.9533556688402</v>
      </c>
      <c r="P18" s="706">
        <f t="shared" si="10"/>
        <v>54.814914395870233</v>
      </c>
      <c r="Q18" s="707">
        <f t="shared" si="0"/>
        <v>896865.06666666688</v>
      </c>
      <c r="R18" s="706">
        <f>VLOOKUP("*"&amp;$B18&amp;"*",'S4 - Summ PRS Characteristics'!$C$21:$Q$28,12,FALSE)*$J18</f>
        <v>6035.9125951786673</v>
      </c>
      <c r="S18" s="706">
        <f t="shared" si="11"/>
        <v>6632.0874048213327</v>
      </c>
      <c r="T18" s="706">
        <f>IF($C18="other",(1-$C7)*R18,(1-(VLOOKUP($C18,'S3 - Screening Tool Metrics'!$C$3:$G$17,5,FALSE)/100))*R18)</f>
        <v>1810.7737785536006</v>
      </c>
      <c r="U18" s="706">
        <f>IF($C18="other",$C7*R18,(VLOOKUP($C18,'S3 - Screening Tool Metrics'!$C$3:$G$17,5,FALSE)/100)*R18)</f>
        <v>4225.1388166250672</v>
      </c>
      <c r="V18" s="708">
        <f t="shared" si="1"/>
        <v>33.352848252487114</v>
      </c>
      <c r="W18" s="707">
        <f t="shared" si="2"/>
        <v>448432.53333333344</v>
      </c>
      <c r="X18" s="706">
        <f>VLOOKUP("*"&amp;$B18&amp;"*",'S4 - Summ PRS Characteristics'!$C$21:$Q$28,13,FALSE)*$J18</f>
        <v>3913.2493778414059</v>
      </c>
      <c r="Y18" s="706">
        <f t="shared" si="12"/>
        <v>8754.7506221585936</v>
      </c>
      <c r="Z18" s="706">
        <f>IF($C18="other",(1-$C7)*X18,(1-(VLOOKUP($C18,'S3 - Screening Tool Metrics'!$C$3:$G$17,5,FALSE)/100))*X18)</f>
        <v>1173.974813352422</v>
      </c>
      <c r="AA18" s="706">
        <f>IF($C18="other",$C7*X18,(VLOOKUP($C18,'S3 - Screening Tool Metrics'!$C$3:$G$17,5,FALSE)/100)*X18)</f>
        <v>2739.2745644889842</v>
      </c>
      <c r="AB18" s="708">
        <f t="shared" si="3"/>
        <v>21.623575659054186</v>
      </c>
      <c r="AC18" s="707">
        <f t="shared" si="4"/>
        <v>224216.26666666672</v>
      </c>
      <c r="AD18" s="706">
        <f>VLOOKUP("*"&amp;$B18&amp;"*",'S4 - Summ PRS Characteristics'!$C$21:$Q$28,14,FALSE)*$J18</f>
        <v>2461.077362602789</v>
      </c>
      <c r="AE18" s="706">
        <f t="shared" si="14"/>
        <v>10206.922637397211</v>
      </c>
      <c r="AF18" s="706">
        <f>IF($C18="other",(1-$C7)*AD18,(1-(VLOOKUP($C18,'S3 - Screening Tool Metrics'!$C$3:$G$17,5,FALSE)/100))*AD18)</f>
        <v>738.32320878083681</v>
      </c>
      <c r="AG18" s="706">
        <f>IF($C18="other",$C7*AD18,(VLOOKUP($C18,'S3 - Screening Tool Metrics'!$C$3:$G$17,5,FALSE)/100)*AD18)</f>
        <v>1722.7541538219523</v>
      </c>
      <c r="AH18" s="706">
        <f t="shared" si="5"/>
        <v>13.599259187100982</v>
      </c>
      <c r="AI18" s="707">
        <f t="shared" si="6"/>
        <v>44843.253333333341</v>
      </c>
      <c r="AJ18" s="706">
        <f>VLOOKUP("*"&amp;$B18&amp;"*",'S4 - Summ PRS Characteristics'!$C$21:$Q$28,15,FALSE)*$J18</f>
        <v>776.86785881109449</v>
      </c>
      <c r="AK18" s="706">
        <f t="shared" si="13"/>
        <v>11891.132141188906</v>
      </c>
      <c r="AL18" s="706">
        <f>IF($C18="other",(1-$C7)*AJ18,(1-(VLOOKUP($C18,'S3 - Screening Tool Metrics'!$C$3:$G$17,5,FALSE)/100))*AJ18)</f>
        <v>233.06035764332839</v>
      </c>
      <c r="AM18" s="706">
        <f>IF($C18="other",$C7*AJ18,(VLOOKUP($C18,'S3 - Screening Tool Metrics'!$C$3:$G$17,5,FALSE)/100)*AJ18)</f>
        <v>543.80750116776608</v>
      </c>
      <c r="AN18" s="709">
        <f t="shared" si="7"/>
        <v>4.292765244456632</v>
      </c>
    </row>
    <row r="19" spans="2:40" x14ac:dyDescent="0.15">
      <c r="B19" s="700" t="s">
        <v>8</v>
      </c>
      <c r="C19" s="721" t="str">
        <f>$C8</f>
        <v>Digital mammography</v>
      </c>
      <c r="D19" s="552" t="s">
        <v>203</v>
      </c>
      <c r="E19" s="710">
        <f>VLOOKUP($B19&amp;"_"&amp;$D19,'App5 - CRUK Inci Rates'!C:H,6,FALSE)</f>
        <v>0</v>
      </c>
      <c r="F19" s="711">
        <f>VLOOKUP($B19&amp;"_"&amp;$D19,'App5 - CRUK Inci Rates'!C:H,3,FALSE)</f>
        <v>323.87112291893521</v>
      </c>
      <c r="G19" s="712">
        <f>VLOOKUP($B19&amp;"_"&amp;$D19,'App5 - CRUK Inci Rates'!C:J,8,FALSE)</f>
        <v>8126689.333333334</v>
      </c>
      <c r="H19" s="713">
        <f>VLOOKUP($B19&amp;"_"&amp;$D19,'App5 - CRUK Inci Rates'!C:J,7,FALSE)</f>
        <v>0</v>
      </c>
      <c r="I19" s="713">
        <f>VLOOKUP($B19&amp;"_"&amp;$D19,'App5 - CRUK Inci Rates'!C:J,4,FALSE)</f>
        <v>8126689.333333334</v>
      </c>
      <c r="J19" s="709">
        <f>VLOOKUP($B19&amp;"_"&amp;$D19,'App5 - CRUK Inci Rates'!C:K,9,FALSE)</f>
        <v>26320</v>
      </c>
      <c r="K19" s="706">
        <f t="shared" si="8"/>
        <v>4063344.666666667</v>
      </c>
      <c r="L19" s="706">
        <f>VLOOKUP("*"&amp;$B19&amp;"*",'S4 - Summ PRS Characteristics'!$C$21:$Q$28,11,FALSE)*$J19</f>
        <v>20610.407812847207</v>
      </c>
      <c r="M19" s="706">
        <f t="shared" si="9"/>
        <v>5709.5921871527935</v>
      </c>
      <c r="N19" s="706">
        <f>IF($C19="other",(1-$C$7)*L19,(1-(VLOOKUP($C19,'S3 - Screening Tool Metrics'!$C$3:$G$17,5,FALSE)/100))*L19)</f>
        <v>6183.1223438541629</v>
      </c>
      <c r="O19" s="706">
        <f>IF($C19="other",$C$7*L19,(VLOOKUP($C19,'S3 - Screening Tool Metrics'!$C$3:$G$17,5,FALSE)/100)*L19)</f>
        <v>14427.285468993043</v>
      </c>
      <c r="P19" s="706">
        <f t="shared" si="10"/>
        <v>54.814914395870218</v>
      </c>
      <c r="Q19" s="707">
        <f t="shared" si="0"/>
        <v>1625337.8666666669</v>
      </c>
      <c r="R19" s="706">
        <f>VLOOKUP("*"&amp;$B19&amp;"*",'S4 - Summ PRS Characteristics'!$C$21:$Q$28,12,FALSE)*$J19</f>
        <v>12540.670942935154</v>
      </c>
      <c r="S19" s="706">
        <f t="shared" si="11"/>
        <v>13779.329057064846</v>
      </c>
      <c r="T19" s="706">
        <f>IF($C19="other",(1-$C7)*R19,(1-(VLOOKUP($C19,'S3 - Screening Tool Metrics'!$C$3:$G$17,5,FALSE)/100))*R19)</f>
        <v>3762.2012828805468</v>
      </c>
      <c r="U19" s="706">
        <f>IF($C19="other",$C7*R19,(VLOOKUP($C19,'S3 - Screening Tool Metrics'!$C$3:$G$17,5,FALSE)/100)*R19)</f>
        <v>8778.4696600546067</v>
      </c>
      <c r="V19" s="708">
        <f t="shared" si="1"/>
        <v>33.352848252487107</v>
      </c>
      <c r="W19" s="707">
        <f t="shared" si="2"/>
        <v>812668.93333333347</v>
      </c>
      <c r="X19" s="706">
        <f>VLOOKUP("*"&amp;$B19&amp;"*",'S4 - Summ PRS Characteristics'!$C$21:$Q$28,13,FALSE)*$J19</f>
        <v>8130.4644478043738</v>
      </c>
      <c r="Y19" s="706">
        <f t="shared" si="12"/>
        <v>18189.535552195626</v>
      </c>
      <c r="Z19" s="706">
        <f>IF($C19="other",(1-$C7)*X19,(1-(VLOOKUP($C19,'S3 - Screening Tool Metrics'!$C$3:$G$17,5,FALSE)/100))*X19)</f>
        <v>2439.1393343413124</v>
      </c>
      <c r="AA19" s="706">
        <f>IF($C19="other",$C7*X19,(VLOOKUP($C19,'S3 - Screening Tool Metrics'!$C$3:$G$17,5,FALSE)/100)*X19)</f>
        <v>5691.3251134630609</v>
      </c>
      <c r="AB19" s="708">
        <f t="shared" si="3"/>
        <v>21.623575659054183</v>
      </c>
      <c r="AC19" s="707">
        <f t="shared" si="4"/>
        <v>406334.46666666673</v>
      </c>
      <c r="AD19" s="706">
        <f>VLOOKUP("*"&amp;$B19&amp;"*",'S4 - Summ PRS Characteristics'!$C$21:$Q$28,14,FALSE)*$J19</f>
        <v>5113.3214543499689</v>
      </c>
      <c r="AE19" s="706">
        <f t="shared" si="14"/>
        <v>21206.678545650029</v>
      </c>
      <c r="AF19" s="706">
        <f>IF($C19="other",(1-$C7)*AD19,(1-(VLOOKUP($C19,'S3 - Screening Tool Metrics'!$C$3:$G$17,5,FALSE)/100))*AD19)</f>
        <v>1533.996436304991</v>
      </c>
      <c r="AG19" s="706">
        <f>IF($C19="other",$C7*AD19,(VLOOKUP($C19,'S3 - Screening Tool Metrics'!$C$3:$G$17,5,FALSE)/100)*AD19)</f>
        <v>3579.3250180449782</v>
      </c>
      <c r="AH19" s="706">
        <f t="shared" si="5"/>
        <v>13.599259187100982</v>
      </c>
      <c r="AI19" s="707">
        <f t="shared" si="6"/>
        <v>81266.893333333341</v>
      </c>
      <c r="AJ19" s="706">
        <f>VLOOKUP("*"&amp;$B19&amp;"*",'S4 - Summ PRS Characteristics'!$C$21:$Q$28,15,FALSE)*$J19</f>
        <v>1614.0797319156936</v>
      </c>
      <c r="AK19" s="706">
        <f t="shared" si="13"/>
        <v>24705.920268084308</v>
      </c>
      <c r="AL19" s="706">
        <f>IF($C19="other",(1-$C7)*AJ19,(1-(VLOOKUP($C19,'S3 - Screening Tool Metrics'!$C$3:$G$17,5,FALSE)/100))*AJ19)</f>
        <v>484.22391957470813</v>
      </c>
      <c r="AM19" s="706">
        <f>IF($C19="other",$C7*AJ19,(VLOOKUP($C19,'S3 - Screening Tool Metrics'!$C$3:$G$17,5,FALSE)/100)*AJ19)</f>
        <v>1129.8558123409855</v>
      </c>
      <c r="AN19" s="709">
        <f t="shared" si="7"/>
        <v>4.292765244456632</v>
      </c>
    </row>
    <row r="20" spans="2:40" x14ac:dyDescent="0.15">
      <c r="B20" s="700" t="s">
        <v>8</v>
      </c>
      <c r="C20" s="721" t="str">
        <f>$C9</f>
        <v>Digital mammography</v>
      </c>
      <c r="D20" s="552" t="s">
        <v>292</v>
      </c>
      <c r="E20" s="710">
        <f>VLOOKUP($B20&amp;"_"&amp;$D20,'App5 - CRUK Inci Rates'!C:H,6,FALSE)</f>
        <v>0</v>
      </c>
      <c r="F20" s="711">
        <f>VLOOKUP($B20&amp;"_"&amp;$D20,'App5 - CRUK Inci Rates'!C:H,3,FALSE)</f>
        <v>374.17267503121917</v>
      </c>
      <c r="G20" s="712">
        <f>VLOOKUP($B20&amp;"_"&amp;$D20,'App5 - CRUK Inci Rates'!C:J,8,FALSE)</f>
        <v>5245973.666666667</v>
      </c>
      <c r="H20" s="713">
        <f>VLOOKUP($B20&amp;"_"&amp;$D20,'App5 - CRUK Inci Rates'!C:J,7,FALSE)</f>
        <v>0</v>
      </c>
      <c r="I20" s="713">
        <f>VLOOKUP($B20&amp;"_"&amp;$D20,'App5 - CRUK Inci Rates'!C:J,4,FALSE)</f>
        <v>5245973.666666667</v>
      </c>
      <c r="J20" s="709">
        <f>VLOOKUP($B20&amp;"_"&amp;$D20,'App5 - CRUK Inci Rates'!C:K,9,FALSE)</f>
        <v>19629</v>
      </c>
      <c r="K20" s="706">
        <f t="shared" si="8"/>
        <v>2622986.8333333335</v>
      </c>
      <c r="L20" s="706">
        <f>VLOOKUP("*"&amp;$B20&amp;"*",'S4 - Summ PRS Characteristics'!$C$21:$Q$28,11,FALSE)*$J20</f>
        <v>15370.885066807667</v>
      </c>
      <c r="M20" s="706">
        <f t="shared" si="9"/>
        <v>4258.1149331923334</v>
      </c>
      <c r="N20" s="706">
        <f>IF($C20="other",(1-$C$7)*L20,(1-(VLOOKUP($C20,'S3 - Screening Tool Metrics'!$C$3:$G$17,5,FALSE)/100))*L20)</f>
        <v>4611.2655200423005</v>
      </c>
      <c r="O20" s="706">
        <f>IF($C20="other",$C$7*L20,(VLOOKUP($C20,'S3 - Screening Tool Metrics'!$C$3:$G$17,5,FALSE)/100)*L20)</f>
        <v>10759.619546765365</v>
      </c>
      <c r="P20" s="706">
        <f t="shared" si="10"/>
        <v>54.814914395870218</v>
      </c>
      <c r="Q20" s="707">
        <f t="shared" si="0"/>
        <v>1049194.7333333334</v>
      </c>
      <c r="R20" s="706">
        <f>VLOOKUP("*"&amp;$B20&amp;"*",'S4 - Summ PRS Characteristics'!$C$21:$Q$28,12,FALSE)*$J20</f>
        <v>9352.6151192581365</v>
      </c>
      <c r="S20" s="706">
        <f t="shared" ref="S20" si="15">$J20-R20</f>
        <v>10276.384880741864</v>
      </c>
      <c r="T20" s="706">
        <f>IF($C20="other",(1-$C7)*R20,(1-(VLOOKUP($C20,'S3 - Screening Tool Metrics'!$C$3:$G$17,5,FALSE)/100))*R20)</f>
        <v>2805.7845357774413</v>
      </c>
      <c r="U20" s="706">
        <f>IF($C20="other",$C7*R20,(VLOOKUP($C20,'S3 - Screening Tool Metrics'!$C$3:$G$17,5,FALSE)/100)*R20)</f>
        <v>6546.8305834806952</v>
      </c>
      <c r="V20" s="708">
        <f t="shared" si="1"/>
        <v>33.352848252487114</v>
      </c>
      <c r="W20" s="707">
        <f t="shared" si="2"/>
        <v>524597.3666666667</v>
      </c>
      <c r="X20" s="706">
        <f>VLOOKUP("*"&amp;$B20&amp;"*",'S4 - Summ PRS Characteristics'!$C$21:$Q$28,13,FALSE)*$J20</f>
        <v>6063.5595230224944</v>
      </c>
      <c r="Y20" s="706">
        <f t="shared" ref="Y20" si="16">$J20-X20</f>
        <v>13565.440476977506</v>
      </c>
      <c r="Z20" s="706">
        <f>IF($C20="other",(1-$C7)*X20,(1-(VLOOKUP($C20,'S3 - Screening Tool Metrics'!$C$3:$G$17,5,FALSE)/100))*X20)</f>
        <v>1819.0678569067486</v>
      </c>
      <c r="AA20" s="706">
        <f>IF($C20="other",$C7*X20,(VLOOKUP($C20,'S3 - Screening Tool Metrics'!$C$3:$G$17,5,FALSE)/100)*X20)</f>
        <v>4244.4916661157458</v>
      </c>
      <c r="AB20" s="708">
        <f t="shared" si="3"/>
        <v>21.623575659054183</v>
      </c>
      <c r="AC20" s="707">
        <f t="shared" si="4"/>
        <v>262298.68333333335</v>
      </c>
      <c r="AD20" s="706">
        <f>VLOOKUP("*"&amp;$B20&amp;"*",'S4 - Summ PRS Characteristics'!$C$21:$Q$28,14,FALSE)*$J20</f>
        <v>3813.4265511943595</v>
      </c>
      <c r="AE20" s="706">
        <f t="shared" ref="AE20" si="17">$J20-AD20</f>
        <v>15815.573448805641</v>
      </c>
      <c r="AF20" s="706">
        <f>IF($C20="other",(1-$C7)*AD20,(1-(VLOOKUP($C20,'S3 - Screening Tool Metrics'!$C$3:$G$17,5,FALSE)/100))*AD20)</f>
        <v>1144.0279653583079</v>
      </c>
      <c r="AG20" s="706">
        <f>IF($C20="other",$C7*AD20,(VLOOKUP($C20,'S3 - Screening Tool Metrics'!$C$3:$G$17,5,FALSE)/100)*AD20)</f>
        <v>2669.3985858360516</v>
      </c>
      <c r="AH20" s="706">
        <f t="shared" si="5"/>
        <v>13.599259187100982</v>
      </c>
      <c r="AI20" s="707">
        <f t="shared" si="6"/>
        <v>52459.736666666671</v>
      </c>
      <c r="AJ20" s="706">
        <f>VLOOKUP("*"&amp;$B20&amp;"*",'S4 - Summ PRS Characteristics'!$C$21:$Q$28,15,FALSE)*$J20</f>
        <v>1203.7526997634175</v>
      </c>
      <c r="AK20" s="706">
        <f t="shared" ref="AK20" si="18">$J20-AJ20</f>
        <v>18425.247300236584</v>
      </c>
      <c r="AL20" s="706">
        <f>IF($C20="other",(1-$C7)*AJ20,(1-(VLOOKUP($C20,'S3 - Screening Tool Metrics'!$C$3:$G$17,5,FALSE)/100))*AJ20)</f>
        <v>361.12580992902531</v>
      </c>
      <c r="AM20" s="706">
        <f>IF($C20="other",$C7*AJ20,(VLOOKUP($C20,'S3 - Screening Tool Metrics'!$C$3:$G$17,5,FALSE)/100)*AJ20)</f>
        <v>842.62688983439216</v>
      </c>
      <c r="AN20" s="709">
        <f t="shared" si="7"/>
        <v>4.2927652444566311</v>
      </c>
    </row>
    <row r="21" spans="2:40" x14ac:dyDescent="0.15">
      <c r="B21" s="700" t="s">
        <v>8</v>
      </c>
      <c r="C21" s="721" t="str">
        <f>$C8</f>
        <v>Digital mammography</v>
      </c>
      <c r="D21" s="552" t="s">
        <v>204</v>
      </c>
      <c r="E21" s="710">
        <f>VLOOKUP($B21&amp;"_"&amp;$D21,'App5 - CRUK Inci Rates'!C:H,6,FALSE)</f>
        <v>0</v>
      </c>
      <c r="F21" s="711">
        <f>VLOOKUP($B21&amp;"_"&amp;$D21,'App5 - CRUK Inci Rates'!C:H,3,FALSE)</f>
        <v>291.80100809814547</v>
      </c>
      <c r="G21" s="712">
        <f>VLOOKUP($B21&amp;"_"&amp;$D21,'App5 - CRUK Inci Rates'!C:J,8,FALSE)</f>
        <v>15281647</v>
      </c>
      <c r="H21" s="713">
        <f>VLOOKUP($B21&amp;"_"&amp;$D21,'App5 - CRUK Inci Rates'!C:J,7,FALSE)</f>
        <v>0</v>
      </c>
      <c r="I21" s="713">
        <f>VLOOKUP($B21&amp;"_"&amp;$D21,'App5 - CRUK Inci Rates'!C:J,4,FALSE)</f>
        <v>15281647</v>
      </c>
      <c r="J21" s="709">
        <f>VLOOKUP($B21&amp;"_"&amp;$D21,'App5 - CRUK Inci Rates'!C:K,9,FALSE)</f>
        <v>44592</v>
      </c>
      <c r="K21" s="706">
        <f t="shared" si="8"/>
        <v>7640823.5</v>
      </c>
      <c r="L21" s="706">
        <f>VLOOKUP("*"&amp;$B21&amp;"*",'S4 - Summ PRS Characteristics'!$C$21:$Q$28,11,FALSE)*$J21</f>
        <v>34918.666610580643</v>
      </c>
      <c r="M21" s="706">
        <f t="shared" si="9"/>
        <v>9673.3333894193565</v>
      </c>
      <c r="N21" s="706">
        <f>IF($C21="other",(1-$C$7)*L21,(1-(VLOOKUP($C21,'S3 - Screening Tool Metrics'!$C$3:$G$17,5,FALSE)/100))*L21)</f>
        <v>10475.599983174194</v>
      </c>
      <c r="O21" s="706">
        <f>IF($C21="other",$C$7*L21,(VLOOKUP($C21,'S3 - Screening Tool Metrics'!$C$3:$G$17,5,FALSE)/100)*L21)</f>
        <v>24443.06662740645</v>
      </c>
      <c r="P21" s="706">
        <f t="shared" si="10"/>
        <v>54.814914395870218</v>
      </c>
      <c r="Q21" s="707">
        <f t="shared" si="0"/>
        <v>3056329.4000000004</v>
      </c>
      <c r="R21" s="706">
        <f>VLOOKUP("*"&amp;$B21&amp;"*",'S4 - Summ PRS Characteristics'!$C$21:$Q$28,12,FALSE)*$J21</f>
        <v>21246.71727535579</v>
      </c>
      <c r="S21" s="706">
        <f t="shared" si="11"/>
        <v>23345.28272464421</v>
      </c>
      <c r="T21" s="706">
        <f>IF($C21="other",(1-$C7)*R21,(1-(VLOOKUP($C21,'S3 - Screening Tool Metrics'!$C$3:$G$17,5,FALSE)/100))*R21)</f>
        <v>6374.0151826067377</v>
      </c>
      <c r="U21" s="706">
        <f>IF($C21="other",$C7*R21,(VLOOKUP($C21,'S3 - Screening Tool Metrics'!$C$3:$G$17,5,FALSE)/100)*R21)</f>
        <v>14872.702092749052</v>
      </c>
      <c r="V21" s="708">
        <f t="shared" si="1"/>
        <v>33.352848252487114</v>
      </c>
      <c r="W21" s="707">
        <f t="shared" si="2"/>
        <v>1528164.7000000002</v>
      </c>
      <c r="X21" s="706">
        <f>VLOOKUP("*"&amp;$B21&amp;"*",'S4 - Summ PRS Characteristics'!$C$21:$Q$28,13,FALSE)*$J21</f>
        <v>13774.835511264919</v>
      </c>
      <c r="Y21" s="706">
        <f t="shared" si="12"/>
        <v>30817.164488735081</v>
      </c>
      <c r="Z21" s="706">
        <f>IF($C21="other",(1-$C7)*X21,(1-(VLOOKUP($C21,'S3 - Screening Tool Metrics'!$C$3:$G$17,5,FALSE)/100))*X21)</f>
        <v>4132.4506533794765</v>
      </c>
      <c r="AA21" s="706">
        <f>IF($C21="other",$C7*X21,(VLOOKUP($C21,'S3 - Screening Tool Metrics'!$C$3:$G$17,5,FALSE)/100)*X21)</f>
        <v>9642.3848578854431</v>
      </c>
      <c r="AB21" s="708">
        <f t="shared" si="3"/>
        <v>21.623575659054186</v>
      </c>
      <c r="AC21" s="707">
        <f t="shared" si="4"/>
        <v>764082.35000000009</v>
      </c>
      <c r="AD21" s="706">
        <f>VLOOKUP("*"&amp;$B21&amp;"*",'S4 - Summ PRS Characteristics'!$C$21:$Q$28,14,FALSE)*$J21</f>
        <v>8663.1166524458131</v>
      </c>
      <c r="AE21" s="706">
        <f t="shared" si="14"/>
        <v>35928.883347554191</v>
      </c>
      <c r="AF21" s="706">
        <f>IF($C21="other",(1-$C7)*AD21,(1-(VLOOKUP($C21,'S3 - Screening Tool Metrics'!$C$3:$G$17,5,FALSE)/100))*AD21)</f>
        <v>2598.9349957337445</v>
      </c>
      <c r="AG21" s="706">
        <f>IF($C21="other",$C7*AD21,(VLOOKUP($C21,'S3 - Screening Tool Metrics'!$C$3:$G$17,5,FALSE)/100)*AD21)</f>
        <v>6064.1816567120686</v>
      </c>
      <c r="AH21" s="706">
        <f t="shared" si="5"/>
        <v>13.599259187100978</v>
      </c>
      <c r="AI21" s="707">
        <f t="shared" si="6"/>
        <v>152816.47</v>
      </c>
      <c r="AJ21" s="706">
        <f>VLOOKUP("*"&amp;$B21&amp;"*",'S4 - Summ PRS Characteristics'!$C$21:$Q$28,15,FALSE)*$J21</f>
        <v>2734.6141111544302</v>
      </c>
      <c r="AK21" s="706">
        <f t="shared" si="13"/>
        <v>41857.385888845572</v>
      </c>
      <c r="AL21" s="706">
        <f>IF($C21="other",(1-$C7)*AJ21,(1-(VLOOKUP($C21,'S3 - Screening Tool Metrics'!$C$3:$G$17,5,FALSE)/100))*AJ21)</f>
        <v>820.38423334632921</v>
      </c>
      <c r="AM21" s="706">
        <f>IF($C21="other",$C7*AJ21,(VLOOKUP($C21,'S3 - Screening Tool Metrics'!$C$3:$G$17,5,FALSE)/100)*AJ21)</f>
        <v>1914.229877808101</v>
      </c>
      <c r="AN21" s="709">
        <f t="shared" si="7"/>
        <v>4.2927652444566311</v>
      </c>
    </row>
    <row r="22" spans="2:40" ht="14" thickBot="1" x14ac:dyDescent="0.2">
      <c r="B22" s="700" t="s">
        <v>8</v>
      </c>
      <c r="C22" s="721" t="str">
        <f>$C9</f>
        <v>Digital mammography</v>
      </c>
      <c r="D22" s="552" t="s">
        <v>205</v>
      </c>
      <c r="E22" s="710">
        <f>VLOOKUP($B22&amp;"_"&amp;$D22,'App5 - CRUK Inci Rates'!C:H,6,FALSE)</f>
        <v>0</v>
      </c>
      <c r="F22" s="711">
        <f>VLOOKUP($B22&amp;"_"&amp;$D22,'App5 - CRUK Inci Rates'!C:H,3,FALSE)</f>
        <v>166.0138492223038</v>
      </c>
      <c r="G22" s="712">
        <f>VLOOKUP($B22&amp;"_"&amp;$D22,'App5 - CRUK Inci Rates'!C:J,8,FALSE)</f>
        <v>33458051.999999996</v>
      </c>
      <c r="H22" s="713">
        <f>VLOOKUP($B22&amp;"_"&amp;$D22,'App5 - CRUK Inci Rates'!C:J,7,FALSE)</f>
        <v>0</v>
      </c>
      <c r="I22" s="713">
        <f>VLOOKUP($B22&amp;"_"&amp;$D22,'App5 - CRUK Inci Rates'!C:J,4,FALSE)</f>
        <v>33458051.999999996</v>
      </c>
      <c r="J22" s="709">
        <f>VLOOKUP($B22&amp;"_"&amp;$D22,'App5 - CRUK Inci Rates'!C:K,9,FALSE)</f>
        <v>55545</v>
      </c>
      <c r="K22" s="716"/>
      <c r="L22" s="716"/>
      <c r="M22" s="716"/>
      <c r="N22" s="716"/>
      <c r="O22" s="716"/>
      <c r="P22" s="716"/>
      <c r="Q22" s="715"/>
      <c r="R22" s="716"/>
      <c r="S22" s="716"/>
      <c r="T22" s="716"/>
      <c r="U22" s="716"/>
      <c r="V22" s="717"/>
      <c r="W22" s="715"/>
      <c r="X22" s="716"/>
      <c r="Y22" s="716"/>
      <c r="Z22" s="716"/>
      <c r="AA22" s="716"/>
      <c r="AB22" s="717"/>
      <c r="AC22" s="716"/>
      <c r="AD22" s="716"/>
      <c r="AE22" s="716"/>
      <c r="AF22" s="716"/>
      <c r="AG22" s="716"/>
      <c r="AH22" s="716"/>
      <c r="AI22" s="734"/>
      <c r="AJ22" s="735"/>
      <c r="AK22" s="735"/>
      <c r="AL22" s="735"/>
      <c r="AM22" s="735"/>
      <c r="AN22" s="736"/>
    </row>
    <row r="23" spans="2:40" ht="21" customHeight="1" thickBot="1" x14ac:dyDescent="0.2">
      <c r="B23" s="686" t="s">
        <v>10</v>
      </c>
      <c r="C23" s="687"/>
      <c r="D23" s="688"/>
      <c r="E23" s="689"/>
      <c r="F23" s="690"/>
      <c r="G23" s="691"/>
      <c r="H23" s="692"/>
      <c r="I23" s="692"/>
      <c r="J23" s="693"/>
      <c r="K23" s="694"/>
      <c r="L23" s="694"/>
      <c r="M23" s="694"/>
      <c r="N23" s="694"/>
      <c r="O23" s="694"/>
      <c r="P23" s="694"/>
      <c r="Q23" s="695"/>
      <c r="R23" s="696"/>
      <c r="S23" s="696"/>
      <c r="T23" s="696"/>
      <c r="U23" s="696"/>
      <c r="V23" s="697"/>
      <c r="W23" s="695"/>
      <c r="X23" s="696"/>
      <c r="Y23" s="696"/>
      <c r="Z23" s="696"/>
      <c r="AA23" s="696"/>
      <c r="AB23" s="697"/>
      <c r="AC23" s="695"/>
      <c r="AD23" s="696"/>
      <c r="AE23" s="696"/>
      <c r="AF23" s="696"/>
      <c r="AG23" s="696"/>
      <c r="AH23" s="697"/>
      <c r="AI23" s="746"/>
      <c r="AJ23" s="747"/>
      <c r="AK23" s="747"/>
      <c r="AL23" s="747"/>
      <c r="AM23" s="747"/>
      <c r="AN23" s="748"/>
    </row>
    <row r="24" spans="2:40" x14ac:dyDescent="0.15">
      <c r="B24" s="700" t="s">
        <v>10</v>
      </c>
      <c r="C24" s="720" t="s">
        <v>172</v>
      </c>
      <c r="D24" s="593" t="s">
        <v>192</v>
      </c>
      <c r="E24" s="701">
        <f>VLOOKUP($B24&amp;"_"&amp;$D24,'App5 - CRUK Inci Rates'!C:H,6,FALSE)</f>
        <v>4.3</v>
      </c>
      <c r="F24" s="702">
        <f>VLOOKUP($B24&amp;"_"&amp;$D24,'App5 - CRUK Inci Rates'!C:H,3,FALSE)</f>
        <v>0</v>
      </c>
      <c r="G24" s="703">
        <f>VLOOKUP($B24&amp;"_"&amp;$D24,'App5 - CRUK Inci Rates'!C:J,8,FALSE)</f>
        <v>2021384.6666666667</v>
      </c>
      <c r="H24" s="704">
        <f>VLOOKUP($B24&amp;"_"&amp;$D24,'App5 - CRUK Inci Rates'!C:J,7,FALSE)</f>
        <v>2021384.6666666667</v>
      </c>
      <c r="I24" s="704">
        <f>VLOOKUP($B24&amp;"_"&amp;$D24,'App5 - CRUK Inci Rates'!C:J,4,FALSE)</f>
        <v>0</v>
      </c>
      <c r="J24" s="705">
        <f>VLOOKUP($B24&amp;"_"&amp;$D24,'App5 - CRUK Inci Rates'!C:K,9,FALSE)</f>
        <v>88</v>
      </c>
      <c r="K24" s="706">
        <f t="shared" si="8"/>
        <v>1010692.3333333334</v>
      </c>
      <c r="L24" s="706">
        <f>VLOOKUP("*"&amp;$B24&amp;"*",'S4 - Summ PRS Characteristics'!$C$21:$Q$28,11,FALSE)*$J24</f>
        <v>71.010074862779106</v>
      </c>
      <c r="M24" s="706">
        <f t="shared" si="9"/>
        <v>16.989925137220894</v>
      </c>
      <c r="N24" s="706">
        <f>IF($C24="other",(1-$C$7)*L24,(1-(VLOOKUP($C24,'S3 - Screening Tool Metrics'!$C$3:$G$17,5,FALSE)/100))*L24)</f>
        <v>48.286850906689786</v>
      </c>
      <c r="O24" s="706">
        <f>IF($C24="other",$C$7*L24,(VLOOKUP($C24,'S3 - Screening Tool Metrics'!$C$3:$G$17,5,FALSE)/100)*L24)</f>
        <v>22.723223956089313</v>
      </c>
      <c r="P24" s="706">
        <f t="shared" si="10"/>
        <v>25.821845404646947</v>
      </c>
      <c r="Q24" s="707">
        <f t="shared" ref="Q24:Q38" si="19">$G24*Q$3</f>
        <v>404276.93333333335</v>
      </c>
      <c r="R24" s="706">
        <f>VLOOKUP("*"&amp;$B24&amp;"*",'S4 - Summ PRS Characteristics'!$C$21:$Q$28,12,FALSE)*$J24</f>
        <v>44.878536544892533</v>
      </c>
      <c r="S24" s="706">
        <f>$J24-R24</f>
        <v>43.121463455107467</v>
      </c>
      <c r="T24" s="706">
        <f>IF($C24="other",(1-$C23)*R24,(1-(VLOOKUP($C24,'S3 - Screening Tool Metrics'!$C$3:$G$17,5,FALSE)/100))*R24)</f>
        <v>30.517404850526919</v>
      </c>
      <c r="U24" s="706">
        <f>IF($C24="other",$C23*R24,(VLOOKUP($C24,'S3 - Screening Tool Metrics'!$C$3:$G$17,5,FALSE)/100)*R24)</f>
        <v>14.361131694365611</v>
      </c>
      <c r="V24" s="708">
        <f t="shared" ref="V24:V38" si="20">U24/J24*100</f>
        <v>16.319467834506376</v>
      </c>
      <c r="W24" s="707">
        <f t="shared" ref="W24:W38" si="21">$G24*W$3</f>
        <v>202138.46666666667</v>
      </c>
      <c r="X24" s="706">
        <f>VLOOKUP("*"&amp;$B24&amp;"*",'S4 - Summ PRS Characteristics'!$C$21:$Q$28,13,FALSE)*$J24</f>
        <v>29.841364253551102</v>
      </c>
      <c r="Y24" s="706">
        <f>$J24-X24</f>
        <v>58.158635746448894</v>
      </c>
      <c r="Z24" s="706">
        <f>IF($C24="other",(1-$C23)*X24,(1-(VLOOKUP($C24,'S3 - Screening Tool Metrics'!$C$3:$G$17,5,FALSE)/100))*X24)</f>
        <v>20.292127692414748</v>
      </c>
      <c r="AA24" s="706">
        <f>IF($C24="other",$C23*X24,(VLOOKUP($C24,'S3 - Screening Tool Metrics'!$C$3:$G$17,5,FALSE)/100)*X24)</f>
        <v>9.5492365611363521</v>
      </c>
      <c r="AB24" s="708">
        <f t="shared" ref="AB24:AB38" si="22">$AA24/$J24*100</f>
        <v>10.851405183109492</v>
      </c>
      <c r="AC24" s="707">
        <f t="shared" ref="AC24:AC38" si="23">$G24*AC$3</f>
        <v>101069.23333333334</v>
      </c>
      <c r="AD24" s="706">
        <f>VLOOKUP("*"&amp;$B24&amp;"*",'S4 - Summ PRS Characteristics'!$C$21:$Q$28,14,FALSE)*$J24</f>
        <v>19.203714696117352</v>
      </c>
      <c r="AE24" s="706">
        <f>$J24-AD24</f>
        <v>68.796285303882655</v>
      </c>
      <c r="AF24" s="706">
        <f>IF($C24="other",(1-$C23)*AD24,(1-(VLOOKUP($C24,'S3 - Screening Tool Metrics'!$C$3:$G$17,5,FALSE)/100))*AD24)</f>
        <v>13.058525993359797</v>
      </c>
      <c r="AG24" s="706">
        <f>IF($C24="other",$C23*AD24,(VLOOKUP($C24,'S3 - Screening Tool Metrics'!$C$3:$G$17,5,FALSE)/100)*AD24)</f>
        <v>6.1451887027575527</v>
      </c>
      <c r="AH24" s="708">
        <f t="shared" ref="AH24:AH38" si="24">$AG24/$J24*100</f>
        <v>6.98316898040631</v>
      </c>
      <c r="AI24" s="707">
        <f t="shared" ref="AI24:AI38" si="25">$G24*AI$3</f>
        <v>20213.846666666668</v>
      </c>
      <c r="AJ24" s="706">
        <f>VLOOKUP("*"&amp;$B24&amp;"*",'S4 - Summ PRS Characteristics'!$C$21:$Q$28,15,FALSE)*$J24</f>
        <v>6.3523987285674259</v>
      </c>
      <c r="AK24" s="706">
        <f>$J24-AJ24</f>
        <v>81.647601271432578</v>
      </c>
      <c r="AL24" s="706">
        <f>IF($C24="other",(1-$C23)*AJ24,(1-(VLOOKUP($C24,'S3 - Screening Tool Metrics'!$C$3:$G$17,5,FALSE)/100))*AJ24)</f>
        <v>4.3196311354258494</v>
      </c>
      <c r="AM24" s="706">
        <f>IF($C24="other",$C23*AJ24,(VLOOKUP($C24,'S3 - Screening Tool Metrics'!$C$3:$G$17,5,FALSE)/100)*AJ24)</f>
        <v>2.0327675931415765</v>
      </c>
      <c r="AN24" s="709">
        <f t="shared" ref="AN24:AN38" si="26">$AM24/$J24*100</f>
        <v>2.3099631740245186</v>
      </c>
    </row>
    <row r="25" spans="2:40" x14ac:dyDescent="0.15">
      <c r="B25" s="700" t="s">
        <v>10</v>
      </c>
      <c r="C25" s="721" t="str">
        <f>$C24</f>
        <v>PSA_3ng/mL cut-off</v>
      </c>
      <c r="D25" s="552" t="s">
        <v>193</v>
      </c>
      <c r="E25" s="710">
        <f>VLOOKUP($B25&amp;"_"&amp;$D25,'App5 - CRUK Inci Rates'!C:H,6,FALSE)</f>
        <v>20.5</v>
      </c>
      <c r="F25" s="711">
        <f>VLOOKUP($B25&amp;"_"&amp;$D25,'App5 - CRUK Inci Rates'!C:H,3,FALSE)</f>
        <v>0</v>
      </c>
      <c r="G25" s="712">
        <f>VLOOKUP($B25&amp;"_"&amp;$D25,'App5 - CRUK Inci Rates'!C:J,8,FALSE)</f>
        <v>2251680</v>
      </c>
      <c r="H25" s="713">
        <f>VLOOKUP($B25&amp;"_"&amp;$D25,'App5 - CRUK Inci Rates'!C:J,7,FALSE)</f>
        <v>2251680</v>
      </c>
      <c r="I25" s="713">
        <f>VLOOKUP($B25&amp;"_"&amp;$D25,'App5 - CRUK Inci Rates'!C:J,4,FALSE)</f>
        <v>0</v>
      </c>
      <c r="J25" s="709">
        <f>VLOOKUP($B25&amp;"_"&amp;$D25,'App5 - CRUK Inci Rates'!C:K,9,FALSE)</f>
        <v>461</v>
      </c>
      <c r="K25" s="706">
        <f t="shared" si="8"/>
        <v>1125840</v>
      </c>
      <c r="L25" s="706">
        <f>VLOOKUP("*"&amp;$B25&amp;"*",'S4 - Summ PRS Characteristics'!$C$21:$Q$28,11,FALSE)*$J25</f>
        <v>371.99596036069505</v>
      </c>
      <c r="M25" s="706">
        <f t="shared" si="9"/>
        <v>89.004039639304949</v>
      </c>
      <c r="N25" s="706">
        <f>IF($C25="other",(1-$C$7)*L25,(1-(VLOOKUP($C25,'S3 - Screening Tool Metrics'!$C$3:$G$17,5,FALSE)/100))*L25)</f>
        <v>252.95725304527261</v>
      </c>
      <c r="O25" s="706">
        <f>IF($C25="other",$C$7*L25,(VLOOKUP($C25,'S3 - Screening Tool Metrics'!$C$3:$G$17,5,FALSE)/100)*L25)</f>
        <v>119.03870731542241</v>
      </c>
      <c r="P25" s="706">
        <f t="shared" si="10"/>
        <v>25.821845404646943</v>
      </c>
      <c r="Q25" s="707">
        <f t="shared" si="19"/>
        <v>450336</v>
      </c>
      <c r="R25" s="706">
        <f>VLOOKUP("*"&amp;$B25&amp;"*",'S4 - Summ PRS Characteristics'!$C$21:$Q$28,12,FALSE)*$J25</f>
        <v>235.10233349085749</v>
      </c>
      <c r="S25" s="706">
        <f t="shared" ref="S25:S38" si="27">$J25-R25</f>
        <v>225.89766650914251</v>
      </c>
      <c r="T25" s="706">
        <f>IF($C25="other",(1-$C23)*R25,(1-(VLOOKUP($C25,'S3 - Screening Tool Metrics'!$C$3:$G$17,5,FALSE)/100))*R25)</f>
        <v>159.86958677378308</v>
      </c>
      <c r="U25" s="706">
        <f>IF($C25="other",$C23*R25,(VLOOKUP($C25,'S3 - Screening Tool Metrics'!$C$3:$G$17,5,FALSE)/100)*R25)</f>
        <v>75.232746717074392</v>
      </c>
      <c r="V25" s="708">
        <f t="shared" si="20"/>
        <v>16.319467834506376</v>
      </c>
      <c r="W25" s="707">
        <f t="shared" si="21"/>
        <v>225168</v>
      </c>
      <c r="X25" s="706">
        <f>VLOOKUP("*"&amp;$B25&amp;"*",'S4 - Summ PRS Characteristics'!$C$21:$Q$28,13,FALSE)*$J25</f>
        <v>156.32805591917111</v>
      </c>
      <c r="Y25" s="706">
        <f t="shared" ref="Y25:Y38" si="28">$J25-X25</f>
        <v>304.67194408082889</v>
      </c>
      <c r="Z25" s="706">
        <f>IF($C25="other",(1-$C23)*X25,(1-(VLOOKUP($C25,'S3 - Screening Tool Metrics'!$C$3:$G$17,5,FALSE)/100))*X25)</f>
        <v>106.30307802503634</v>
      </c>
      <c r="AA25" s="706">
        <f>IF($C25="other",$C23*X25,(VLOOKUP($C25,'S3 - Screening Tool Metrics'!$C$3:$G$17,5,FALSE)/100)*X25)</f>
        <v>50.024977894134757</v>
      </c>
      <c r="AB25" s="708">
        <f t="shared" si="22"/>
        <v>10.851405183109492</v>
      </c>
      <c r="AC25" s="707">
        <f t="shared" si="23"/>
        <v>112584</v>
      </c>
      <c r="AD25" s="706">
        <f>VLOOKUP("*"&amp;$B25&amp;"*",'S4 - Summ PRS Characteristics'!$C$21:$Q$28,14,FALSE)*$J25</f>
        <v>100.6012781239784</v>
      </c>
      <c r="AE25" s="706">
        <f>$J25-AD25</f>
        <v>360.39872187602157</v>
      </c>
      <c r="AF25" s="706">
        <f>IF($C25="other",(1-$C23)*AD25,(1-(VLOOKUP($C25,'S3 - Screening Tool Metrics'!$C$3:$G$17,5,FALSE)/100))*AD25)</f>
        <v>68.408869124305312</v>
      </c>
      <c r="AG25" s="706">
        <f>IF($C25="other",$C23*AD25,(VLOOKUP($C25,'S3 - Screening Tool Metrics'!$C$3:$G$17,5,FALSE)/100)*AD25)</f>
        <v>32.192408999673091</v>
      </c>
      <c r="AH25" s="708">
        <f t="shared" si="24"/>
        <v>6.9831689804063108</v>
      </c>
      <c r="AI25" s="707">
        <f t="shared" si="25"/>
        <v>22516.799999999999</v>
      </c>
      <c r="AJ25" s="706">
        <f>VLOOKUP("*"&amp;$B25&amp;"*",'S4 - Summ PRS Characteristics'!$C$21:$Q$28,15,FALSE)*$J25</f>
        <v>33.277906975790721</v>
      </c>
      <c r="AK25" s="706">
        <f t="shared" ref="AK25:AK38" si="29">$J25-AJ25</f>
        <v>427.7220930242093</v>
      </c>
      <c r="AL25" s="706">
        <f>IF($C25="other",(1-$C23)*AJ25,(1-(VLOOKUP($C25,'S3 - Screening Tool Metrics'!$C$3:$G$17,5,FALSE)/100))*AJ25)</f>
        <v>22.628976743537688</v>
      </c>
      <c r="AM25" s="706">
        <f>IF($C25="other",$C23*AJ25,(VLOOKUP($C25,'S3 - Screening Tool Metrics'!$C$3:$G$17,5,FALSE)/100)*AJ25)</f>
        <v>10.648930232253031</v>
      </c>
      <c r="AN25" s="709">
        <f t="shared" si="26"/>
        <v>2.3099631740245186</v>
      </c>
    </row>
    <row r="26" spans="2:40" x14ac:dyDescent="0.15">
      <c r="B26" s="700" t="s">
        <v>10</v>
      </c>
      <c r="C26" s="721" t="str">
        <f>$C24</f>
        <v>PSA_3ng/mL cut-off</v>
      </c>
      <c r="D26" s="552" t="s">
        <v>194</v>
      </c>
      <c r="E26" s="710">
        <f>VLOOKUP($B26&amp;"_"&amp;$D26,'App5 - CRUK Inci Rates'!C:H,6,FALSE)</f>
        <v>75.7</v>
      </c>
      <c r="F26" s="711">
        <f>VLOOKUP($B26&amp;"_"&amp;$D26,'App5 - CRUK Inci Rates'!C:H,3,FALSE)</f>
        <v>0</v>
      </c>
      <c r="G26" s="712">
        <f>VLOOKUP($B26&amp;"_"&amp;$D26,'App5 - CRUK Inci Rates'!C:J,8,FALSE)</f>
        <v>2293472.6666666665</v>
      </c>
      <c r="H26" s="713">
        <f>VLOOKUP($B26&amp;"_"&amp;$D26,'App5 - CRUK Inci Rates'!C:J,7,FALSE)</f>
        <v>2293472.6666666665</v>
      </c>
      <c r="I26" s="713">
        <f>VLOOKUP($B26&amp;"_"&amp;$D26,'App5 - CRUK Inci Rates'!C:J,4,FALSE)</f>
        <v>0</v>
      </c>
      <c r="J26" s="709">
        <f>VLOOKUP($B26&amp;"_"&amp;$D26,'App5 - CRUK Inci Rates'!C:K,9,FALSE)</f>
        <v>1737</v>
      </c>
      <c r="K26" s="706">
        <f t="shared" si="8"/>
        <v>1146736.3333333333</v>
      </c>
      <c r="L26" s="706">
        <f>VLOOKUP("*"&amp;$B26&amp;"*",'S4 - Summ PRS Characteristics'!$C$21:$Q$28,11,FALSE)*$J26</f>
        <v>1401.642045870992</v>
      </c>
      <c r="M26" s="706">
        <f t="shared" si="9"/>
        <v>335.35795412900802</v>
      </c>
      <c r="N26" s="706">
        <f>IF($C26="other",(1-$C$7)*L26,(1-(VLOOKUP($C26,'S3 - Screening Tool Metrics'!$C$3:$G$17,5,FALSE)/100))*L26)</f>
        <v>953.11659119227443</v>
      </c>
      <c r="O26" s="706">
        <f>IF($C26="other",$C$7*L26,(VLOOKUP($C26,'S3 - Screening Tool Metrics'!$C$3:$G$17,5,FALSE)/100)*L26)</f>
        <v>448.52545467871744</v>
      </c>
      <c r="P26" s="706">
        <f t="shared" si="10"/>
        <v>25.821845404646943</v>
      </c>
      <c r="Q26" s="707">
        <f t="shared" si="19"/>
        <v>458694.53333333333</v>
      </c>
      <c r="R26" s="706">
        <f>VLOOKUP("*"&amp;$B26&amp;"*",'S4 - Summ PRS Characteristics'!$C$21:$Q$28,12,FALSE)*$J26</f>
        <v>885.84111339179924</v>
      </c>
      <c r="S26" s="706">
        <f t="shared" si="27"/>
        <v>851.15888660820076</v>
      </c>
      <c r="T26" s="706">
        <f>IF($C26="other",(1-$C23)*R26,(1-(VLOOKUP($C26,'S3 - Screening Tool Metrics'!$C$3:$G$17,5,FALSE)/100))*R26)</f>
        <v>602.37195710642345</v>
      </c>
      <c r="U26" s="706">
        <f>IF($C26="other",$C23*R26,(VLOOKUP($C26,'S3 - Screening Tool Metrics'!$C$3:$G$17,5,FALSE)/100)*R26)</f>
        <v>283.46915628537579</v>
      </c>
      <c r="V26" s="708">
        <f t="shared" si="20"/>
        <v>16.31946783450638</v>
      </c>
      <c r="W26" s="707">
        <f t="shared" si="21"/>
        <v>229347.26666666666</v>
      </c>
      <c r="X26" s="706">
        <f>VLOOKUP("*"&amp;$B26&amp;"*",'S4 - Summ PRS Characteristics'!$C$21:$Q$28,13,FALSE)*$J26</f>
        <v>589.02783759566205</v>
      </c>
      <c r="Y26" s="706">
        <f t="shared" si="28"/>
        <v>1147.972162404338</v>
      </c>
      <c r="Z26" s="706">
        <f>IF($C26="other",(1-$C23)*X26,(1-(VLOOKUP($C26,'S3 - Screening Tool Metrics'!$C$3:$G$17,5,FALSE)/100))*X26)</f>
        <v>400.53892956505018</v>
      </c>
      <c r="AA26" s="706">
        <f>IF($C26="other",$C23*X26,(VLOOKUP($C26,'S3 - Screening Tool Metrics'!$C$3:$G$17,5,FALSE)/100)*X26)</f>
        <v>188.48890803061187</v>
      </c>
      <c r="AB26" s="708">
        <f t="shared" si="22"/>
        <v>10.851405183109492</v>
      </c>
      <c r="AC26" s="707">
        <f t="shared" si="23"/>
        <v>114673.63333333333</v>
      </c>
      <c r="AD26" s="706">
        <f>VLOOKUP("*"&amp;$B26&amp;"*",'S4 - Summ PRS Characteristics'!$C$21:$Q$28,14,FALSE)*$J26</f>
        <v>379.05514121767999</v>
      </c>
      <c r="AE26" s="706">
        <f t="shared" ref="AE26:AE38" si="30">$J26-AD26</f>
        <v>1357.9448587823199</v>
      </c>
      <c r="AF26" s="706">
        <f>IF($C26="other",(1-$C23)*AD26,(1-(VLOOKUP($C26,'S3 - Screening Tool Metrics'!$C$3:$G$17,5,FALSE)/100))*AD26)</f>
        <v>257.75749602802239</v>
      </c>
      <c r="AG26" s="706">
        <f>IF($C26="other",$C23*AD26,(VLOOKUP($C26,'S3 - Screening Tool Metrics'!$C$3:$G$17,5,FALSE)/100)*AD26)</f>
        <v>121.2976451896576</v>
      </c>
      <c r="AH26" s="708">
        <f t="shared" si="24"/>
        <v>6.98316898040631</v>
      </c>
      <c r="AI26" s="707">
        <f t="shared" si="25"/>
        <v>22934.726666666666</v>
      </c>
      <c r="AJ26" s="706">
        <f>VLOOKUP("*"&amp;$B26&amp;"*",'S4 - Summ PRS Characteristics'!$C$21:$Q$28,15,FALSE)*$J26</f>
        <v>125.3876885400184</v>
      </c>
      <c r="AK26" s="706">
        <f t="shared" si="29"/>
        <v>1611.6123114599816</v>
      </c>
      <c r="AL26" s="706">
        <f>IF($C26="other",(1-$C23)*AJ26,(1-(VLOOKUP($C26,'S3 - Screening Tool Metrics'!$C$3:$G$17,5,FALSE)/100))*AJ26)</f>
        <v>85.263628207212506</v>
      </c>
      <c r="AM26" s="706">
        <f>IF($C26="other",$C23*AJ26,(VLOOKUP($C26,'S3 - Screening Tool Metrics'!$C$3:$G$17,5,FALSE)/100)*AJ26)</f>
        <v>40.12406033280589</v>
      </c>
      <c r="AN26" s="709">
        <f t="shared" si="26"/>
        <v>2.3099631740245186</v>
      </c>
    </row>
    <row r="27" spans="2:40" x14ac:dyDescent="0.15">
      <c r="B27" s="700" t="s">
        <v>10</v>
      </c>
      <c r="C27" s="721" t="str">
        <f>$C24</f>
        <v>PSA_3ng/mL cut-off</v>
      </c>
      <c r="D27" s="552" t="s">
        <v>195</v>
      </c>
      <c r="E27" s="710">
        <f>VLOOKUP($B27&amp;"_"&amp;$D27,'App5 - CRUK Inci Rates'!C:H,6,FALSE)</f>
        <v>201.8</v>
      </c>
      <c r="F27" s="711">
        <f>VLOOKUP($B27&amp;"_"&amp;$D27,'App5 - CRUK Inci Rates'!C:H,3,FALSE)</f>
        <v>0</v>
      </c>
      <c r="G27" s="712">
        <f>VLOOKUP($B27&amp;"_"&amp;$D27,'App5 - CRUK Inci Rates'!C:J,8,FALSE)</f>
        <v>2061918.6666666667</v>
      </c>
      <c r="H27" s="713">
        <f>VLOOKUP($B27&amp;"_"&amp;$D27,'App5 - CRUK Inci Rates'!C:J,7,FALSE)</f>
        <v>2061918.6666666667</v>
      </c>
      <c r="I27" s="713">
        <f>VLOOKUP($B27&amp;"_"&amp;$D27,'App5 - CRUK Inci Rates'!C:J,4,FALSE)</f>
        <v>0</v>
      </c>
      <c r="J27" s="709">
        <f>VLOOKUP($B27&amp;"_"&amp;$D27,'App5 - CRUK Inci Rates'!C:K,9,FALSE)</f>
        <v>4160</v>
      </c>
      <c r="K27" s="706">
        <f t="shared" si="8"/>
        <v>1030959.3333333334</v>
      </c>
      <c r="L27" s="706">
        <f>VLOOKUP("*"&amp;$B27&amp;"*",'S4 - Summ PRS Characteristics'!$C$21:$Q$28,11,FALSE)*$J27</f>
        <v>3356.8399026041029</v>
      </c>
      <c r="M27" s="706">
        <f t="shared" si="9"/>
        <v>803.16009739589708</v>
      </c>
      <c r="N27" s="706">
        <f>IF($C27="other",(1-$C$7)*L27,(1-(VLOOKUP($C27,'S3 - Screening Tool Metrics'!$C$3:$G$17,5,FALSE)/100))*L27)</f>
        <v>2282.6511337707898</v>
      </c>
      <c r="O27" s="706">
        <f>IF($C27="other",$C$7*L27,(VLOOKUP($C27,'S3 - Screening Tool Metrics'!$C$3:$G$17,5,FALSE)/100)*L27)</f>
        <v>1074.1887688333129</v>
      </c>
      <c r="P27" s="706">
        <f t="shared" si="10"/>
        <v>25.821845404646943</v>
      </c>
      <c r="Q27" s="707">
        <f t="shared" si="19"/>
        <v>412383.7333333334</v>
      </c>
      <c r="R27" s="706">
        <f>VLOOKUP("*"&amp;$B27&amp;"*",'S4 - Summ PRS Characteristics'!$C$21:$Q$28,12,FALSE)*$J27</f>
        <v>2121.5308184858291</v>
      </c>
      <c r="S27" s="706">
        <f t="shared" si="27"/>
        <v>2038.4691815141709</v>
      </c>
      <c r="T27" s="706">
        <f>IF($C27="other",(1-$C23)*R27,(1-(VLOOKUP($C27,'S3 - Screening Tool Metrics'!$C$3:$G$17,5,FALSE)/100))*R27)</f>
        <v>1442.6409565703636</v>
      </c>
      <c r="U27" s="706">
        <f>IF($C27="other",$C23*R27,(VLOOKUP($C27,'S3 - Screening Tool Metrics'!$C$3:$G$17,5,FALSE)/100)*R27)</f>
        <v>678.8898619154653</v>
      </c>
      <c r="V27" s="708">
        <f t="shared" si="20"/>
        <v>16.319467834506376</v>
      </c>
      <c r="W27" s="707">
        <f t="shared" si="21"/>
        <v>206191.8666666667</v>
      </c>
      <c r="X27" s="706">
        <f>VLOOKUP("*"&amp;$B27&amp;"*",'S4 - Summ PRS Characteristics'!$C$21:$Q$28,13,FALSE)*$J27</f>
        <v>1410.6826738042339</v>
      </c>
      <c r="Y27" s="706">
        <f t="shared" si="28"/>
        <v>2749.3173261957663</v>
      </c>
      <c r="Z27" s="706">
        <f>IF($C27="other",(1-$C23)*X27,(1-(VLOOKUP($C27,'S3 - Screening Tool Metrics'!$C$3:$G$17,5,FALSE)/100))*X27)</f>
        <v>959.26421818687902</v>
      </c>
      <c r="AA27" s="706">
        <f>IF($C27="other",$C23*X27,(VLOOKUP($C27,'S3 - Screening Tool Metrics'!$C$3:$G$17,5,FALSE)/100)*X27)</f>
        <v>451.41845561735488</v>
      </c>
      <c r="AB27" s="708">
        <f t="shared" si="22"/>
        <v>10.851405183109494</v>
      </c>
      <c r="AC27" s="707">
        <f t="shared" si="23"/>
        <v>103095.93333333335</v>
      </c>
      <c r="AD27" s="706">
        <f>VLOOKUP("*"&amp;$B27&amp;"*",'S4 - Summ PRS Characteristics'!$C$21:$Q$28,14,FALSE)*$J27</f>
        <v>907.81196745282034</v>
      </c>
      <c r="AE27" s="706">
        <f t="shared" si="30"/>
        <v>3252.1880325471798</v>
      </c>
      <c r="AF27" s="706">
        <f>IF($C27="other",(1-$C23)*AD27,(1-(VLOOKUP($C27,'S3 - Screening Tool Metrics'!$C$3:$G$17,5,FALSE)/100))*AD27)</f>
        <v>617.31213786791773</v>
      </c>
      <c r="AG27" s="706">
        <f>IF($C27="other",$C23*AD27,(VLOOKUP($C27,'S3 - Screening Tool Metrics'!$C$3:$G$17,5,FALSE)/100)*AD27)</f>
        <v>290.4998295849025</v>
      </c>
      <c r="AH27" s="708">
        <f t="shared" si="24"/>
        <v>6.98316898040631</v>
      </c>
      <c r="AI27" s="707">
        <f t="shared" si="25"/>
        <v>20619.186666666668</v>
      </c>
      <c r="AJ27" s="706">
        <f>VLOOKUP("*"&amp;$B27&amp;"*",'S4 - Summ PRS Characteristics'!$C$21:$Q$28,15,FALSE)*$J27</f>
        <v>300.29521262318741</v>
      </c>
      <c r="AK27" s="706">
        <f t="shared" si="29"/>
        <v>3859.7047873768124</v>
      </c>
      <c r="AL27" s="706">
        <f>IF($C27="other",(1-$C23)*AJ27,(1-(VLOOKUP($C27,'S3 - Screening Tool Metrics'!$C$3:$G$17,5,FALSE)/100))*AJ27)</f>
        <v>204.20074458376743</v>
      </c>
      <c r="AM27" s="706">
        <f>IF($C27="other",$C23*AJ27,(VLOOKUP($C27,'S3 - Screening Tool Metrics'!$C$3:$G$17,5,FALSE)/100)*AJ27)</f>
        <v>96.094468039419979</v>
      </c>
      <c r="AN27" s="709">
        <f t="shared" si="26"/>
        <v>2.3099631740245186</v>
      </c>
    </row>
    <row r="28" spans="2:40" x14ac:dyDescent="0.15">
      <c r="B28" s="700" t="s">
        <v>10</v>
      </c>
      <c r="C28" s="721" t="str">
        <f>$C24</f>
        <v>PSA_3ng/mL cut-off</v>
      </c>
      <c r="D28" s="552" t="s">
        <v>196</v>
      </c>
      <c r="E28" s="710">
        <f>VLOOKUP($B28&amp;"_"&amp;$D28,'App5 - CRUK Inci Rates'!C:H,6,FALSE)</f>
        <v>356.1</v>
      </c>
      <c r="F28" s="711">
        <f>VLOOKUP($B28&amp;"_"&amp;$D28,'App5 - CRUK Inci Rates'!C:H,3,FALSE)</f>
        <v>0</v>
      </c>
      <c r="G28" s="712">
        <f>VLOOKUP($B28&amp;"_"&amp;$D28,'App5 - CRUK Inci Rates'!C:J,8,FALSE)</f>
        <v>1764828</v>
      </c>
      <c r="H28" s="713">
        <f>VLOOKUP($B28&amp;"_"&amp;$D28,'App5 - CRUK Inci Rates'!C:J,7,FALSE)</f>
        <v>1764828</v>
      </c>
      <c r="I28" s="713">
        <f>VLOOKUP($B28&amp;"_"&amp;$D28,'App5 - CRUK Inci Rates'!C:J,4,FALSE)</f>
        <v>0</v>
      </c>
      <c r="J28" s="709">
        <f>VLOOKUP($B28&amp;"_"&amp;$D28,'App5 - CRUK Inci Rates'!C:K,9,FALSE)</f>
        <v>6285</v>
      </c>
      <c r="K28" s="706">
        <f t="shared" si="8"/>
        <v>882414</v>
      </c>
      <c r="L28" s="706">
        <f>VLOOKUP("*"&amp;$B28&amp;"*",'S4 - Summ PRS Characteristics'!$C$21:$Q$28,11,FALSE)*$J28</f>
        <v>5071.5718240064398</v>
      </c>
      <c r="M28" s="706">
        <f t="shared" si="9"/>
        <v>1213.4281759935602</v>
      </c>
      <c r="N28" s="706">
        <f>IF($C28="other",(1-$C$7)*L28,(1-(VLOOKUP($C28,'S3 - Screening Tool Metrics'!$C$3:$G$17,5,FALSE)/100))*L28)</f>
        <v>3448.6688403243788</v>
      </c>
      <c r="O28" s="706">
        <f>IF($C28="other",$C$7*L28,(VLOOKUP($C28,'S3 - Screening Tool Metrics'!$C$3:$G$17,5,FALSE)/100)*L28)</f>
        <v>1622.9029836820607</v>
      </c>
      <c r="P28" s="706">
        <f t="shared" si="10"/>
        <v>25.821845404646947</v>
      </c>
      <c r="Q28" s="707">
        <f t="shared" si="19"/>
        <v>352965.60000000003</v>
      </c>
      <c r="R28" s="706">
        <f>VLOOKUP("*"&amp;$B28&amp;"*",'S4 - Summ PRS Characteristics'!$C$21:$Q$28,12,FALSE)*$J28</f>
        <v>3205.2454793710181</v>
      </c>
      <c r="S28" s="706">
        <f t="shared" si="27"/>
        <v>3079.7545206289819</v>
      </c>
      <c r="T28" s="706">
        <f>IF($C28="other",(1-$C23)*R28,(1-(VLOOKUP($C28,'S3 - Screening Tool Metrics'!$C$3:$G$17,5,FALSE)/100))*R28)</f>
        <v>2179.5669259722922</v>
      </c>
      <c r="U28" s="706">
        <f>IF($C28="other",$C23*R28,(VLOOKUP($C28,'S3 - Screening Tool Metrics'!$C$3:$G$17,5,FALSE)/100)*R28)</f>
        <v>1025.6785533987259</v>
      </c>
      <c r="V28" s="708">
        <f t="shared" si="20"/>
        <v>16.31946783450638</v>
      </c>
      <c r="W28" s="707">
        <f t="shared" si="21"/>
        <v>176482.80000000002</v>
      </c>
      <c r="X28" s="706">
        <f>VLOOKUP("*"&amp;$B28&amp;"*",'S4 - Summ PRS Characteristics'!$C$21:$Q$28,13,FALSE)*$J28</f>
        <v>2131.2837992450986</v>
      </c>
      <c r="Y28" s="706">
        <f t="shared" si="28"/>
        <v>4153.7162007549014</v>
      </c>
      <c r="Z28" s="706">
        <f>IF($C28="other",(1-$C23)*X28,(1-(VLOOKUP($C28,'S3 - Screening Tool Metrics'!$C$3:$G$17,5,FALSE)/100))*X28)</f>
        <v>1449.272983486667</v>
      </c>
      <c r="AA28" s="706">
        <f>IF($C28="other",$C23*X28,(VLOOKUP($C28,'S3 - Screening Tool Metrics'!$C$3:$G$17,5,FALSE)/100)*X28)</f>
        <v>682.01081575843159</v>
      </c>
      <c r="AB28" s="708">
        <f t="shared" si="22"/>
        <v>10.851405183109494</v>
      </c>
      <c r="AC28" s="707">
        <f t="shared" si="23"/>
        <v>88241.400000000009</v>
      </c>
      <c r="AD28" s="706">
        <f>VLOOKUP("*"&amp;$B28&amp;"*",'S4 - Summ PRS Characteristics'!$C$21:$Q$28,14,FALSE)*$J28</f>
        <v>1371.5380325579267</v>
      </c>
      <c r="AE28" s="706">
        <f t="shared" si="30"/>
        <v>4913.4619674420737</v>
      </c>
      <c r="AF28" s="706">
        <f>IF($C28="other",(1-$C23)*AD28,(1-(VLOOKUP($C28,'S3 - Screening Tool Metrics'!$C$3:$G$17,5,FALSE)/100))*AD28)</f>
        <v>932.64586213939003</v>
      </c>
      <c r="AG28" s="706">
        <f>IF($C28="other",$C23*AD28,(VLOOKUP($C28,'S3 - Screening Tool Metrics'!$C$3:$G$17,5,FALSE)/100)*AD28)</f>
        <v>438.89217041853658</v>
      </c>
      <c r="AH28" s="708">
        <f t="shared" si="24"/>
        <v>6.98316898040631</v>
      </c>
      <c r="AI28" s="707">
        <f t="shared" si="25"/>
        <v>17648.28</v>
      </c>
      <c r="AJ28" s="706">
        <f>VLOOKUP("*"&amp;$B28&amp;"*",'S4 - Summ PRS Characteristics'!$C$21:$Q$28,15,FALSE)*$J28</f>
        <v>453.69120464825312</v>
      </c>
      <c r="AK28" s="706">
        <f t="shared" si="29"/>
        <v>5831.308795351747</v>
      </c>
      <c r="AL28" s="706">
        <f>IF($C28="other",(1-$C23)*AJ28,(1-(VLOOKUP($C28,'S3 - Screening Tool Metrics'!$C$3:$G$17,5,FALSE)/100))*AJ28)</f>
        <v>308.51001916081208</v>
      </c>
      <c r="AM28" s="706">
        <f>IF($C28="other",$C23*AJ28,(VLOOKUP($C28,'S3 - Screening Tool Metrics'!$C$3:$G$17,5,FALSE)/100)*AJ28)</f>
        <v>145.18118548744101</v>
      </c>
      <c r="AN28" s="709">
        <f t="shared" si="26"/>
        <v>2.309963174024519</v>
      </c>
    </row>
    <row r="29" spans="2:40" x14ac:dyDescent="0.15">
      <c r="B29" s="700" t="s">
        <v>10</v>
      </c>
      <c r="C29" s="721" t="str">
        <f>$C24</f>
        <v>PSA_3ng/mL cut-off</v>
      </c>
      <c r="D29" s="552" t="s">
        <v>197</v>
      </c>
      <c r="E29" s="710">
        <f>VLOOKUP($B29&amp;"_"&amp;$D29,'App5 - CRUK Inci Rates'!C:H,6,FALSE)</f>
        <v>622.70000000000005</v>
      </c>
      <c r="F29" s="711">
        <f>VLOOKUP($B29&amp;"_"&amp;$D29,'App5 - CRUK Inci Rates'!C:H,3,FALSE)</f>
        <v>0</v>
      </c>
      <c r="G29" s="712">
        <f>VLOOKUP($B29&amp;"_"&amp;$D29,'App5 - CRUK Inci Rates'!C:J,8,FALSE)</f>
        <v>1696993.3333333333</v>
      </c>
      <c r="H29" s="713">
        <f>VLOOKUP($B29&amp;"_"&amp;$D29,'App5 - CRUK Inci Rates'!C:J,7,FALSE)</f>
        <v>1696993.3333333333</v>
      </c>
      <c r="I29" s="713">
        <f>VLOOKUP($B29&amp;"_"&amp;$D29,'App5 - CRUK Inci Rates'!C:J,4,FALSE)</f>
        <v>0</v>
      </c>
      <c r="J29" s="709">
        <f>VLOOKUP($B29&amp;"_"&amp;$D29,'App5 - CRUK Inci Rates'!C:K,9,FALSE)</f>
        <v>10568</v>
      </c>
      <c r="K29" s="706">
        <f t="shared" si="8"/>
        <v>848496.66666666663</v>
      </c>
      <c r="L29" s="706">
        <f>VLOOKUP("*"&amp;$B29&amp;"*",'S4 - Summ PRS Characteristics'!$C$21:$Q$28,11,FALSE)*$J29</f>
        <v>8527.6644448846546</v>
      </c>
      <c r="M29" s="706">
        <f t="shared" si="9"/>
        <v>2040.3355551153454</v>
      </c>
      <c r="N29" s="706">
        <f>IF($C29="other",(1-$C$7)*L29,(1-(VLOOKUP($C29,'S3 - Screening Tool Metrics'!$C$3:$G$17,5,FALSE)/100))*L29)</f>
        <v>5798.8118225215649</v>
      </c>
      <c r="O29" s="706">
        <f>IF($C29="other",$C$7*L29,(VLOOKUP($C29,'S3 - Screening Tool Metrics'!$C$3:$G$17,5,FALSE)/100)*L29)</f>
        <v>2728.8526223630897</v>
      </c>
      <c r="P29" s="706">
        <f t="shared" si="10"/>
        <v>25.821845404646947</v>
      </c>
      <c r="Q29" s="707">
        <f t="shared" si="19"/>
        <v>339398.66666666669</v>
      </c>
      <c r="R29" s="706">
        <f>VLOOKUP("*"&amp;$B29&amp;"*",'S4 - Summ PRS Characteristics'!$C$21:$Q$28,12,FALSE)*$J29</f>
        <v>5389.5042523457305</v>
      </c>
      <c r="S29" s="706">
        <f t="shared" si="27"/>
        <v>5178.4957476542695</v>
      </c>
      <c r="T29" s="706">
        <f>IF($C29="other",(1-$C23)*R29,(1-(VLOOKUP($C29,'S3 - Screening Tool Metrics'!$C$3:$G$17,5,FALSE)/100))*R29)</f>
        <v>3664.8628915950962</v>
      </c>
      <c r="U29" s="706">
        <f>IF($C29="other",$C23*R29,(VLOOKUP($C29,'S3 - Screening Tool Metrics'!$C$3:$G$17,5,FALSE)/100)*R29)</f>
        <v>1724.6413607506338</v>
      </c>
      <c r="V29" s="708">
        <f t="shared" si="20"/>
        <v>16.319467834506376</v>
      </c>
      <c r="W29" s="707">
        <f t="shared" si="21"/>
        <v>169699.33333333334</v>
      </c>
      <c r="X29" s="706">
        <f>VLOOKUP("*"&amp;$B29&amp;"*",'S4 - Summ PRS Characteristics'!$C$21:$Q$28,13,FALSE)*$J29</f>
        <v>3583.6765617219098</v>
      </c>
      <c r="Y29" s="706">
        <f t="shared" si="28"/>
        <v>6984.3234382780902</v>
      </c>
      <c r="Z29" s="706">
        <f>IF($C29="other",(1-$C23)*X29,(1-(VLOOKUP($C29,'S3 - Screening Tool Metrics'!$C$3:$G$17,5,FALSE)/100))*X29)</f>
        <v>2436.9000619708986</v>
      </c>
      <c r="AA29" s="706">
        <f>IF($C29="other",$C23*X29,(VLOOKUP($C29,'S3 - Screening Tool Metrics'!$C$3:$G$17,5,FALSE)/100)*X29)</f>
        <v>1146.7764997510112</v>
      </c>
      <c r="AB29" s="708">
        <f t="shared" si="22"/>
        <v>10.851405183109494</v>
      </c>
      <c r="AC29" s="707">
        <f t="shared" si="23"/>
        <v>84849.666666666672</v>
      </c>
      <c r="AD29" s="706">
        <f>VLOOKUP("*"&amp;$B29&amp;"*",'S4 - Summ PRS Characteristics'!$C$21:$Q$28,14,FALSE)*$J29</f>
        <v>2306.191555779184</v>
      </c>
      <c r="AE29" s="706">
        <f t="shared" si="30"/>
        <v>8261.8084442208165</v>
      </c>
      <c r="AF29" s="706">
        <f>IF($C29="other",(1-$C23)*AD29,(1-(VLOOKUP($C29,'S3 - Screening Tool Metrics'!$C$3:$G$17,5,FALSE)/100))*AD29)</f>
        <v>1568.2102579298451</v>
      </c>
      <c r="AG29" s="706">
        <f>IF($C29="other",$C23*AD29,(VLOOKUP($C29,'S3 - Screening Tool Metrics'!$C$3:$G$17,5,FALSE)/100)*AD29)</f>
        <v>737.98129784933894</v>
      </c>
      <c r="AH29" s="708">
        <f t="shared" si="24"/>
        <v>6.9831689804063108</v>
      </c>
      <c r="AI29" s="707">
        <f t="shared" si="25"/>
        <v>16969.933333333334</v>
      </c>
      <c r="AJ29" s="706">
        <f>VLOOKUP("*"&amp;$B29&amp;"*",'S4 - Summ PRS Characteristics'!$C$21:$Q$28,15,FALSE)*$J29</f>
        <v>762.8653382215972</v>
      </c>
      <c r="AK29" s="706">
        <f t="shared" si="29"/>
        <v>9805.134661778402</v>
      </c>
      <c r="AL29" s="706">
        <f>IF($C29="other",(1-$C23)*AJ29,(1-(VLOOKUP($C29,'S3 - Screening Tool Metrics'!$C$3:$G$17,5,FALSE)/100))*AJ29)</f>
        <v>518.74842999068608</v>
      </c>
      <c r="AM29" s="706">
        <f>IF($C29="other",$C23*AJ29,(VLOOKUP($C29,'S3 - Screening Tool Metrics'!$C$3:$G$17,5,FALSE)/100)*AJ29)</f>
        <v>244.11690823091112</v>
      </c>
      <c r="AN29" s="709">
        <f t="shared" si="26"/>
        <v>2.3099631740245186</v>
      </c>
    </row>
    <row r="30" spans="2:40" x14ac:dyDescent="0.15">
      <c r="B30" s="700" t="s">
        <v>10</v>
      </c>
      <c r="C30" s="721" t="str">
        <f>$C24</f>
        <v>PSA_3ng/mL cut-off</v>
      </c>
      <c r="D30" s="552" t="s">
        <v>198</v>
      </c>
      <c r="E30" s="710">
        <f>VLOOKUP($B30&amp;"_"&amp;$D30,'App5 - CRUK Inci Rates'!C:H,6,FALSE)</f>
        <v>759.8</v>
      </c>
      <c r="F30" s="711">
        <f>VLOOKUP($B30&amp;"_"&amp;$D30,'App5 - CRUK Inci Rates'!C:H,3,FALSE)</f>
        <v>0</v>
      </c>
      <c r="G30" s="712">
        <f>VLOOKUP($B30&amp;"_"&amp;$D30,'App5 - CRUK Inci Rates'!C:J,8,FALSE)</f>
        <v>1467965</v>
      </c>
      <c r="H30" s="713">
        <f>VLOOKUP($B30&amp;"_"&amp;$D30,'App5 - CRUK Inci Rates'!C:J,7,FALSE)</f>
        <v>1467965</v>
      </c>
      <c r="I30" s="713">
        <f>VLOOKUP($B30&amp;"_"&amp;$D30,'App5 - CRUK Inci Rates'!C:J,4,FALSE)</f>
        <v>0</v>
      </c>
      <c r="J30" s="709">
        <f>VLOOKUP($B30&amp;"_"&amp;$D30,'App5 - CRUK Inci Rates'!C:K,9,FALSE)</f>
        <v>11153</v>
      </c>
      <c r="K30" s="706">
        <f t="shared" si="8"/>
        <v>733982.5</v>
      </c>
      <c r="L30" s="706">
        <f>VLOOKUP("*"&amp;$B30&amp;"*",'S4 - Summ PRS Characteristics'!$C$21:$Q$28,11,FALSE)*$J30</f>
        <v>8999.7200561883565</v>
      </c>
      <c r="M30" s="706">
        <f t="shared" si="9"/>
        <v>2153.2799438116435</v>
      </c>
      <c r="N30" s="706">
        <f>IF($C30="other",(1-$C$7)*L30,(1-(VLOOKUP($C30,'S3 - Screening Tool Metrics'!$C$3:$G$17,5,FALSE)/100))*L30)</f>
        <v>6119.8096382080821</v>
      </c>
      <c r="O30" s="706">
        <f>IF($C30="other",$C$7*L30,(VLOOKUP($C30,'S3 - Screening Tool Metrics'!$C$3:$G$17,5,FALSE)/100)*L30)</f>
        <v>2879.9104179802739</v>
      </c>
      <c r="P30" s="706">
        <f t="shared" si="10"/>
        <v>25.821845404646947</v>
      </c>
      <c r="Q30" s="707">
        <f t="shared" si="19"/>
        <v>293593</v>
      </c>
      <c r="R30" s="706">
        <f>VLOOKUP("*"&amp;$B30&amp;"*",'S4 - Summ PRS Characteristics'!$C$21:$Q$28,12,FALSE)*$J30</f>
        <v>5687.8445236953003</v>
      </c>
      <c r="S30" s="706">
        <f t="shared" si="27"/>
        <v>5465.1554763046997</v>
      </c>
      <c r="T30" s="706">
        <f>IF($C30="other",(1-$C23)*R30,(1-(VLOOKUP($C30,'S3 - Screening Tool Metrics'!$C$3:$G$17,5,FALSE)/100))*R30)</f>
        <v>3867.7342761128039</v>
      </c>
      <c r="U30" s="706">
        <f>IF($C30="other",$C23*R30,(VLOOKUP($C30,'S3 - Screening Tool Metrics'!$C$3:$G$17,5,FALSE)/100)*R30)</f>
        <v>1820.1102475824962</v>
      </c>
      <c r="V30" s="708">
        <f t="shared" si="20"/>
        <v>16.319467834506376</v>
      </c>
      <c r="W30" s="707">
        <f t="shared" si="21"/>
        <v>146796.5</v>
      </c>
      <c r="X30" s="706">
        <f>VLOOKUP("*"&amp;$B30&amp;"*",'S4 - Summ PRS Characteristics'!$C$21:$Q$28,13,FALSE)*$J30</f>
        <v>3782.05381272563</v>
      </c>
      <c r="Y30" s="706">
        <f t="shared" si="28"/>
        <v>7370.9461872743705</v>
      </c>
      <c r="Z30" s="706">
        <f>IF($C30="other",(1-$C23)*X30,(1-(VLOOKUP($C30,'S3 - Screening Tool Metrics'!$C$3:$G$17,5,FALSE)/100))*X30)</f>
        <v>2571.796592653428</v>
      </c>
      <c r="AA30" s="706">
        <f>IF($C30="other",$C23*X30,(VLOOKUP($C30,'S3 - Screening Tool Metrics'!$C$3:$G$17,5,FALSE)/100)*X30)</f>
        <v>1210.2572200722016</v>
      </c>
      <c r="AB30" s="708">
        <f t="shared" si="22"/>
        <v>10.851405183109492</v>
      </c>
      <c r="AC30" s="707">
        <f t="shared" si="23"/>
        <v>73398.25</v>
      </c>
      <c r="AD30" s="706">
        <f>VLOOKUP("*"&amp;$B30&amp;"*",'S4 - Summ PRS Characteristics'!$C$21:$Q$28,14,FALSE)*$J30</f>
        <v>2433.8526137022368</v>
      </c>
      <c r="AE30" s="706">
        <f t="shared" si="30"/>
        <v>8719.1473862977637</v>
      </c>
      <c r="AF30" s="706">
        <f>IF($C30="other",(1-$C23)*AD30,(1-(VLOOKUP($C30,'S3 - Screening Tool Metrics'!$C$3:$G$17,5,FALSE)/100))*AD30)</f>
        <v>1655.0197773175209</v>
      </c>
      <c r="AG30" s="706">
        <f>IF($C30="other",$C23*AD30,(VLOOKUP($C30,'S3 - Screening Tool Metrics'!$C$3:$G$17,5,FALSE)/100)*AD30)</f>
        <v>778.83283638471585</v>
      </c>
      <c r="AH30" s="708">
        <f t="shared" si="24"/>
        <v>6.9831689804063108</v>
      </c>
      <c r="AI30" s="707">
        <f t="shared" si="25"/>
        <v>14679.65</v>
      </c>
      <c r="AJ30" s="706">
        <f>VLOOKUP("*"&amp;$B30&amp;"*",'S4 - Summ PRS Characteristics'!$C$21:$Q$28,15,FALSE)*$J30</f>
        <v>805.09435249673299</v>
      </c>
      <c r="AK30" s="706">
        <f t="shared" si="29"/>
        <v>10347.905647503267</v>
      </c>
      <c r="AL30" s="706">
        <f>IF($C30="other",(1-$C23)*AJ30,(1-(VLOOKUP($C30,'S3 - Screening Tool Metrics'!$C$3:$G$17,5,FALSE)/100))*AJ30)</f>
        <v>547.46415969777843</v>
      </c>
      <c r="AM30" s="706">
        <f>IF($C30="other",$C23*AJ30,(VLOOKUP($C30,'S3 - Screening Tool Metrics'!$C$3:$G$17,5,FALSE)/100)*AJ30)</f>
        <v>257.63019279895457</v>
      </c>
      <c r="AN30" s="709">
        <f t="shared" si="26"/>
        <v>2.3099631740245186</v>
      </c>
    </row>
    <row r="31" spans="2:40" x14ac:dyDescent="0.15">
      <c r="B31" s="700" t="s">
        <v>10</v>
      </c>
      <c r="C31" s="721" t="str">
        <f>$C24</f>
        <v>PSA_3ng/mL cut-off</v>
      </c>
      <c r="D31" s="552" t="s">
        <v>199</v>
      </c>
      <c r="E31" s="710">
        <f>VLOOKUP($B31&amp;"_"&amp;$D31,'App5 - CRUK Inci Rates'!C:H,6,FALSE)</f>
        <v>867.2</v>
      </c>
      <c r="F31" s="711">
        <f>VLOOKUP($B31&amp;"_"&amp;$D31,'App5 - CRUK Inci Rates'!C:H,3,FALSE)</f>
        <v>0</v>
      </c>
      <c r="G31" s="712">
        <f>VLOOKUP($B31&amp;"_"&amp;$D31,'App5 - CRUK Inci Rates'!C:J,8,FALSE)</f>
        <v>1007365.3333333334</v>
      </c>
      <c r="H31" s="713">
        <f>VLOOKUP($B31&amp;"_"&amp;$D31,'App5 - CRUK Inci Rates'!C:J,7,FALSE)</f>
        <v>1007365.3333333334</v>
      </c>
      <c r="I31" s="713">
        <f>VLOOKUP($B31&amp;"_"&amp;$D31,'App5 - CRUK Inci Rates'!C:J,4,FALSE)</f>
        <v>0</v>
      </c>
      <c r="J31" s="709">
        <f>VLOOKUP($B31&amp;"_"&amp;$D31,'App5 - CRUK Inci Rates'!C:K,9,FALSE)</f>
        <v>8736</v>
      </c>
      <c r="K31" s="706">
        <f t="shared" si="8"/>
        <v>503682.66666666669</v>
      </c>
      <c r="L31" s="706">
        <f>VLOOKUP("*"&amp;$B31&amp;"*",'S4 - Summ PRS Characteristics'!$C$21:$Q$28,11,FALSE)*$J31</f>
        <v>7049.3637954686164</v>
      </c>
      <c r="M31" s="706">
        <f t="shared" si="9"/>
        <v>1686.6362045313836</v>
      </c>
      <c r="N31" s="706">
        <f>IF($C31="other",(1-$C$7)*L31,(1-(VLOOKUP($C31,'S3 - Screening Tool Metrics'!$C$3:$G$17,5,FALSE)/100))*L31)</f>
        <v>4793.5673809186592</v>
      </c>
      <c r="O31" s="706">
        <f>IF($C31="other",$C$7*L31,(VLOOKUP($C31,'S3 - Screening Tool Metrics'!$C$3:$G$17,5,FALSE)/100)*L31)</f>
        <v>2255.7964145499573</v>
      </c>
      <c r="P31" s="706">
        <f t="shared" si="10"/>
        <v>25.821845404646947</v>
      </c>
      <c r="Q31" s="707">
        <f t="shared" si="19"/>
        <v>201473.06666666668</v>
      </c>
      <c r="R31" s="706">
        <f>VLOOKUP("*"&amp;$B31&amp;"*",'S4 - Summ PRS Characteristics'!$C$21:$Q$28,12,FALSE)*$J31</f>
        <v>4455.2147188202407</v>
      </c>
      <c r="S31" s="706">
        <f t="shared" si="27"/>
        <v>4280.7852811797593</v>
      </c>
      <c r="T31" s="706">
        <f>IF($C31="other",(1-$C23)*R31,(1-(VLOOKUP($C31,'S3 - Screening Tool Metrics'!$C$3:$G$17,5,FALSE)/100))*R31)</f>
        <v>3029.5460087977635</v>
      </c>
      <c r="U31" s="706">
        <f>IF($C31="other",$C23*R31,(VLOOKUP($C31,'S3 - Screening Tool Metrics'!$C$3:$G$17,5,FALSE)/100)*R31)</f>
        <v>1425.6687100224769</v>
      </c>
      <c r="V31" s="708">
        <f t="shared" si="20"/>
        <v>16.319467834506376</v>
      </c>
      <c r="W31" s="707">
        <f t="shared" si="21"/>
        <v>100736.53333333334</v>
      </c>
      <c r="X31" s="706">
        <f>VLOOKUP("*"&amp;$B31&amp;"*",'S4 - Summ PRS Characteristics'!$C$21:$Q$28,13,FALSE)*$J31</f>
        <v>2962.4336149888913</v>
      </c>
      <c r="Y31" s="706">
        <f t="shared" si="28"/>
        <v>5773.5663850111087</v>
      </c>
      <c r="Z31" s="706">
        <f>IF($C31="other",(1-$C23)*X31,(1-(VLOOKUP($C31,'S3 - Screening Tool Metrics'!$C$3:$G$17,5,FALSE)/100))*X31)</f>
        <v>2014.454858192446</v>
      </c>
      <c r="AA31" s="706">
        <f>IF($C31="other",$C23*X31,(VLOOKUP($C31,'S3 - Screening Tool Metrics'!$C$3:$G$17,5,FALSE)/100)*X31)</f>
        <v>947.97875679644528</v>
      </c>
      <c r="AB31" s="708">
        <f t="shared" si="22"/>
        <v>10.851405183109494</v>
      </c>
      <c r="AC31" s="707">
        <f t="shared" si="23"/>
        <v>50368.26666666667</v>
      </c>
      <c r="AD31" s="706">
        <f>VLOOKUP("*"&amp;$B31&amp;"*",'S4 - Summ PRS Characteristics'!$C$21:$Q$28,14,FALSE)*$J31</f>
        <v>1906.4051316509226</v>
      </c>
      <c r="AE31" s="706">
        <f t="shared" si="30"/>
        <v>6829.5948683490769</v>
      </c>
      <c r="AF31" s="706">
        <f>IF($C31="other",(1-$C23)*AD31,(1-(VLOOKUP($C31,'S3 - Screening Tool Metrics'!$C$3:$G$17,5,FALSE)/100))*AD31)</f>
        <v>1296.3554895226273</v>
      </c>
      <c r="AG31" s="706">
        <f>IF($C31="other",$C23*AD31,(VLOOKUP($C31,'S3 - Screening Tool Metrics'!$C$3:$G$17,5,FALSE)/100)*AD31)</f>
        <v>610.0496421282952</v>
      </c>
      <c r="AH31" s="708">
        <f t="shared" si="24"/>
        <v>6.98316898040631</v>
      </c>
      <c r="AI31" s="707">
        <f t="shared" si="25"/>
        <v>10073.653333333334</v>
      </c>
      <c r="AJ31" s="706">
        <f>VLOOKUP("*"&amp;$B31&amp;"*",'S4 - Summ PRS Characteristics'!$C$21:$Q$28,15,FALSE)*$J31</f>
        <v>630.6199465086936</v>
      </c>
      <c r="AK31" s="706">
        <f t="shared" si="29"/>
        <v>8105.3800534913062</v>
      </c>
      <c r="AL31" s="706">
        <f>IF($C31="other",(1-$C23)*AJ31,(1-(VLOOKUP($C31,'S3 - Screening Tool Metrics'!$C$3:$G$17,5,FALSE)/100))*AJ31)</f>
        <v>428.82156362591161</v>
      </c>
      <c r="AM31" s="706">
        <f>IF($C31="other",$C23*AJ31,(VLOOKUP($C31,'S3 - Screening Tool Metrics'!$C$3:$G$17,5,FALSE)/100)*AJ31)</f>
        <v>201.79838288278197</v>
      </c>
      <c r="AN31" s="709">
        <f t="shared" si="26"/>
        <v>2.3099631740245186</v>
      </c>
    </row>
    <row r="32" spans="2:40" x14ac:dyDescent="0.15">
      <c r="B32" s="700" t="s">
        <v>10</v>
      </c>
      <c r="C32" s="721" t="str">
        <f>$C24</f>
        <v>PSA_3ng/mL cut-off</v>
      </c>
      <c r="D32" s="552" t="s">
        <v>200</v>
      </c>
      <c r="E32" s="710">
        <f>VLOOKUP($B32&amp;"_"&amp;$D32,'App5 - CRUK Inci Rates'!C:H,6,FALSE)</f>
        <v>192.70856538388753</v>
      </c>
      <c r="F32" s="711">
        <f>VLOOKUP($B32&amp;"_"&amp;$D32,'App5 - CRUK Inci Rates'!C:H,3,FALSE)</f>
        <v>0</v>
      </c>
      <c r="G32" s="712">
        <f>VLOOKUP($B32&amp;"_"&amp;$D32,'App5 - CRUK Inci Rates'!C:J,8,FALSE)</f>
        <v>12090277.333333334</v>
      </c>
      <c r="H32" s="713">
        <f>VLOOKUP($B32&amp;"_"&amp;$D32,'App5 - CRUK Inci Rates'!C:J,7,FALSE)</f>
        <v>12090277.333333334</v>
      </c>
      <c r="I32" s="713">
        <f>VLOOKUP($B32&amp;"_"&amp;$D32,'App5 - CRUK Inci Rates'!C:J,4,FALSE)</f>
        <v>0</v>
      </c>
      <c r="J32" s="709">
        <f>VLOOKUP($B32&amp;"_"&amp;$D32,'App5 - CRUK Inci Rates'!C:K,9,FALSE)</f>
        <v>23299</v>
      </c>
      <c r="K32" s="706">
        <f t="shared" si="8"/>
        <v>6045138.666666667</v>
      </c>
      <c r="L32" s="706">
        <f>VLOOKUP("*"&amp;$B32&amp;"*",'S4 - Summ PRS Characteristics'!$C$21:$Q$28,11,FALSE)*$J32</f>
        <v>18800.724252589662</v>
      </c>
      <c r="M32" s="706">
        <f t="shared" si="9"/>
        <v>4498.2757474103382</v>
      </c>
      <c r="N32" s="706">
        <f>IF($C32="other",(1-$C$7)*L32,(1-(VLOOKUP($C32,'S3 - Screening Tool Metrics'!$C$3:$G$17,5,FALSE)/100))*L32)</f>
        <v>12784.49249176097</v>
      </c>
      <c r="O32" s="706">
        <f>IF($C32="other",$C$7*L32,(VLOOKUP($C32,'S3 - Screening Tool Metrics'!$C$3:$G$17,5,FALSE)/100)*L32)</f>
        <v>6016.2317608286921</v>
      </c>
      <c r="P32" s="706">
        <f t="shared" si="10"/>
        <v>25.821845404646947</v>
      </c>
      <c r="Q32" s="707">
        <f t="shared" si="19"/>
        <v>2418055.4666666668</v>
      </c>
      <c r="R32" s="706">
        <f>VLOOKUP("*"&amp;$B32&amp;"*",'S4 - Summ PRS Characteristics'!$C$21:$Q$28,12,FALSE)*$J32</f>
        <v>11882.102533630126</v>
      </c>
      <c r="S32" s="706">
        <f t="shared" si="27"/>
        <v>11416.897466369874</v>
      </c>
      <c r="T32" s="706">
        <f>IF($C32="other",(1-$C23)*R32,(1-(VLOOKUP($C32,'S3 - Screening Tool Metrics'!$C$3:$G$17,5,FALSE)/100))*R32)</f>
        <v>8079.8297228684851</v>
      </c>
      <c r="U32" s="706">
        <f>IF($C32="other",$C23*R32,(VLOOKUP($C32,'S3 - Screening Tool Metrics'!$C$3:$G$17,5,FALSE)/100)*R32)</f>
        <v>3802.2728107616404</v>
      </c>
      <c r="V32" s="708">
        <f t="shared" si="20"/>
        <v>16.319467834506376</v>
      </c>
      <c r="W32" s="707">
        <f t="shared" si="21"/>
        <v>1209027.7333333334</v>
      </c>
      <c r="X32" s="706">
        <f>VLOOKUP("*"&amp;$B32&amp;"*",'S4 - Summ PRS Characteristics'!$C$21:$Q$28,13,FALSE)*$J32</f>
        <v>7900.8402925396267</v>
      </c>
      <c r="Y32" s="706">
        <f t="shared" si="28"/>
        <v>15398.159707460374</v>
      </c>
      <c r="Z32" s="706">
        <f>IF($C32="other",(1-$C23)*X32,(1-(VLOOKUP($C32,'S3 - Screening Tool Metrics'!$C$3:$G$17,5,FALSE)/100))*X32)</f>
        <v>5372.5713989269452</v>
      </c>
      <c r="AA32" s="706">
        <f>IF($C32="other",$C23*X32,(VLOOKUP($C32,'S3 - Screening Tool Metrics'!$C$3:$G$17,5,FALSE)/100)*X32)</f>
        <v>2528.2688936126806</v>
      </c>
      <c r="AB32" s="708">
        <f t="shared" si="22"/>
        <v>10.851405183109492</v>
      </c>
      <c r="AC32" s="707">
        <f t="shared" si="23"/>
        <v>604513.8666666667</v>
      </c>
      <c r="AD32" s="706">
        <f>VLOOKUP("*"&amp;$B32&amp;"*",'S4 - Summ PRS Characteristics'!$C$21:$Q$28,14,FALSE)*$J32</f>
        <v>5084.4016898277068</v>
      </c>
      <c r="AE32" s="706">
        <f t="shared" si="30"/>
        <v>18214.598310172292</v>
      </c>
      <c r="AF32" s="706">
        <f>IF($C32="other",(1-$C23)*AD32,(1-(VLOOKUP($C32,'S3 - Screening Tool Metrics'!$C$3:$G$17,5,FALSE)/100))*AD32)</f>
        <v>3457.3931490828404</v>
      </c>
      <c r="AG32" s="706">
        <f>IF($C32="other",$C23*AD32,(VLOOKUP($C32,'S3 - Screening Tool Metrics'!$C$3:$G$17,5,FALSE)/100)*AD32)</f>
        <v>1627.0085407448662</v>
      </c>
      <c r="AH32" s="708">
        <f t="shared" si="24"/>
        <v>6.98316898040631</v>
      </c>
      <c r="AI32" s="707">
        <f t="shared" si="25"/>
        <v>120902.77333333335</v>
      </c>
      <c r="AJ32" s="706">
        <f>VLOOKUP("*"&amp;$B32&amp;"*",'S4 - Summ PRS Characteristics'!$C$21:$Q$28,15,FALSE)*$J32</f>
        <v>1681.8697497374144</v>
      </c>
      <c r="AK32" s="706">
        <f t="shared" si="29"/>
        <v>21617.130250262584</v>
      </c>
      <c r="AL32" s="706">
        <f>IF($C32="other",(1-$C23)*AJ32,(1-(VLOOKUP($C32,'S3 - Screening Tool Metrics'!$C$3:$G$17,5,FALSE)/100))*AJ32)</f>
        <v>1143.6714298214417</v>
      </c>
      <c r="AM32" s="706">
        <f>IF($C32="other",$C23*AJ32,(VLOOKUP($C32,'S3 - Screening Tool Metrics'!$C$3:$G$17,5,FALSE)/100)*AJ32)</f>
        <v>538.19831991597266</v>
      </c>
      <c r="AN32" s="709">
        <f t="shared" si="26"/>
        <v>2.309963174024519</v>
      </c>
    </row>
    <row r="33" spans="2:40" x14ac:dyDescent="0.15">
      <c r="B33" s="700" t="s">
        <v>10</v>
      </c>
      <c r="C33" s="721" t="str">
        <f>$C24</f>
        <v>PSA_3ng/mL cut-off</v>
      </c>
      <c r="D33" s="552" t="s">
        <v>201</v>
      </c>
      <c r="E33" s="710">
        <f>VLOOKUP($B33&amp;"_"&amp;$D33,'App5 - CRUK Inci Rates'!C:H,6,FALSE)</f>
        <v>12.847921640003264</v>
      </c>
      <c r="F33" s="711">
        <f>VLOOKUP($B33&amp;"_"&amp;$D33,'App5 - CRUK Inci Rates'!C:H,3,FALSE)</f>
        <v>0</v>
      </c>
      <c r="G33" s="712">
        <f>VLOOKUP($B33&amp;"_"&amp;$D33,'App5 - CRUK Inci Rates'!C:J,8,FALSE)</f>
        <v>4273064.666666667</v>
      </c>
      <c r="H33" s="713">
        <f>VLOOKUP($B33&amp;"_"&amp;$D33,'App5 - CRUK Inci Rates'!C:J,7,FALSE)</f>
        <v>4273064.666666667</v>
      </c>
      <c r="I33" s="713">
        <f>VLOOKUP($B33&amp;"_"&amp;$D33,'App5 - CRUK Inci Rates'!C:J,4,FALSE)</f>
        <v>0</v>
      </c>
      <c r="J33" s="709">
        <f>VLOOKUP($B33&amp;"_"&amp;$D33,'App5 - CRUK Inci Rates'!C:K,9,FALSE)</f>
        <v>549</v>
      </c>
      <c r="K33" s="706">
        <f t="shared" si="8"/>
        <v>2136532.3333333335</v>
      </c>
      <c r="L33" s="706">
        <f>VLOOKUP("*"&amp;$B33&amp;"*",'S4 - Summ PRS Characteristics'!$C$21:$Q$28,11,FALSE)*$J33</f>
        <v>443.00603522347416</v>
      </c>
      <c r="M33" s="706">
        <f t="shared" si="9"/>
        <v>105.99396477652584</v>
      </c>
      <c r="N33" s="706">
        <f>IF($C33="other",(1-$C$7)*L33,(1-(VLOOKUP($C33,'S3 - Screening Tool Metrics'!$C$3:$G$17,5,FALSE)/100))*L33)</f>
        <v>301.24410395196242</v>
      </c>
      <c r="O33" s="706">
        <f>IF($C33="other",$C$7*L33,(VLOOKUP($C33,'S3 - Screening Tool Metrics'!$C$3:$G$17,5,FALSE)/100)*L33)</f>
        <v>141.76193127151174</v>
      </c>
      <c r="P33" s="706">
        <f t="shared" si="10"/>
        <v>25.821845404646947</v>
      </c>
      <c r="Q33" s="707">
        <f t="shared" si="19"/>
        <v>854612.93333333347</v>
      </c>
      <c r="R33" s="706">
        <f>VLOOKUP("*"&amp;$B33&amp;"*",'S4 - Summ PRS Characteristics'!$C$21:$Q$28,12,FALSE)*$J33</f>
        <v>279.98087003575</v>
      </c>
      <c r="S33" s="706">
        <f t="shared" si="27"/>
        <v>269.01912996425</v>
      </c>
      <c r="T33" s="706">
        <f>IF($C33="other",(1-$C23)*R33,(1-(VLOOKUP($C33,'S3 - Screening Tool Metrics'!$C$3:$G$17,5,FALSE)/100))*R33)</f>
        <v>190.38699162430999</v>
      </c>
      <c r="U33" s="706">
        <f>IF($C33="other",$C23*R33,(VLOOKUP($C33,'S3 - Screening Tool Metrics'!$C$3:$G$17,5,FALSE)/100)*R33)</f>
        <v>89.593878411440002</v>
      </c>
      <c r="V33" s="708">
        <f t="shared" si="20"/>
        <v>16.319467834506376</v>
      </c>
      <c r="W33" s="707">
        <f t="shared" si="21"/>
        <v>427306.46666666673</v>
      </c>
      <c r="X33" s="706">
        <f>VLOOKUP("*"&amp;$B33&amp;"*",'S4 - Summ PRS Characteristics'!$C$21:$Q$28,13,FALSE)*$J33</f>
        <v>186.16942017272223</v>
      </c>
      <c r="Y33" s="706">
        <f t="shared" si="28"/>
        <v>362.8305798272778</v>
      </c>
      <c r="Z33" s="706">
        <f>IF($C33="other",(1-$C23)*X33,(1-(VLOOKUP($C33,'S3 - Screening Tool Metrics'!$C$3:$G$17,5,FALSE)/100))*X33)</f>
        <v>126.59520571745111</v>
      </c>
      <c r="AA33" s="706">
        <f>IF($C33="other",$C23*X33,(VLOOKUP($C33,'S3 - Screening Tool Metrics'!$C$3:$G$17,5,FALSE)/100)*X33)</f>
        <v>59.574214455271111</v>
      </c>
      <c r="AB33" s="708">
        <f t="shared" si="22"/>
        <v>10.851405183109492</v>
      </c>
      <c r="AC33" s="707">
        <f t="shared" si="23"/>
        <v>213653.23333333337</v>
      </c>
      <c r="AD33" s="706">
        <f>VLOOKUP("*"&amp;$B33&amp;"*",'S4 - Summ PRS Characteristics'!$C$21:$Q$28,14,FALSE)*$J33</f>
        <v>119.80499282009575</v>
      </c>
      <c r="AE33" s="706">
        <f t="shared" si="30"/>
        <v>429.19500717990422</v>
      </c>
      <c r="AF33" s="706">
        <f>IF($C33="other",(1-$C23)*AD33,(1-(VLOOKUP($C33,'S3 - Screening Tool Metrics'!$C$3:$G$17,5,FALSE)/100))*AD33)</f>
        <v>81.467395117665106</v>
      </c>
      <c r="AG33" s="706">
        <f>IF($C33="other",$C23*AD33,(VLOOKUP($C33,'S3 - Screening Tool Metrics'!$C$3:$G$17,5,FALSE)/100)*AD33)</f>
        <v>38.337597702430642</v>
      </c>
      <c r="AH33" s="708">
        <f t="shared" si="24"/>
        <v>6.98316898040631</v>
      </c>
      <c r="AI33" s="707">
        <f t="shared" si="25"/>
        <v>42730.646666666667</v>
      </c>
      <c r="AJ33" s="706">
        <f>VLOOKUP("*"&amp;$B33&amp;"*",'S4 - Summ PRS Characteristics'!$C$21:$Q$28,15,FALSE)*$J33</f>
        <v>39.630305704358143</v>
      </c>
      <c r="AK33" s="706">
        <f t="shared" si="29"/>
        <v>509.36969429564186</v>
      </c>
      <c r="AL33" s="706">
        <f>IF($C33="other",(1-$C23)*AJ33,(1-(VLOOKUP($C33,'S3 - Screening Tool Metrics'!$C$3:$G$17,5,FALSE)/100))*AJ33)</f>
        <v>26.948607878963536</v>
      </c>
      <c r="AM33" s="706">
        <f>IF($C33="other",$C23*AJ33,(VLOOKUP($C33,'S3 - Screening Tool Metrics'!$C$3:$G$17,5,FALSE)/100)*AJ33)</f>
        <v>12.681697825394606</v>
      </c>
      <c r="AN33" s="709">
        <f t="shared" si="26"/>
        <v>2.3099631740245186</v>
      </c>
    </row>
    <row r="34" spans="2:40" x14ac:dyDescent="0.15">
      <c r="B34" s="700" t="s">
        <v>10</v>
      </c>
      <c r="C34" s="721" t="str">
        <f>$C24</f>
        <v>PSA_3ng/mL cut-off</v>
      </c>
      <c r="D34" s="552" t="s">
        <v>202</v>
      </c>
      <c r="E34" s="710">
        <f>VLOOKUP($B34&amp;"_"&amp;$D34,'App5 - CRUK Inci Rates'!C:H,6,FALSE)</f>
        <v>135.39541108208113</v>
      </c>
      <c r="F34" s="711">
        <f>VLOOKUP($B34&amp;"_"&amp;$D34,'App5 - CRUK Inci Rates'!C:H,3,FALSE)</f>
        <v>0</v>
      </c>
      <c r="G34" s="712">
        <f>VLOOKUP($B34&amp;"_"&amp;$D34,'App5 - CRUK Inci Rates'!C:J,8,FALSE)</f>
        <v>4355391.333333333</v>
      </c>
      <c r="H34" s="713">
        <f>VLOOKUP($B34&amp;"_"&amp;$D34,'App5 - CRUK Inci Rates'!C:J,7,FALSE)</f>
        <v>4355391.333333333</v>
      </c>
      <c r="I34" s="713">
        <f>VLOOKUP($B34&amp;"_"&amp;$D34,'App5 - CRUK Inci Rates'!C:J,4,FALSE)</f>
        <v>0</v>
      </c>
      <c r="J34" s="709">
        <f>VLOOKUP($B34&amp;"_"&amp;$D34,'App5 - CRUK Inci Rates'!C:K,9,FALSE)</f>
        <v>5897</v>
      </c>
      <c r="K34" s="706">
        <f t="shared" si="8"/>
        <v>2177695.6666666665</v>
      </c>
      <c r="L34" s="706">
        <f>VLOOKUP("*"&amp;$B34&amp;"*",'S4 - Summ PRS Characteristics'!$C$21:$Q$28,11,FALSE)*$J34</f>
        <v>4758.4819484750951</v>
      </c>
      <c r="M34" s="706">
        <f t="shared" si="9"/>
        <v>1138.5180515249049</v>
      </c>
      <c r="N34" s="706">
        <f>IF($C34="other",(1-$C$7)*L34,(1-(VLOOKUP($C34,'S3 - Screening Tool Metrics'!$C$3:$G$17,5,FALSE)/100))*L34)</f>
        <v>3235.7677249630642</v>
      </c>
      <c r="O34" s="706">
        <f>IF($C34="other",$C$7*L34,(VLOOKUP($C34,'S3 - Screening Tool Metrics'!$C$3:$G$17,5,FALSE)/100)*L34)</f>
        <v>1522.7142235120305</v>
      </c>
      <c r="P34" s="706">
        <f t="shared" si="10"/>
        <v>25.821845404646947</v>
      </c>
      <c r="Q34" s="707">
        <f t="shared" si="19"/>
        <v>871078.2666666666</v>
      </c>
      <c r="R34" s="706">
        <f>VLOOKUP("*"&amp;$B34&amp;"*",'S4 - Summ PRS Characteristics'!$C$21:$Q$28,12,FALSE)*$J34</f>
        <v>3007.371931877628</v>
      </c>
      <c r="S34" s="706">
        <f t="shared" si="27"/>
        <v>2889.628068122372</v>
      </c>
      <c r="T34" s="706">
        <f>IF($C34="other",(1-$C23)*R34,(1-(VLOOKUP($C34,'S3 - Screening Tool Metrics'!$C$3:$G$17,5,FALSE)/100))*R34)</f>
        <v>2045.0129136767869</v>
      </c>
      <c r="U34" s="706">
        <f>IF($C34="other",$C23*R34,(VLOOKUP($C34,'S3 - Screening Tool Metrics'!$C$3:$G$17,5,FALSE)/100)*R34)</f>
        <v>962.35901820084098</v>
      </c>
      <c r="V34" s="708">
        <f t="shared" si="20"/>
        <v>16.319467834506376</v>
      </c>
      <c r="W34" s="707">
        <f t="shared" si="21"/>
        <v>435539.1333333333</v>
      </c>
      <c r="X34" s="706">
        <f>VLOOKUP("*"&amp;$B34&amp;"*",'S4 - Summ PRS Characteristics'!$C$21:$Q$28,13,FALSE)*$J34</f>
        <v>1999.7105113998959</v>
      </c>
      <c r="Y34" s="706">
        <f t="shared" si="28"/>
        <v>3897.2894886001041</v>
      </c>
      <c r="Z34" s="706">
        <f>IF($C34="other",(1-$C23)*X34,(1-(VLOOKUP($C34,'S3 - Screening Tool Metrics'!$C$3:$G$17,5,FALSE)/100))*X34)</f>
        <v>1359.8031477519291</v>
      </c>
      <c r="AA34" s="706">
        <f>IF($C34="other",$C23*X34,(VLOOKUP($C34,'S3 - Screening Tool Metrics'!$C$3:$G$17,5,FALSE)/100)*X34)</f>
        <v>639.90736364796669</v>
      </c>
      <c r="AB34" s="708">
        <f t="shared" si="22"/>
        <v>10.851405183109492</v>
      </c>
      <c r="AC34" s="707">
        <f t="shared" si="23"/>
        <v>217769.56666666665</v>
      </c>
      <c r="AD34" s="706">
        <f>VLOOKUP("*"&amp;$B34&amp;"*",'S4 - Summ PRS Characteristics'!$C$21:$Q$28,14,FALSE)*$J34</f>
        <v>1286.8671086705003</v>
      </c>
      <c r="AE34" s="706">
        <f t="shared" si="30"/>
        <v>4610.1328913295001</v>
      </c>
      <c r="AF34" s="706">
        <f>IF($C34="other",(1-$C23)*AD34,(1-(VLOOKUP($C34,'S3 - Screening Tool Metrics'!$C$3:$G$17,5,FALSE)/100))*AD34)</f>
        <v>875.06963389594011</v>
      </c>
      <c r="AG34" s="706">
        <f>IF($C34="other",$C23*AD34,(VLOOKUP($C34,'S3 - Screening Tool Metrics'!$C$3:$G$17,5,FALSE)/100)*AD34)</f>
        <v>411.7974747745601</v>
      </c>
      <c r="AH34" s="708">
        <f t="shared" si="24"/>
        <v>6.98316898040631</v>
      </c>
      <c r="AI34" s="707">
        <f t="shared" si="25"/>
        <v>43553.91333333333</v>
      </c>
      <c r="AJ34" s="706">
        <f>VLOOKUP("*"&amp;$B34&amp;"*",'S4 - Summ PRS Characteristics'!$C$21:$Q$28,15,FALSE)*$J34</f>
        <v>425.68290116320583</v>
      </c>
      <c r="AK34" s="706">
        <f t="shared" si="29"/>
        <v>5471.3170988367938</v>
      </c>
      <c r="AL34" s="706">
        <f>IF($C34="other",(1-$C23)*AJ34,(1-(VLOOKUP($C34,'S3 - Screening Tool Metrics'!$C$3:$G$17,5,FALSE)/100))*AJ34)</f>
        <v>289.46437279097995</v>
      </c>
      <c r="AM34" s="706">
        <f>IF($C34="other",$C23*AJ34,(VLOOKUP($C34,'S3 - Screening Tool Metrics'!$C$3:$G$17,5,FALSE)/100)*AJ34)</f>
        <v>136.21852837222588</v>
      </c>
      <c r="AN34" s="709">
        <f t="shared" si="26"/>
        <v>2.3099631740245186</v>
      </c>
    </row>
    <row r="35" spans="2:40" x14ac:dyDescent="0.15">
      <c r="B35" s="700" t="s">
        <v>10</v>
      </c>
      <c r="C35" s="721" t="str">
        <f t="shared" ref="C35:C36" si="31">$C25</f>
        <v>PSA_3ng/mL cut-off</v>
      </c>
      <c r="D35" s="552" t="s">
        <v>272</v>
      </c>
      <c r="E35" s="710">
        <f>VLOOKUP($B35&amp;"_"&amp;$D35,'App5 - CRUK Inci Rates'!C:H,6,FALSE)</f>
        <v>486.82466185429951</v>
      </c>
      <c r="F35" s="711">
        <f>VLOOKUP($B35&amp;"_"&amp;$D35,'App5 - CRUK Inci Rates'!C:H,3,FALSE)</f>
        <v>0</v>
      </c>
      <c r="G35" s="712">
        <f>VLOOKUP($B35&amp;"_"&amp;$D35,'App5 - CRUK Inci Rates'!C:J,8,FALSE)</f>
        <v>3461821.333333333</v>
      </c>
      <c r="H35" s="713">
        <f>VLOOKUP($B35&amp;"_"&amp;$D35,'App5 - CRUK Inci Rates'!C:J,7,FALSE)</f>
        <v>3461821.333333333</v>
      </c>
      <c r="I35" s="713">
        <f>VLOOKUP($B35&amp;"_"&amp;$D35,'App5 - CRUK Inci Rates'!C:J,4,FALSE)</f>
        <v>0</v>
      </c>
      <c r="J35" s="709">
        <f>VLOOKUP($B35&amp;"_"&amp;$D35,'App5 - CRUK Inci Rates'!C:K,9,FALSE)</f>
        <v>16853</v>
      </c>
      <c r="K35" s="706">
        <f t="shared" si="8"/>
        <v>1730910.6666666665</v>
      </c>
      <c r="L35" s="706">
        <f>VLOOKUP("*"&amp;$B35&amp;"*",'S4 - Summ PRS Characteristics'!$C$21:$Q$28,11,FALSE)*$J35</f>
        <v>13599.236268891094</v>
      </c>
      <c r="M35" s="706">
        <f t="shared" si="9"/>
        <v>3253.7637311089056</v>
      </c>
      <c r="N35" s="706">
        <f>IF($C35="other",(1-$C$7)*L35,(1-(VLOOKUP($C35,'S3 - Screening Tool Metrics'!$C$3:$G$17,5,FALSE)/100))*L35)</f>
        <v>9247.4806628459428</v>
      </c>
      <c r="O35" s="706">
        <f>IF($C35="other",$C$7*L35,(VLOOKUP($C35,'S3 - Screening Tool Metrics'!$C$3:$G$17,5,FALSE)/100)*L35)</f>
        <v>4351.7556060451507</v>
      </c>
      <c r="P35" s="706">
        <f t="shared" si="10"/>
        <v>25.821845404646954</v>
      </c>
      <c r="Q35" s="707">
        <f t="shared" si="19"/>
        <v>692364.2666666666</v>
      </c>
      <c r="R35" s="706">
        <f>VLOOKUP("*"&amp;$B35&amp;"*",'S4 - Summ PRS Characteristics'!$C$21:$Q$28,12,FALSE)*$J35</f>
        <v>8594.749731716749</v>
      </c>
      <c r="S35" s="706">
        <f t="shared" ref="S35:S36" si="32">$J35-R35</f>
        <v>8258.250268283251</v>
      </c>
      <c r="T35" s="706">
        <f>IF($C35="other",(1-$C24)*R35,(1-(VLOOKUP($C35,'S3 - Screening Tool Metrics'!$C$3:$G$17,5,FALSE)/100))*R35)</f>
        <v>5844.4298175673885</v>
      </c>
      <c r="U35" s="706">
        <f>IF($C35="other",$C24*R35,(VLOOKUP($C35,'S3 - Screening Tool Metrics'!$C$3:$G$17,5,FALSE)/100)*R35)</f>
        <v>2750.3199141493596</v>
      </c>
      <c r="V35" s="708">
        <f t="shared" ref="V35:V36" si="33">U35/J35*100</f>
        <v>16.319467834506376</v>
      </c>
      <c r="W35" s="707">
        <f t="shared" si="21"/>
        <v>346182.1333333333</v>
      </c>
      <c r="X35" s="706">
        <f>VLOOKUP("*"&amp;$B35&amp;"*",'S4 - Summ PRS Characteristics'!$C$21:$Q$28,13,FALSE)*$J35</f>
        <v>5714.9603609670085</v>
      </c>
      <c r="Y35" s="706">
        <f t="shared" ref="Y35:Y36" si="34">$J35-X35</f>
        <v>11138.039639032992</v>
      </c>
      <c r="Z35" s="706">
        <f>IF($C35="other",(1-$C24)*X35,(1-(VLOOKUP($C35,'S3 - Screening Tool Metrics'!$C$3:$G$17,5,FALSE)/100))*X35)</f>
        <v>3886.1730454575654</v>
      </c>
      <c r="AA35" s="706">
        <f>IF($C35="other",$C24*X35,(VLOOKUP($C35,'S3 - Screening Tool Metrics'!$C$3:$G$17,5,FALSE)/100)*X35)</f>
        <v>1828.7873155094428</v>
      </c>
      <c r="AB35" s="708">
        <f t="shared" si="22"/>
        <v>10.851405183109494</v>
      </c>
      <c r="AC35" s="707">
        <f t="shared" si="23"/>
        <v>173091.06666666665</v>
      </c>
      <c r="AD35" s="706">
        <f>VLOOKUP("*"&amp;$B35&amp;"*",'S4 - Summ PRS Characteristics'!$C$21:$Q$28,14,FALSE)*$J35</f>
        <v>3677.7295883371107</v>
      </c>
      <c r="AE35" s="706">
        <f t="shared" ref="AE35:AE36" si="35">$J35-AD35</f>
        <v>13175.270411662888</v>
      </c>
      <c r="AF35" s="706">
        <f>IF($C35="other",(1-$C24)*AD35,(1-(VLOOKUP($C35,'S3 - Screening Tool Metrics'!$C$3:$G$17,5,FALSE)/100))*AD35)</f>
        <v>2500.8561200692352</v>
      </c>
      <c r="AG35" s="706">
        <f>IF($C35="other",$C24*AD35,(VLOOKUP($C35,'S3 - Screening Tool Metrics'!$C$3:$G$17,5,FALSE)/100)*AD35)</f>
        <v>1176.8734682678755</v>
      </c>
      <c r="AH35" s="708">
        <f t="shared" si="24"/>
        <v>6.9831689804063108</v>
      </c>
      <c r="AI35" s="707">
        <f t="shared" si="25"/>
        <v>34618.213333333333</v>
      </c>
      <c r="AJ35" s="706">
        <f>VLOOKUP("*"&amp;$B35&amp;"*",'S4 - Summ PRS Characteristics'!$C$21:$Q$28,15,FALSE)*$J35</f>
        <v>1216.5565428698503</v>
      </c>
      <c r="AK35" s="706">
        <f t="shared" ref="AK35:AK36" si="36">$J35-AJ35</f>
        <v>15636.44345713015</v>
      </c>
      <c r="AL35" s="706">
        <f>IF($C35="other",(1-$C24)*AJ35,(1-(VLOOKUP($C35,'S3 - Screening Tool Metrics'!$C$3:$G$17,5,FALSE)/100))*AJ35)</f>
        <v>827.2584491514981</v>
      </c>
      <c r="AM35" s="706">
        <f>IF($C35="other",$C24*AJ35,(VLOOKUP($C35,'S3 - Screening Tool Metrics'!$C$3:$G$17,5,FALSE)/100)*AJ35)</f>
        <v>389.29809371835211</v>
      </c>
      <c r="AN35" s="709">
        <f t="shared" si="26"/>
        <v>2.3099631740245186</v>
      </c>
    </row>
    <row r="36" spans="2:40" x14ac:dyDescent="0.15">
      <c r="B36" s="700" t="s">
        <v>10</v>
      </c>
      <c r="C36" s="721" t="str">
        <f t="shared" si="31"/>
        <v>PSA_3ng/mL cut-off</v>
      </c>
      <c r="D36" s="552" t="s">
        <v>203</v>
      </c>
      <c r="E36" s="710">
        <f>VLOOKUP($B36&amp;"_"&amp;$D36,'App5 - CRUK Inci Rates'!C:H,6,FALSE)</f>
        <v>291.02444784453866</v>
      </c>
      <c r="F36" s="711">
        <f>VLOOKUP($B36&amp;"_"&amp;$D36,'App5 - CRUK Inci Rates'!C:H,3,FALSE)</f>
        <v>0</v>
      </c>
      <c r="G36" s="712">
        <f>VLOOKUP($B36&amp;"_"&amp;$D36,'App5 - CRUK Inci Rates'!C:J,8,FALSE)</f>
        <v>7817212.666666666</v>
      </c>
      <c r="H36" s="713">
        <f>VLOOKUP($B36&amp;"_"&amp;$D36,'App5 - CRUK Inci Rates'!C:J,7,FALSE)</f>
        <v>7817212.666666666</v>
      </c>
      <c r="I36" s="713">
        <f>VLOOKUP($B36&amp;"_"&amp;$D36,'App5 - CRUK Inci Rates'!C:J,4,FALSE)</f>
        <v>0</v>
      </c>
      <c r="J36" s="709">
        <f>VLOOKUP($B36&amp;"_"&amp;$D36,'App5 - CRUK Inci Rates'!C:K,9,FALSE)</f>
        <v>22750</v>
      </c>
      <c r="K36" s="706">
        <f t="shared" si="8"/>
        <v>3908606.333333333</v>
      </c>
      <c r="L36" s="706">
        <f>VLOOKUP("*"&amp;$B36&amp;"*",'S4 - Summ PRS Characteristics'!$C$21:$Q$28,11,FALSE)*$J36</f>
        <v>18357.718217366189</v>
      </c>
      <c r="M36" s="706">
        <f t="shared" si="9"/>
        <v>4392.2817826338105</v>
      </c>
      <c r="N36" s="706">
        <f>IF($C36="other",(1-$C$7)*L36,(1-(VLOOKUP($C36,'S3 - Screening Tool Metrics'!$C$3:$G$17,5,FALSE)/100))*L36)</f>
        <v>12483.248387809008</v>
      </c>
      <c r="O36" s="706">
        <f>IF($C36="other",$C$7*L36,(VLOOKUP($C36,'S3 - Screening Tool Metrics'!$C$3:$G$17,5,FALSE)/100)*L36)</f>
        <v>5874.4698295571807</v>
      </c>
      <c r="P36" s="706">
        <f t="shared" si="10"/>
        <v>25.821845404646947</v>
      </c>
      <c r="Q36" s="707">
        <f t="shared" si="19"/>
        <v>1563442.5333333332</v>
      </c>
      <c r="R36" s="706">
        <f>VLOOKUP("*"&amp;$B36&amp;"*",'S4 - Summ PRS Characteristics'!$C$21:$Q$28,12,FALSE)*$J36</f>
        <v>11602.121663594377</v>
      </c>
      <c r="S36" s="706">
        <f t="shared" si="32"/>
        <v>11147.878336405623</v>
      </c>
      <c r="T36" s="706">
        <f>IF($C36="other",(1-$C25)*R36,(1-(VLOOKUP($C36,'S3 - Screening Tool Metrics'!$C$3:$G$17,5,FALSE)/100))*R36)</f>
        <v>7889.4427312441749</v>
      </c>
      <c r="U36" s="706">
        <f>IF($C36="other",$C25*R36,(VLOOKUP($C36,'S3 - Screening Tool Metrics'!$C$3:$G$17,5,FALSE)/100)*R36)</f>
        <v>3712.6789323502007</v>
      </c>
      <c r="V36" s="708">
        <f t="shared" si="33"/>
        <v>16.319467834506376</v>
      </c>
      <c r="W36" s="707">
        <f t="shared" si="21"/>
        <v>781721.2666666666</v>
      </c>
      <c r="X36" s="706">
        <f>VLOOKUP("*"&amp;$B36&amp;"*",'S4 - Summ PRS Characteristics'!$C$21:$Q$28,13,FALSE)*$J36</f>
        <v>7714.6708723669044</v>
      </c>
      <c r="Y36" s="706">
        <f t="shared" si="34"/>
        <v>15035.329127633097</v>
      </c>
      <c r="Z36" s="706">
        <f>IF($C36="other",(1-$C25)*X36,(1-(VLOOKUP($C36,'S3 - Screening Tool Metrics'!$C$3:$G$17,5,FALSE)/100))*X36)</f>
        <v>5245.9761932094943</v>
      </c>
      <c r="AA36" s="706">
        <f>IF($C36="other",$C25*X36,(VLOOKUP($C36,'S3 - Screening Tool Metrics'!$C$3:$G$17,5,FALSE)/100)*X36)</f>
        <v>2468.6946791574096</v>
      </c>
      <c r="AB36" s="708">
        <f t="shared" si="22"/>
        <v>10.851405183109494</v>
      </c>
      <c r="AC36" s="707">
        <f t="shared" si="23"/>
        <v>390860.6333333333</v>
      </c>
      <c r="AD36" s="706">
        <f>VLOOKUP("*"&amp;$B36&amp;"*",'S4 - Summ PRS Characteristics'!$C$21:$Q$28,14,FALSE)*$J36</f>
        <v>4964.5966970076106</v>
      </c>
      <c r="AE36" s="706">
        <f t="shared" si="35"/>
        <v>17785.403302992388</v>
      </c>
      <c r="AF36" s="706">
        <f>IF($C36="other",(1-$C25)*AD36,(1-(VLOOKUP($C36,'S3 - Screening Tool Metrics'!$C$3:$G$17,5,FALSE)/100))*AD36)</f>
        <v>3375.9257539651749</v>
      </c>
      <c r="AG36" s="706">
        <f>IF($C36="other",$C25*AD36,(VLOOKUP($C36,'S3 - Screening Tool Metrics'!$C$3:$G$17,5,FALSE)/100)*AD36)</f>
        <v>1588.6709430424355</v>
      </c>
      <c r="AH36" s="708">
        <f t="shared" si="24"/>
        <v>6.98316898040631</v>
      </c>
      <c r="AI36" s="707">
        <f t="shared" si="25"/>
        <v>78172.126666666663</v>
      </c>
      <c r="AJ36" s="706">
        <f>VLOOKUP("*"&amp;$B36&amp;"*",'S4 - Summ PRS Characteristics'!$C$21:$Q$28,15,FALSE)*$J36</f>
        <v>1642.2394440330561</v>
      </c>
      <c r="AK36" s="706">
        <f t="shared" si="36"/>
        <v>21107.760555966943</v>
      </c>
      <c r="AL36" s="706">
        <f>IF($C36="other",(1-$C25)*AJ36,(1-(VLOOKUP($C36,'S3 - Screening Tool Metrics'!$C$3:$G$17,5,FALSE)/100))*AJ36)</f>
        <v>1116.722821942478</v>
      </c>
      <c r="AM36" s="706">
        <f>IF($C36="other",$C25*AJ36,(VLOOKUP($C36,'S3 - Screening Tool Metrics'!$C$3:$G$17,5,FALSE)/100)*AJ36)</f>
        <v>525.51662209057793</v>
      </c>
      <c r="AN36" s="709">
        <f t="shared" si="26"/>
        <v>2.3099631740245186</v>
      </c>
    </row>
    <row r="37" spans="2:40" x14ac:dyDescent="0.15">
      <c r="B37" s="700" t="s">
        <v>10</v>
      </c>
      <c r="C37" s="721" t="str">
        <f>$C25</f>
        <v>PSA_3ng/mL cut-off</v>
      </c>
      <c r="D37" s="552" t="s">
        <v>292</v>
      </c>
      <c r="E37" s="710">
        <f>VLOOKUP($B37&amp;"_"&amp;$D37,'App5 - CRUK Inci Rates'!C:H,6,FALSE)</f>
        <v>568.09764371802726</v>
      </c>
      <c r="F37" s="711">
        <f>VLOOKUP($B37&amp;"_"&amp;$D37,'App5 - CRUK Inci Rates'!C:H,3,FALSE)</f>
        <v>0</v>
      </c>
      <c r="G37" s="712">
        <f>VLOOKUP($B37&amp;"_"&amp;$D37,'App5 - CRUK Inci Rates'!C:J,8,FALSE)</f>
        <v>4929786.333333333</v>
      </c>
      <c r="H37" s="713">
        <f>VLOOKUP($B37&amp;"_"&amp;$D37,'App5 - CRUK Inci Rates'!C:J,7,FALSE)</f>
        <v>4929786.333333333</v>
      </c>
      <c r="I37" s="713">
        <f>VLOOKUP($B37&amp;"_"&amp;$D37,'App5 - CRUK Inci Rates'!C:J,4,FALSE)</f>
        <v>0</v>
      </c>
      <c r="J37" s="709">
        <f>VLOOKUP($B37&amp;"_"&amp;$D37,'App5 - CRUK Inci Rates'!C:K,9,FALSE)</f>
        <v>28006</v>
      </c>
      <c r="K37" s="706">
        <f t="shared" si="8"/>
        <v>2464893.1666666665</v>
      </c>
      <c r="L37" s="706">
        <f>VLOOKUP("*"&amp;$B37&amp;"*",'S4 - Summ PRS Characteristics'!$C$21:$Q$28,11,FALSE)*$J37</f>
        <v>22598.956325079449</v>
      </c>
      <c r="M37" s="706">
        <f t="shared" si="9"/>
        <v>5407.043674920551</v>
      </c>
      <c r="N37" s="706">
        <f>IF($C37="other",(1-$C$7)*L37,(1-(VLOOKUP($C37,'S3 - Screening Tool Metrics'!$C$3:$G$17,5,FALSE)/100))*L37)</f>
        <v>15367.290301054023</v>
      </c>
      <c r="O37" s="706">
        <f>IF($C37="other",$C$7*L37,(VLOOKUP($C37,'S3 - Screening Tool Metrics'!$C$3:$G$17,5,FALSE)/100)*L37)</f>
        <v>7231.6660240254241</v>
      </c>
      <c r="P37" s="706">
        <f t="shared" si="10"/>
        <v>25.821845404646947</v>
      </c>
      <c r="Q37" s="707">
        <f t="shared" si="19"/>
        <v>985957.2666666666</v>
      </c>
      <c r="R37" s="706">
        <f>VLOOKUP("*"&amp;$B37&amp;"*",'S4 - Summ PRS Characteristics'!$C$21:$Q$28,12,FALSE)*$J37</f>
        <v>14282.59425541205</v>
      </c>
      <c r="S37" s="706">
        <f t="shared" si="27"/>
        <v>13723.40574458795</v>
      </c>
      <c r="T37" s="706">
        <f>IF($C37="other",(1-$C23)*R37,(1-(VLOOKUP($C37,'S3 - Screening Tool Metrics'!$C$3:$G$17,5,FALSE)/100))*R37)</f>
        <v>9712.1640936801941</v>
      </c>
      <c r="U37" s="706">
        <f>IF($C37="other",$C23*R37,(VLOOKUP($C37,'S3 - Screening Tool Metrics'!$C$3:$G$17,5,FALSE)/100)*R37)</f>
        <v>4570.4301617318561</v>
      </c>
      <c r="V37" s="708">
        <f t="shared" si="20"/>
        <v>16.319467834506376</v>
      </c>
      <c r="W37" s="707">
        <f t="shared" si="21"/>
        <v>492978.6333333333</v>
      </c>
      <c r="X37" s="706">
        <f>VLOOKUP("*"&amp;$B37&amp;"*",'S4 - Summ PRS Characteristics'!$C$21:$Q$28,13,FALSE)*$J37</f>
        <v>9497.014173692638</v>
      </c>
      <c r="Y37" s="706">
        <f t="shared" si="28"/>
        <v>18508.985826307362</v>
      </c>
      <c r="Z37" s="706">
        <f>IF($C37="other",(1-$C23)*X37,(1-(VLOOKUP($C37,'S3 - Screening Tool Metrics'!$C$3:$G$17,5,FALSE)/100))*X37)</f>
        <v>6457.9696381109934</v>
      </c>
      <c r="AA37" s="706">
        <f>IF($C37="other",$C23*X37,(VLOOKUP($C37,'S3 - Screening Tool Metrics'!$C$3:$G$17,5,FALSE)/100)*X37)</f>
        <v>3039.0445355816441</v>
      </c>
      <c r="AB37" s="708">
        <f t="shared" si="22"/>
        <v>10.851405183109492</v>
      </c>
      <c r="AC37" s="707">
        <f t="shared" si="23"/>
        <v>246489.31666666665</v>
      </c>
      <c r="AD37" s="706">
        <f>VLOOKUP("*"&amp;$B37&amp;"*",'S4 - Summ PRS Characteristics'!$C$21:$Q$28,14,FALSE)*$J37</f>
        <v>6111.5822020393471</v>
      </c>
      <c r="AE37" s="706">
        <f t="shared" si="30"/>
        <v>21894.417797960654</v>
      </c>
      <c r="AF37" s="706">
        <f>IF($C37="other",(1-$C23)*AD37,(1-(VLOOKUP($C37,'S3 - Screening Tool Metrics'!$C$3:$G$17,5,FALSE)/100))*AD37)</f>
        <v>4155.8758973867552</v>
      </c>
      <c r="AG37" s="706">
        <f>IF($C37="other",$C23*AD37,(VLOOKUP($C37,'S3 - Screening Tool Metrics'!$C$3:$G$17,5,FALSE)/100)*AD37)</f>
        <v>1955.7063046525911</v>
      </c>
      <c r="AH37" s="708">
        <f t="shared" si="24"/>
        <v>6.98316898040631</v>
      </c>
      <c r="AI37" s="707">
        <f t="shared" si="25"/>
        <v>49297.863333333335</v>
      </c>
      <c r="AJ37" s="706">
        <f>VLOOKUP("*"&amp;$B37&amp;"*",'S4 - Summ PRS Characteristics'!$C$21:$Q$28,15,FALSE)*$J37</f>
        <v>2021.6508953665834</v>
      </c>
      <c r="AK37" s="706">
        <f t="shared" si="29"/>
        <v>25984.349104633417</v>
      </c>
      <c r="AL37" s="706">
        <f>IF($C37="other",(1-$C23)*AJ37,(1-(VLOOKUP($C37,'S3 - Screening Tool Metrics'!$C$3:$G$17,5,FALSE)/100))*AJ37)</f>
        <v>1374.7226088492766</v>
      </c>
      <c r="AM37" s="706">
        <f>IF($C37="other",$C23*AJ37,(VLOOKUP($C37,'S3 - Screening Tool Metrics'!$C$3:$G$17,5,FALSE)/100)*AJ37)</f>
        <v>646.92828651730667</v>
      </c>
      <c r="AN37" s="709">
        <f t="shared" si="26"/>
        <v>2.3099631740245186</v>
      </c>
    </row>
    <row r="38" spans="2:40" x14ac:dyDescent="0.15">
      <c r="B38" s="700" t="s">
        <v>10</v>
      </c>
      <c r="C38" s="721" t="str">
        <f>$C24</f>
        <v>PSA_3ng/mL cut-off</v>
      </c>
      <c r="D38" s="552" t="s">
        <v>204</v>
      </c>
      <c r="E38" s="710">
        <f>VLOOKUP($B38&amp;"_"&amp;$D38,'App5 - CRUK Inci Rates'!C:H,6,FALSE)</f>
        <v>296.50668196175269</v>
      </c>
      <c r="F38" s="711">
        <f>VLOOKUP($B38&amp;"_"&amp;$D38,'App5 - CRUK Inci Rates'!C:H,3,FALSE)</f>
        <v>0</v>
      </c>
      <c r="G38" s="712">
        <f>VLOOKUP($B38&amp;"_"&amp;$D38,'App5 - CRUK Inci Rates'!C:J,8,FALSE)</f>
        <v>14565607.666666668</v>
      </c>
      <c r="H38" s="713">
        <f>VLOOKUP($B38&amp;"_"&amp;$D38,'App5 - CRUK Inci Rates'!C:J,7,FALSE)</f>
        <v>14565607.666666668</v>
      </c>
      <c r="I38" s="713">
        <f>VLOOKUP($B38&amp;"_"&amp;$D38,'App5 - CRUK Inci Rates'!C:J,4,FALSE)</f>
        <v>0</v>
      </c>
      <c r="J38" s="709">
        <f>VLOOKUP($B38&amp;"_"&amp;$D38,'App5 - CRUK Inci Rates'!C:K,9,FALSE)</f>
        <v>43188</v>
      </c>
      <c r="K38" s="706">
        <f t="shared" si="8"/>
        <v>7282803.833333334</v>
      </c>
      <c r="L38" s="706">
        <f>VLOOKUP("*"&amp;$B38&amp;"*",'S4 - Summ PRS Characteristics'!$C$21:$Q$28,11,FALSE)*$J38</f>
        <v>34849.808104246637</v>
      </c>
      <c r="M38" s="706">
        <f t="shared" si="9"/>
        <v>8338.1918957533635</v>
      </c>
      <c r="N38" s="706">
        <f>IF($C38="other",(1-$C$7)*L38,(1-(VLOOKUP($C38,'S3 - Screening Tool Metrics'!$C$3:$G$17,5,FALSE)/100))*L38)</f>
        <v>23697.869510887711</v>
      </c>
      <c r="O38" s="706">
        <f>IF($C38="other",$C$7*L38,(VLOOKUP($C38,'S3 - Screening Tool Metrics'!$C$3:$G$17,5,FALSE)/100)*L38)</f>
        <v>11151.938593358924</v>
      </c>
      <c r="P38" s="706">
        <f t="shared" si="10"/>
        <v>25.821845404646947</v>
      </c>
      <c r="Q38" s="707">
        <f t="shared" si="19"/>
        <v>2913121.5333333337</v>
      </c>
      <c r="R38" s="706">
        <f>VLOOKUP("*"&amp;$B38&amp;"*",'S4 - Summ PRS Characteristics'!$C$21:$Q$28,12,FALSE)*$J38</f>
        <v>22025.161776145669</v>
      </c>
      <c r="S38" s="706">
        <f t="shared" si="27"/>
        <v>21162.838223854331</v>
      </c>
      <c r="T38" s="706">
        <f>IF($C38="other",(1-$C23)*R38,(1-(VLOOKUP($C38,'S3 - Screening Tool Metrics'!$C$3:$G$17,5,FALSE)/100))*R38)</f>
        <v>14977.110007779054</v>
      </c>
      <c r="U38" s="706">
        <f>IF($C38="other",$C23*R38,(VLOOKUP($C38,'S3 - Screening Tool Metrics'!$C$3:$G$17,5,FALSE)/100)*R38)</f>
        <v>7048.0517683666139</v>
      </c>
      <c r="V38" s="708">
        <f t="shared" si="20"/>
        <v>16.319467834506376</v>
      </c>
      <c r="W38" s="707">
        <f t="shared" si="21"/>
        <v>1456560.7666666668</v>
      </c>
      <c r="X38" s="706">
        <f>VLOOKUP("*"&amp;$B38&amp;"*",'S4 - Summ PRS Characteristics'!$C$21:$Q$28,13,FALSE)*$J38</f>
        <v>14645.327720254149</v>
      </c>
      <c r="Y38" s="706">
        <f t="shared" si="28"/>
        <v>28542.67227974585</v>
      </c>
      <c r="Z38" s="706">
        <f>IF($C38="other",(1-$C23)*X38,(1-(VLOOKUP($C38,'S3 - Screening Tool Metrics'!$C$3:$G$17,5,FALSE)/100))*X38)</f>
        <v>9958.8228497728196</v>
      </c>
      <c r="AA38" s="706">
        <f>IF($C38="other",$C23*X38,(VLOOKUP($C38,'S3 - Screening Tool Metrics'!$C$3:$G$17,5,FALSE)/100)*X38)</f>
        <v>4686.504870481328</v>
      </c>
      <c r="AB38" s="708">
        <f t="shared" si="22"/>
        <v>10.851405183109494</v>
      </c>
      <c r="AC38" s="707">
        <f t="shared" si="23"/>
        <v>728280.38333333342</v>
      </c>
      <c r="AD38" s="706">
        <f>VLOOKUP("*"&amp;$B38&amp;"*",'S4 - Summ PRS Characteristics'!$C$21:$Q$28,14,FALSE)*$J38</f>
        <v>9424.6594351808653</v>
      </c>
      <c r="AE38" s="706">
        <f t="shared" si="30"/>
        <v>33763.340564819133</v>
      </c>
      <c r="AF38" s="706">
        <f>IF($C38="other",(1-$C23)*AD38,(1-(VLOOKUP($C38,'S3 - Screening Tool Metrics'!$C$3:$G$17,5,FALSE)/100))*AD38)</f>
        <v>6408.7684159229875</v>
      </c>
      <c r="AG38" s="706">
        <f>IF($C38="other",$C23*AD38,(VLOOKUP($C38,'S3 - Screening Tool Metrics'!$C$3:$G$17,5,FALSE)/100)*AD38)</f>
        <v>3015.8910192578769</v>
      </c>
      <c r="AH38" s="708">
        <f t="shared" si="24"/>
        <v>6.98316898040631</v>
      </c>
      <c r="AI38" s="707">
        <f t="shared" si="25"/>
        <v>145656.07666666669</v>
      </c>
      <c r="AJ38" s="706">
        <f>VLOOKUP("*"&amp;$B38&amp;"*",'S4 - Summ PRS Characteristics'!$C$21:$Q$28,15,FALSE)*$J38</f>
        <v>3117.5840487428409</v>
      </c>
      <c r="AK38" s="706">
        <f t="shared" si="29"/>
        <v>40070.415951257157</v>
      </c>
      <c r="AL38" s="706">
        <f>IF($C38="other",(1-$C23)*AJ38,(1-(VLOOKUP($C38,'S3 - Screening Tool Metrics'!$C$3:$G$17,5,FALSE)/100))*AJ38)</f>
        <v>2119.9571531451315</v>
      </c>
      <c r="AM38" s="706">
        <f>IF($C38="other",$C23*AJ38,(VLOOKUP($C38,'S3 - Screening Tool Metrics'!$C$3:$G$17,5,FALSE)/100)*AJ38)</f>
        <v>997.62689559770911</v>
      </c>
      <c r="AN38" s="709">
        <f t="shared" si="26"/>
        <v>2.3099631740245186</v>
      </c>
    </row>
    <row r="39" spans="2:40" ht="14" thickBot="1" x14ac:dyDescent="0.2">
      <c r="B39" s="700" t="s">
        <v>10</v>
      </c>
      <c r="C39" s="721" t="str">
        <f>$C25</f>
        <v>PSA_3ng/mL cut-off</v>
      </c>
      <c r="D39" s="552" t="s">
        <v>205</v>
      </c>
      <c r="E39" s="710">
        <f>VLOOKUP($B39&amp;"_"&amp;$D39,'App5 - CRUK Inci Rates'!C:H,6,FALSE)</f>
        <v>183.8</v>
      </c>
      <c r="F39" s="711">
        <f>VLOOKUP($B39&amp;"_"&amp;$D39,'App5 - CRUK Inci Rates'!C:H,3,FALSE)</f>
        <v>0</v>
      </c>
      <c r="G39" s="712">
        <f>VLOOKUP($B39&amp;"_"&amp;$D39,'App5 - CRUK Inci Rates'!C:J,8,FALSE)</f>
        <v>32583225.666666668</v>
      </c>
      <c r="H39" s="713">
        <f>VLOOKUP($B39&amp;"_"&amp;$D39,'App5 - CRUK Inci Rates'!C:J,7,FALSE)</f>
        <v>32583225.666666668</v>
      </c>
      <c r="I39" s="713">
        <f>VLOOKUP($B39&amp;"_"&amp;$D39,'App5 - CRUK Inci Rates'!C:J,4,FALSE)</f>
        <v>0</v>
      </c>
      <c r="J39" s="709">
        <f>VLOOKUP($B39&amp;"_"&amp;$D39,'App5 - CRUK Inci Rates'!C:K,9,FALSE)</f>
        <v>52254</v>
      </c>
      <c r="K39" s="716"/>
      <c r="L39" s="716"/>
      <c r="M39" s="716"/>
      <c r="N39" s="716"/>
      <c r="O39" s="716"/>
      <c r="P39" s="716"/>
      <c r="Q39" s="715"/>
      <c r="R39" s="716"/>
      <c r="S39" s="716"/>
      <c r="T39" s="716"/>
      <c r="U39" s="716"/>
      <c r="V39" s="717"/>
      <c r="W39" s="715"/>
      <c r="X39" s="716"/>
      <c r="Y39" s="716"/>
      <c r="Z39" s="716"/>
      <c r="AA39" s="716"/>
      <c r="AB39" s="717"/>
      <c r="AC39" s="716"/>
      <c r="AD39" s="716"/>
      <c r="AE39" s="716"/>
      <c r="AF39" s="716"/>
      <c r="AG39" s="716"/>
      <c r="AH39" s="717"/>
      <c r="AI39" s="734"/>
      <c r="AJ39" s="735"/>
      <c r="AK39" s="735"/>
      <c r="AL39" s="735"/>
      <c r="AM39" s="735"/>
      <c r="AN39" s="736"/>
    </row>
    <row r="40" spans="2:40" ht="21" customHeight="1" thickBot="1" x14ac:dyDescent="0.2">
      <c r="B40" s="686" t="s">
        <v>11</v>
      </c>
      <c r="C40" s="687"/>
      <c r="D40" s="688"/>
      <c r="E40" s="689"/>
      <c r="F40" s="690"/>
      <c r="G40" s="691"/>
      <c r="H40" s="692"/>
      <c r="I40" s="692"/>
      <c r="J40" s="693"/>
      <c r="K40" s="694"/>
      <c r="L40" s="694"/>
      <c r="M40" s="694"/>
      <c r="N40" s="694"/>
      <c r="O40" s="694"/>
      <c r="P40" s="694"/>
      <c r="Q40" s="695"/>
      <c r="R40" s="696"/>
      <c r="S40" s="696"/>
      <c r="T40" s="696"/>
      <c r="U40" s="696"/>
      <c r="V40" s="697"/>
      <c r="W40" s="695"/>
      <c r="X40" s="696"/>
      <c r="Y40" s="696"/>
      <c r="Z40" s="696"/>
      <c r="AA40" s="696"/>
      <c r="AB40" s="697"/>
      <c r="AC40" s="695"/>
      <c r="AD40" s="696"/>
      <c r="AE40" s="696"/>
      <c r="AF40" s="696"/>
      <c r="AG40" s="696"/>
      <c r="AH40" s="697"/>
      <c r="AI40" s="695"/>
      <c r="AJ40" s="696"/>
      <c r="AK40" s="696"/>
      <c r="AL40" s="696"/>
      <c r="AM40" s="696"/>
      <c r="AN40" s="699"/>
    </row>
    <row r="41" spans="2:40" x14ac:dyDescent="0.15">
      <c r="B41" s="700" t="s">
        <v>11</v>
      </c>
      <c r="C41" s="720" t="s">
        <v>143</v>
      </c>
      <c r="D41" s="593" t="s">
        <v>192</v>
      </c>
      <c r="E41" s="701">
        <f>VLOOKUP($B41&amp;"_"&amp;$D41,'App5 - CRUK Inci Rates'!C:H,6,FALSE)</f>
        <v>14.5</v>
      </c>
      <c r="F41" s="702">
        <f>VLOOKUP($B41&amp;"_"&amp;$D41,'App5 - CRUK Inci Rates'!C:H,3,FALSE)</f>
        <v>13.5</v>
      </c>
      <c r="G41" s="703">
        <f>VLOOKUP($B41&amp;"_"&amp;$D41,'App5 - CRUK Inci Rates'!C:J,8,FALSE)</f>
        <v>4075608</v>
      </c>
      <c r="H41" s="704">
        <f>VLOOKUP($B41&amp;"_"&amp;$D41,'App5 - CRUK Inci Rates'!C:J,7,FALSE)</f>
        <v>2021384.6666666667</v>
      </c>
      <c r="I41" s="704">
        <f>VLOOKUP($B41&amp;"_"&amp;$D41,'App5 - CRUK Inci Rates'!C:J,4,FALSE)</f>
        <v>2054223.3333333333</v>
      </c>
      <c r="J41" s="705">
        <f>VLOOKUP($B41&amp;"_"&amp;$D41,'App5 - CRUK Inci Rates'!C:K,9,FALSE)</f>
        <v>570</v>
      </c>
      <c r="K41" s="706">
        <f t="shared" si="8"/>
        <v>2037804</v>
      </c>
      <c r="L41" s="706">
        <f>VLOOKUP("*"&amp;$B41&amp;"*",'S4 - Summ PRS Characteristics'!$C$21:$Q$28,11,FALSE)*$J41</f>
        <v>425.12333760018896</v>
      </c>
      <c r="M41" s="706">
        <f t="shared" si="9"/>
        <v>144.87666239981104</v>
      </c>
      <c r="N41" s="706">
        <f>IF($C41="other",(1-$C$7)*L41,(1-(VLOOKUP($C41,'S3 - Screening Tool Metrics'!$C$3:$G$17,5,FALSE)/100))*L41)</f>
        <v>127.53700128005671</v>
      </c>
      <c r="O41" s="706">
        <f>IF($C41="other",$C$7*L41,(VLOOKUP($C41,'S3 - Screening Tool Metrics'!$C$3:$G$17,5,FALSE)/100)*L41)</f>
        <v>297.58633632013226</v>
      </c>
      <c r="P41" s="706">
        <f t="shared" si="10"/>
        <v>52.208129178970573</v>
      </c>
      <c r="Q41" s="707">
        <f t="shared" ref="Q41:Q54" si="37">$G41*Q$3</f>
        <v>815121.60000000009</v>
      </c>
      <c r="R41" s="706">
        <f>VLOOKUP("*"&amp;$B41&amp;"*",'S4 - Summ PRS Characteristics'!$C$21:$Q$28,12,FALSE)*$J41</f>
        <v>244.24479717186725</v>
      </c>
      <c r="S41" s="706">
        <f>$J41-R41</f>
        <v>325.75520282813272</v>
      </c>
      <c r="T41" s="706">
        <f>IF($C41="other",(1-$C40)*R41,(1-(VLOOKUP($C41,'S3 - Screening Tool Metrics'!$C$3:$G$17,5,FALSE)/100))*R41)</f>
        <v>73.273439151560183</v>
      </c>
      <c r="U41" s="706">
        <f>IF($C41="other",$C40*R41,(VLOOKUP($C41,'S3 - Screening Tool Metrics'!$C$3:$G$17,5,FALSE)/100)*R41)</f>
        <v>170.97135802030706</v>
      </c>
      <c r="V41" s="708">
        <f t="shared" ref="V41:V54" si="38">U41/J41*100</f>
        <v>29.99497509128194</v>
      </c>
      <c r="W41" s="707">
        <f t="shared" ref="W41:W54" si="39">$G41*W$3</f>
        <v>407560.80000000005</v>
      </c>
      <c r="X41" s="706">
        <f>VLOOKUP("*"&amp;$B41&amp;"*",'S4 - Summ PRS Characteristics'!$C$21:$Q$28,13,FALSE)*$J41</f>
        <v>152.52490687204829</v>
      </c>
      <c r="Y41" s="706">
        <f>$J41-X41</f>
        <v>417.47509312795171</v>
      </c>
      <c r="Z41" s="706">
        <f>IF($C41="other",(1-$C40)*X41,(1-(VLOOKUP($C41,'S3 - Screening Tool Metrics'!$C$3:$G$17,5,FALSE)/100))*X41)</f>
        <v>45.757472061614493</v>
      </c>
      <c r="AA41" s="706">
        <f>IF($C41="other",$C40*X41,(VLOOKUP($C41,'S3 - Screening Tool Metrics'!$C$3:$G$17,5,FALSE)/100)*X41)</f>
        <v>106.7674348104338</v>
      </c>
      <c r="AB41" s="708">
        <f t="shared" ref="AB41:AB54" si="40">$AA41/$J41*100</f>
        <v>18.731128914111192</v>
      </c>
      <c r="AC41" s="707">
        <f t="shared" ref="AC41:AC54" si="41">$G41*AC$3</f>
        <v>203780.40000000002</v>
      </c>
      <c r="AD41" s="706">
        <f>VLOOKUP("*"&amp;$B41&amp;"*",'S4 - Summ PRS Characteristics'!$C$21:$Q$28,14,FALSE)*$J41</f>
        <v>92.738148210597103</v>
      </c>
      <c r="AE41" s="706">
        <f>$J41-AD41</f>
        <v>477.2618517894029</v>
      </c>
      <c r="AF41" s="706">
        <f>IF($C41="other",(1-$C40)*AD41,(1-(VLOOKUP($C41,'S3 - Screening Tool Metrics'!$C$3:$G$17,5,FALSE)/100))*AD41)</f>
        <v>27.821444463179134</v>
      </c>
      <c r="AG41" s="706">
        <f>IF($C41="other",$C40*AD41,(VLOOKUP($C41,'S3 - Screening Tool Metrics'!$C$3:$G$17,5,FALSE)/100)*AD41)</f>
        <v>64.916703747417969</v>
      </c>
      <c r="AH41" s="708">
        <f t="shared" ref="AH41:AH54" si="42">$AG41/$J41*100</f>
        <v>11.388895394283855</v>
      </c>
      <c r="AI41" s="707">
        <f t="shared" ref="AI41:AI54" si="43">$G41*AI$3</f>
        <v>40756.080000000002</v>
      </c>
      <c r="AJ41" s="706">
        <f>VLOOKUP("*"&amp;$B41&amp;"*",'S4 - Summ PRS Characteristics'!$C$21:$Q$28,15,FALSE)*$J41</f>
        <v>27.339577046924351</v>
      </c>
      <c r="AK41" s="706">
        <f>$J41-AJ41</f>
        <v>542.66042295307568</v>
      </c>
      <c r="AL41" s="706">
        <f>IF($C41="other",(1-$C40)*AJ41,(1-(VLOOKUP($C41,'S3 - Screening Tool Metrics'!$C$3:$G$17,5,FALSE)/100))*AJ41)</f>
        <v>8.2018731140773067</v>
      </c>
      <c r="AM41" s="706">
        <f>IF($C41="other",$C40*AJ41,(VLOOKUP($C41,'S3 - Screening Tool Metrics'!$C$3:$G$17,5,FALSE)/100)*AJ41)</f>
        <v>19.137703932847046</v>
      </c>
      <c r="AN41" s="709">
        <f t="shared" ref="AN41:AN54" si="44">$AM41/$J41*100</f>
        <v>3.3574919180433414</v>
      </c>
    </row>
    <row r="42" spans="2:40" x14ac:dyDescent="0.15">
      <c r="B42" s="700" t="s">
        <v>11</v>
      </c>
      <c r="C42" s="721" t="str">
        <f>$C41</f>
        <v>FIT 20-50 µg/g threshold (CRC)</v>
      </c>
      <c r="D42" s="552" t="s">
        <v>193</v>
      </c>
      <c r="E42" s="710">
        <f>VLOOKUP($B42&amp;"_"&amp;$D42,'App5 - CRUK Inci Rates'!C:H,6,FALSE)</f>
        <v>24.4</v>
      </c>
      <c r="F42" s="711">
        <f>VLOOKUP($B42&amp;"_"&amp;$D42,'App5 - CRUK Inci Rates'!C:H,3,FALSE)</f>
        <v>21.6</v>
      </c>
      <c r="G42" s="712">
        <f>VLOOKUP($B42&amp;"_"&amp;$D42,'App5 - CRUK Inci Rates'!C:J,8,FALSE)</f>
        <v>4567159.333333334</v>
      </c>
      <c r="H42" s="713">
        <f>VLOOKUP($B42&amp;"_"&amp;$D42,'App5 - CRUK Inci Rates'!C:J,7,FALSE)</f>
        <v>2251680</v>
      </c>
      <c r="I42" s="713">
        <f>VLOOKUP($B42&amp;"_"&amp;$D42,'App5 - CRUK Inci Rates'!C:J,4,FALSE)</f>
        <v>2315479.3333333335</v>
      </c>
      <c r="J42" s="709">
        <f>VLOOKUP($B42&amp;"_"&amp;$D42,'App5 - CRUK Inci Rates'!C:K,9,FALSE)</f>
        <v>1047</v>
      </c>
      <c r="K42" s="706">
        <f t="shared" si="8"/>
        <v>2283579.666666667</v>
      </c>
      <c r="L42" s="706">
        <f>VLOOKUP("*"&amp;$B42&amp;"*",'S4 - Summ PRS Characteristics'!$C$21:$Q$28,11,FALSE)*$J42</f>
        <v>780.88444643403136</v>
      </c>
      <c r="M42" s="706">
        <f t="shared" si="9"/>
        <v>266.11555356596864</v>
      </c>
      <c r="N42" s="706">
        <f>IF($C42="other",(1-$C$7)*L42,(1-(VLOOKUP($C42,'S3 - Screening Tool Metrics'!$C$3:$G$17,5,FALSE)/100))*L42)</f>
        <v>234.26533393020944</v>
      </c>
      <c r="O42" s="706">
        <f>IF($C42="other",$C$7*L42,(VLOOKUP($C42,'S3 - Screening Tool Metrics'!$C$3:$G$17,5,FALSE)/100)*L42)</f>
        <v>546.61911250382195</v>
      </c>
      <c r="P42" s="706">
        <f t="shared" si="10"/>
        <v>52.208129178970573</v>
      </c>
      <c r="Q42" s="707">
        <f t="shared" si="37"/>
        <v>913431.86666666681</v>
      </c>
      <c r="R42" s="706">
        <f>VLOOKUP("*"&amp;$B42&amp;"*",'S4 - Summ PRS Characteristics'!$C$21:$Q$28,12,FALSE)*$J42</f>
        <v>448.63912743674558</v>
      </c>
      <c r="S42" s="706">
        <f t="shared" ref="S42:S54" si="45">$J42-R42</f>
        <v>598.36087256325436</v>
      </c>
      <c r="T42" s="706">
        <f>IF($C42="other",(1-$C40)*R42,(1-(VLOOKUP($C42,'S3 - Screening Tool Metrics'!$C$3:$G$17,5,FALSE)/100))*R42)</f>
        <v>134.5917382310237</v>
      </c>
      <c r="U42" s="706">
        <f>IF($C42="other",$C40*R42,(VLOOKUP($C42,'S3 - Screening Tool Metrics'!$C$3:$G$17,5,FALSE)/100)*R42)</f>
        <v>314.04738920572191</v>
      </c>
      <c r="V42" s="708">
        <f t="shared" si="38"/>
        <v>29.99497509128194</v>
      </c>
      <c r="W42" s="707">
        <f t="shared" si="39"/>
        <v>456715.93333333341</v>
      </c>
      <c r="X42" s="706">
        <f>VLOOKUP("*"&amp;$B42&amp;"*",'S4 - Summ PRS Characteristics'!$C$21:$Q$28,13,FALSE)*$J42</f>
        <v>280.16417104392025</v>
      </c>
      <c r="Y42" s="706">
        <f t="shared" ref="Y42:Y54" si="46">$J42-X42</f>
        <v>766.83582895607969</v>
      </c>
      <c r="Z42" s="706">
        <f>IF($C42="other",(1-$C40)*X42,(1-(VLOOKUP($C42,'S3 - Screening Tool Metrics'!$C$3:$G$17,5,FALSE)/100))*X42)</f>
        <v>84.049251313176086</v>
      </c>
      <c r="AA42" s="706">
        <f>IF($C42="other",$C40*X42,(VLOOKUP($C42,'S3 - Screening Tool Metrics'!$C$3:$G$17,5,FALSE)/100)*X42)</f>
        <v>196.11491973074416</v>
      </c>
      <c r="AB42" s="708">
        <f t="shared" si="40"/>
        <v>18.731128914111189</v>
      </c>
      <c r="AC42" s="707">
        <f t="shared" si="41"/>
        <v>228357.9666666667</v>
      </c>
      <c r="AD42" s="706">
        <f>VLOOKUP("*"&amp;$B42&amp;"*",'S4 - Summ PRS Characteristics'!$C$21:$Q$28,14,FALSE)*$J42</f>
        <v>170.34533539735995</v>
      </c>
      <c r="AE42" s="706">
        <f>$J42-AD42</f>
        <v>876.65466460264008</v>
      </c>
      <c r="AF42" s="706">
        <f>IF($C42="other",(1-$C40)*AD42,(1-(VLOOKUP($C42,'S3 - Screening Tool Metrics'!$C$3:$G$17,5,FALSE)/100))*AD42)</f>
        <v>51.103600619207988</v>
      </c>
      <c r="AG42" s="706">
        <f>IF($C42="other",$C40*AD42,(VLOOKUP($C42,'S3 - Screening Tool Metrics'!$C$3:$G$17,5,FALSE)/100)*AD42)</f>
        <v>119.24173477815195</v>
      </c>
      <c r="AH42" s="708">
        <f t="shared" si="42"/>
        <v>11.388895394283855</v>
      </c>
      <c r="AI42" s="707">
        <f t="shared" si="43"/>
        <v>45671.593333333338</v>
      </c>
      <c r="AJ42" s="706">
        <f>VLOOKUP("*"&amp;$B42&amp;"*",'S4 - Summ PRS Characteristics'!$C$21:$Q$28,15,FALSE)*$J42</f>
        <v>50.218486259876833</v>
      </c>
      <c r="AK42" s="706">
        <f t="shared" ref="AK42:AK54" si="47">$J42-AJ42</f>
        <v>996.78151374012316</v>
      </c>
      <c r="AL42" s="706">
        <f>IF($C42="other",(1-$C40)*AJ42,(1-(VLOOKUP($C42,'S3 - Screening Tool Metrics'!$C$3:$G$17,5,FALSE)/100))*AJ42)</f>
        <v>15.065545877963052</v>
      </c>
      <c r="AM42" s="706">
        <f>IF($C42="other",$C40*AJ42,(VLOOKUP($C42,'S3 - Screening Tool Metrics'!$C$3:$G$17,5,FALSE)/100)*AJ42)</f>
        <v>35.15294038191378</v>
      </c>
      <c r="AN42" s="709">
        <f t="shared" si="44"/>
        <v>3.3574919180433414</v>
      </c>
    </row>
    <row r="43" spans="2:40" x14ac:dyDescent="0.15">
      <c r="B43" s="700" t="s">
        <v>11</v>
      </c>
      <c r="C43" s="721" t="str">
        <f>$C41</f>
        <v>FIT 20-50 µg/g threshold (CRC)</v>
      </c>
      <c r="D43" s="552" t="s">
        <v>194</v>
      </c>
      <c r="E43" s="710">
        <f>VLOOKUP($B43&amp;"_"&amp;$D43,'App5 - CRUK Inci Rates'!C:H,6,FALSE)</f>
        <v>47.1</v>
      </c>
      <c r="F43" s="711">
        <f>VLOOKUP($B43&amp;"_"&amp;$D43,'App5 - CRUK Inci Rates'!C:H,3,FALSE)</f>
        <v>37.1</v>
      </c>
      <c r="G43" s="712">
        <f>VLOOKUP($B43&amp;"_"&amp;$D43,'App5 - CRUK Inci Rates'!C:J,8,FALSE)</f>
        <v>4658110.666666666</v>
      </c>
      <c r="H43" s="713">
        <f>VLOOKUP($B43&amp;"_"&amp;$D43,'App5 - CRUK Inci Rates'!C:J,7,FALSE)</f>
        <v>2293472.6666666665</v>
      </c>
      <c r="I43" s="713">
        <f>VLOOKUP($B43&amp;"_"&amp;$D43,'App5 - CRUK Inci Rates'!C:J,4,FALSE)</f>
        <v>2364638</v>
      </c>
      <c r="J43" s="709">
        <f>VLOOKUP($B43&amp;"_"&amp;$D43,'App5 - CRUK Inci Rates'!C:K,9,FALSE)</f>
        <v>1958</v>
      </c>
      <c r="K43" s="706">
        <f t="shared" si="8"/>
        <v>2329055.333333333</v>
      </c>
      <c r="L43" s="706">
        <f>VLOOKUP("*"&amp;$B43&amp;"*",'S4 - Summ PRS Characteristics'!$C$21:$Q$28,11,FALSE)*$J43</f>
        <v>1460.3359561774912</v>
      </c>
      <c r="M43" s="706">
        <f t="shared" si="9"/>
        <v>497.6640438225088</v>
      </c>
      <c r="N43" s="706">
        <f>IF($C43="other",(1-$C$7)*L43,(1-(VLOOKUP($C43,'S3 - Screening Tool Metrics'!$C$3:$G$17,5,FALSE)/100))*L43)</f>
        <v>438.10078685324743</v>
      </c>
      <c r="O43" s="706">
        <f>IF($C43="other",$C$7*L43,(VLOOKUP($C43,'S3 - Screening Tool Metrics'!$C$3:$G$17,5,FALSE)/100)*L43)</f>
        <v>1022.2351693242438</v>
      </c>
      <c r="P43" s="706">
        <f t="shared" si="10"/>
        <v>52.208129178970573</v>
      </c>
      <c r="Q43" s="707">
        <f t="shared" si="37"/>
        <v>931622.1333333333</v>
      </c>
      <c r="R43" s="706">
        <f>VLOOKUP("*"&amp;$B43&amp;"*",'S4 - Summ PRS Characteristics'!$C$21:$Q$28,12,FALSE)*$J43</f>
        <v>839.00230326757196</v>
      </c>
      <c r="S43" s="706">
        <f t="shared" si="45"/>
        <v>1118.997696732428</v>
      </c>
      <c r="T43" s="706">
        <f>IF($C43="other",(1-$C40)*R43,(1-(VLOOKUP($C43,'S3 - Screening Tool Metrics'!$C$3:$G$17,5,FALSE)/100))*R43)</f>
        <v>251.70069098027162</v>
      </c>
      <c r="U43" s="706">
        <f>IF($C43="other",$C40*R43,(VLOOKUP($C43,'S3 - Screening Tool Metrics'!$C$3:$G$17,5,FALSE)/100)*R43)</f>
        <v>587.30161228730037</v>
      </c>
      <c r="V43" s="708">
        <f t="shared" si="38"/>
        <v>29.99497509128194</v>
      </c>
      <c r="W43" s="707">
        <f t="shared" si="39"/>
        <v>465811.06666666665</v>
      </c>
      <c r="X43" s="706">
        <f>VLOOKUP("*"&amp;$B43&amp;"*",'S4 - Summ PRS Characteristics'!$C$21:$Q$28,13,FALSE)*$J43</f>
        <v>523.93643448328169</v>
      </c>
      <c r="Y43" s="706">
        <f t="shared" si="46"/>
        <v>1434.0635655167184</v>
      </c>
      <c r="Z43" s="706">
        <f>IF($C43="other",(1-$C40)*X43,(1-(VLOOKUP($C43,'S3 - Screening Tool Metrics'!$C$3:$G$17,5,FALSE)/100))*X43)</f>
        <v>157.18093034498452</v>
      </c>
      <c r="AA43" s="706">
        <f>IF($C43="other",$C40*X43,(VLOOKUP($C43,'S3 - Screening Tool Metrics'!$C$3:$G$17,5,FALSE)/100)*X43)</f>
        <v>366.75550413829717</v>
      </c>
      <c r="AB43" s="708">
        <f t="shared" si="40"/>
        <v>18.731128914111196</v>
      </c>
      <c r="AC43" s="707">
        <f t="shared" si="41"/>
        <v>232905.53333333333</v>
      </c>
      <c r="AD43" s="706">
        <f>VLOOKUP("*"&amp;$B43&amp;"*",'S4 - Summ PRS Characteristics'!$C$21:$Q$28,14,FALSE)*$J43</f>
        <v>318.56367402868267</v>
      </c>
      <c r="AE43" s="706">
        <f t="shared" ref="AE43:AE54" si="48">$J43-AD43</f>
        <v>1639.4363259713173</v>
      </c>
      <c r="AF43" s="706">
        <f>IF($C43="other",(1-$C40)*AD43,(1-(VLOOKUP($C43,'S3 - Screening Tool Metrics'!$C$3:$G$17,5,FALSE)/100))*AD43)</f>
        <v>95.569102208604818</v>
      </c>
      <c r="AG43" s="706">
        <f>IF($C43="other",$C40*AD43,(VLOOKUP($C43,'S3 - Screening Tool Metrics'!$C$3:$G$17,5,FALSE)/100)*AD43)</f>
        <v>222.99457182007785</v>
      </c>
      <c r="AH43" s="708">
        <f t="shared" si="42"/>
        <v>11.388895394283853</v>
      </c>
      <c r="AI43" s="707">
        <f t="shared" si="43"/>
        <v>46581.106666666659</v>
      </c>
      <c r="AJ43" s="706">
        <f>VLOOKUP("*"&amp;$B43&amp;"*",'S4 - Summ PRS Characteristics'!$C$21:$Q$28,15,FALSE)*$J43</f>
        <v>93.913845364698034</v>
      </c>
      <c r="AK43" s="706">
        <f t="shared" si="47"/>
        <v>1864.0861546353019</v>
      </c>
      <c r="AL43" s="706">
        <f>IF($C43="other",(1-$C40)*AJ43,(1-(VLOOKUP($C43,'S3 - Screening Tool Metrics'!$C$3:$G$17,5,FALSE)/100))*AJ43)</f>
        <v>28.174153609409416</v>
      </c>
      <c r="AM43" s="706">
        <f>IF($C43="other",$C40*AJ43,(VLOOKUP($C43,'S3 - Screening Tool Metrics'!$C$3:$G$17,5,FALSE)/100)*AJ43)</f>
        <v>65.739691755288618</v>
      </c>
      <c r="AN43" s="709">
        <f t="shared" si="44"/>
        <v>3.3574919180433414</v>
      </c>
    </row>
    <row r="44" spans="2:40" x14ac:dyDescent="0.15">
      <c r="B44" s="700" t="s">
        <v>11</v>
      </c>
      <c r="C44" s="721" t="str">
        <f>$C41</f>
        <v>FIT 20-50 µg/g threshold (CRC)</v>
      </c>
      <c r="D44" s="552" t="s">
        <v>195</v>
      </c>
      <c r="E44" s="710">
        <f>VLOOKUP($B44&amp;"_"&amp;$D44,'App5 - CRUK Inci Rates'!C:H,6,FALSE)</f>
        <v>87.7</v>
      </c>
      <c r="F44" s="711">
        <f>VLOOKUP($B44&amp;"_"&amp;$D44,'App5 - CRUK Inci Rates'!C:H,3,FALSE)</f>
        <v>60.6</v>
      </c>
      <c r="G44" s="712">
        <f>VLOOKUP($B44&amp;"_"&amp;$D44,'App5 - CRUK Inci Rates'!C:J,8,FALSE)</f>
        <v>4181606</v>
      </c>
      <c r="H44" s="713">
        <f>VLOOKUP($B44&amp;"_"&amp;$D44,'App5 - CRUK Inci Rates'!C:J,7,FALSE)</f>
        <v>2061918.6666666667</v>
      </c>
      <c r="I44" s="713">
        <f>VLOOKUP($B44&amp;"_"&amp;$D44,'App5 - CRUK Inci Rates'!C:J,4,FALSE)</f>
        <v>2119687.3333333335</v>
      </c>
      <c r="J44" s="709">
        <f>VLOOKUP($B44&amp;"_"&amp;$D44,'App5 - CRUK Inci Rates'!C:K,9,FALSE)</f>
        <v>3094</v>
      </c>
      <c r="K44" s="706">
        <f t="shared" si="8"/>
        <v>2090803</v>
      </c>
      <c r="L44" s="706">
        <f>VLOOKUP("*"&amp;$B44&amp;"*",'S4 - Summ PRS Characteristics'!$C$21:$Q$28,11,FALSE)*$J44</f>
        <v>2307.5993097104993</v>
      </c>
      <c r="M44" s="706">
        <f t="shared" si="9"/>
        <v>786.40069028950074</v>
      </c>
      <c r="N44" s="706">
        <f>IF($C44="other",(1-$C$7)*L44,(1-(VLOOKUP($C44,'S3 - Screening Tool Metrics'!$C$3:$G$17,5,FALSE)/100))*L44)</f>
        <v>692.27979291314989</v>
      </c>
      <c r="O44" s="706">
        <f>IF($C44="other",$C$7*L44,(VLOOKUP($C44,'S3 - Screening Tool Metrics'!$C$3:$G$17,5,FALSE)/100)*L44)</f>
        <v>1615.3195167973495</v>
      </c>
      <c r="P44" s="706">
        <f t="shared" si="10"/>
        <v>52.208129178970573</v>
      </c>
      <c r="Q44" s="707">
        <f t="shared" si="37"/>
        <v>836321.20000000007</v>
      </c>
      <c r="R44" s="706">
        <f>VLOOKUP("*"&amp;$B44&amp;"*",'S4 - Summ PRS Characteristics'!$C$21:$Q$28,12,FALSE)*$J44</f>
        <v>1325.7778990346619</v>
      </c>
      <c r="S44" s="706">
        <f t="shared" si="45"/>
        <v>1768.2221009653381</v>
      </c>
      <c r="T44" s="706">
        <f>IF($C44="other",(1-$C40)*R44,(1-(VLOOKUP($C44,'S3 - Screening Tool Metrics'!$C$3:$G$17,5,FALSE)/100))*R44)</f>
        <v>397.73336971039862</v>
      </c>
      <c r="U44" s="706">
        <f>IF($C44="other",$C40*R44,(VLOOKUP($C44,'S3 - Screening Tool Metrics'!$C$3:$G$17,5,FALSE)/100)*R44)</f>
        <v>928.04452932426329</v>
      </c>
      <c r="V44" s="708">
        <f t="shared" si="38"/>
        <v>29.994975091281944</v>
      </c>
      <c r="W44" s="707">
        <f t="shared" si="39"/>
        <v>418160.60000000003</v>
      </c>
      <c r="X44" s="706">
        <f>VLOOKUP("*"&amp;$B44&amp;"*",'S4 - Summ PRS Characteristics'!$C$21:$Q$28,13,FALSE)*$J44</f>
        <v>827.91589800371469</v>
      </c>
      <c r="Y44" s="706">
        <f t="shared" si="46"/>
        <v>2266.0841019962854</v>
      </c>
      <c r="Z44" s="706">
        <f>IF($C44="other",(1-$C40)*X44,(1-(VLOOKUP($C44,'S3 - Screening Tool Metrics'!$C$3:$G$17,5,FALSE)/100))*X44)</f>
        <v>248.37476940111443</v>
      </c>
      <c r="AA44" s="706">
        <f>IF($C44="other",$C40*X44,(VLOOKUP($C44,'S3 - Screening Tool Metrics'!$C$3:$G$17,5,FALSE)/100)*X44)</f>
        <v>579.54112860260022</v>
      </c>
      <c r="AB44" s="708">
        <f t="shared" si="40"/>
        <v>18.731128914111189</v>
      </c>
      <c r="AC44" s="707">
        <f t="shared" si="41"/>
        <v>209080.30000000002</v>
      </c>
      <c r="AD44" s="706">
        <f>VLOOKUP("*"&amp;$B44&amp;"*",'S4 - Summ PRS Characteristics'!$C$21:$Q$28,14,FALSE)*$J44</f>
        <v>503.3891764273464</v>
      </c>
      <c r="AE44" s="706">
        <f t="shared" si="48"/>
        <v>2590.6108235726538</v>
      </c>
      <c r="AF44" s="706">
        <f>IF($C44="other",(1-$C40)*AD44,(1-(VLOOKUP($C44,'S3 - Screening Tool Metrics'!$C$3:$G$17,5,FALSE)/100))*AD44)</f>
        <v>151.01675292820394</v>
      </c>
      <c r="AG44" s="706">
        <f>IF($C44="other",$C40*AD44,(VLOOKUP($C44,'S3 - Screening Tool Metrics'!$C$3:$G$17,5,FALSE)/100)*AD44)</f>
        <v>352.37242349914249</v>
      </c>
      <c r="AH44" s="708">
        <f t="shared" si="42"/>
        <v>11.388895394283855</v>
      </c>
      <c r="AI44" s="707">
        <f t="shared" si="43"/>
        <v>41816.06</v>
      </c>
      <c r="AJ44" s="706">
        <f>VLOOKUP("*"&amp;$B44&amp;"*",'S4 - Summ PRS Characteristics'!$C$21:$Q$28,15,FALSE)*$J44</f>
        <v>148.4011427775157</v>
      </c>
      <c r="AK44" s="706">
        <f t="shared" si="47"/>
        <v>2945.5988572224842</v>
      </c>
      <c r="AL44" s="706">
        <f>IF($C44="other",(1-$C40)*AJ44,(1-(VLOOKUP($C44,'S3 - Screening Tool Metrics'!$C$3:$G$17,5,FALSE)/100))*AJ44)</f>
        <v>44.520342833254716</v>
      </c>
      <c r="AM44" s="706">
        <f>IF($C44="other",$C40*AJ44,(VLOOKUP($C44,'S3 - Screening Tool Metrics'!$C$3:$G$17,5,FALSE)/100)*AJ44)</f>
        <v>103.88079994426099</v>
      </c>
      <c r="AN44" s="709">
        <f t="shared" si="44"/>
        <v>3.3574919180433414</v>
      </c>
    </row>
    <row r="45" spans="2:40" x14ac:dyDescent="0.15">
      <c r="B45" s="700" t="s">
        <v>11</v>
      </c>
      <c r="C45" s="721" t="str">
        <f>$C41</f>
        <v>FIT 20-50 µg/g threshold (CRC)</v>
      </c>
      <c r="D45" s="552" t="s">
        <v>196</v>
      </c>
      <c r="E45" s="710">
        <f>VLOOKUP($B45&amp;"_"&amp;$D45,'App5 - CRUK Inci Rates'!C:H,6,FALSE)</f>
        <v>151.4</v>
      </c>
      <c r="F45" s="711">
        <f>VLOOKUP($B45&amp;"_"&amp;$D45,'App5 - CRUK Inci Rates'!C:H,3,FALSE)</f>
        <v>91</v>
      </c>
      <c r="G45" s="712">
        <f>VLOOKUP($B45&amp;"_"&amp;$D45,'App5 - CRUK Inci Rates'!C:J,8,FALSE)</f>
        <v>3602002</v>
      </c>
      <c r="H45" s="713">
        <f>VLOOKUP($B45&amp;"_"&amp;$D45,'App5 - CRUK Inci Rates'!C:J,7,FALSE)</f>
        <v>1764828</v>
      </c>
      <c r="I45" s="713">
        <f>VLOOKUP($B45&amp;"_"&amp;$D45,'App5 - CRUK Inci Rates'!C:J,4,FALSE)</f>
        <v>1837174</v>
      </c>
      <c r="J45" s="709">
        <f>VLOOKUP($B45&amp;"_"&amp;$D45,'App5 - CRUK Inci Rates'!C:K,9,FALSE)</f>
        <v>4345</v>
      </c>
      <c r="K45" s="706">
        <f t="shared" si="8"/>
        <v>1801001</v>
      </c>
      <c r="L45" s="706">
        <f>VLOOKUP("*"&amp;$B45&amp;"*",'S4 - Summ PRS Characteristics'!$C$21:$Q$28,11,FALSE)*$J45</f>
        <v>3240.633161180388</v>
      </c>
      <c r="M45" s="706">
        <f t="shared" si="9"/>
        <v>1104.366838819612</v>
      </c>
      <c r="N45" s="706">
        <f>IF($C45="other",(1-$C$7)*L45,(1-(VLOOKUP($C45,'S3 - Screening Tool Metrics'!$C$3:$G$17,5,FALSE)/100))*L45)</f>
        <v>972.1899483541165</v>
      </c>
      <c r="O45" s="706">
        <f>IF($C45="other",$C$7*L45,(VLOOKUP($C45,'S3 - Screening Tool Metrics'!$C$3:$G$17,5,FALSE)/100)*L45)</f>
        <v>2268.4432128262715</v>
      </c>
      <c r="P45" s="706">
        <f t="shared" si="10"/>
        <v>52.208129178970573</v>
      </c>
      <c r="Q45" s="707">
        <f t="shared" si="37"/>
        <v>720400.4</v>
      </c>
      <c r="R45" s="706">
        <f>VLOOKUP("*"&amp;$B45&amp;"*",'S4 - Summ PRS Characteristics'!$C$21:$Q$28,12,FALSE)*$J45</f>
        <v>1861.8309538802862</v>
      </c>
      <c r="S45" s="706">
        <f t="shared" si="45"/>
        <v>2483.169046119714</v>
      </c>
      <c r="T45" s="706">
        <f>IF($C45="other",(1-$C40)*R45,(1-(VLOOKUP($C45,'S3 - Screening Tool Metrics'!$C$3:$G$17,5,FALSE)/100))*R45)</f>
        <v>558.54928616408597</v>
      </c>
      <c r="U45" s="706">
        <f>IF($C45="other",$C40*R45,(VLOOKUP($C45,'S3 - Screening Tool Metrics'!$C$3:$G$17,5,FALSE)/100)*R45)</f>
        <v>1303.2816677162002</v>
      </c>
      <c r="V45" s="708">
        <f t="shared" si="38"/>
        <v>29.99497509128194</v>
      </c>
      <c r="W45" s="707">
        <f t="shared" si="39"/>
        <v>360200.2</v>
      </c>
      <c r="X45" s="706">
        <f>VLOOKUP("*"&amp;$B45&amp;"*",'S4 - Summ PRS Characteristics'!$C$21:$Q$28,13,FALSE)*$J45</f>
        <v>1162.6679304544734</v>
      </c>
      <c r="Y45" s="706">
        <f t="shared" si="46"/>
        <v>3182.3320695455268</v>
      </c>
      <c r="Z45" s="706">
        <f>IF($C45="other",(1-$C40)*X45,(1-(VLOOKUP($C45,'S3 - Screening Tool Metrics'!$C$3:$G$17,5,FALSE)/100))*X45)</f>
        <v>348.80037913634209</v>
      </c>
      <c r="AA45" s="706">
        <f>IF($C45="other",$C40*X45,(VLOOKUP($C45,'S3 - Screening Tool Metrics'!$C$3:$G$17,5,FALSE)/100)*X45)</f>
        <v>813.8675513181314</v>
      </c>
      <c r="AB45" s="708">
        <f t="shared" si="40"/>
        <v>18.731128914111196</v>
      </c>
      <c r="AC45" s="707">
        <f t="shared" si="41"/>
        <v>180100.1</v>
      </c>
      <c r="AD45" s="706">
        <f>VLOOKUP("*"&amp;$B45&amp;"*",'S4 - Summ PRS Characteristics'!$C$21:$Q$28,14,FALSE)*$J45</f>
        <v>706.92500697376215</v>
      </c>
      <c r="AE45" s="706">
        <f t="shared" si="48"/>
        <v>3638.0749930262377</v>
      </c>
      <c r="AF45" s="706">
        <f>IF($C45="other",(1-$C40)*AD45,(1-(VLOOKUP($C45,'S3 - Screening Tool Metrics'!$C$3:$G$17,5,FALSE)/100))*AD45)</f>
        <v>212.07750209212867</v>
      </c>
      <c r="AG45" s="706">
        <f>IF($C45="other",$C40*AD45,(VLOOKUP($C45,'S3 - Screening Tool Metrics'!$C$3:$G$17,5,FALSE)/100)*AD45)</f>
        <v>494.84750488163348</v>
      </c>
      <c r="AH45" s="708">
        <f t="shared" si="42"/>
        <v>11.388895394283855</v>
      </c>
      <c r="AI45" s="707">
        <f t="shared" si="43"/>
        <v>36020.020000000004</v>
      </c>
      <c r="AJ45" s="706">
        <f>VLOOKUP("*"&amp;$B45&amp;"*",'S4 - Summ PRS Characteristics'!$C$21:$Q$28,15,FALSE)*$J45</f>
        <v>208.40431976997598</v>
      </c>
      <c r="AK45" s="706">
        <f t="shared" si="47"/>
        <v>4136.5956802300243</v>
      </c>
      <c r="AL45" s="706">
        <f>IF($C45="other",(1-$C40)*AJ45,(1-(VLOOKUP($C45,'S3 - Screening Tool Metrics'!$C$3:$G$17,5,FALSE)/100))*AJ45)</f>
        <v>62.521295930992807</v>
      </c>
      <c r="AM45" s="706">
        <f>IF($C45="other",$C40*AJ45,(VLOOKUP($C45,'S3 - Screening Tool Metrics'!$C$3:$G$17,5,FALSE)/100)*AJ45)</f>
        <v>145.88302383898318</v>
      </c>
      <c r="AN45" s="709">
        <f t="shared" si="44"/>
        <v>3.3574919180433414</v>
      </c>
    </row>
    <row r="46" spans="2:40" x14ac:dyDescent="0.15">
      <c r="B46" s="700" t="s">
        <v>11</v>
      </c>
      <c r="C46" s="721" t="str">
        <f>$C41</f>
        <v>FIT 20-50 µg/g threshold (CRC)</v>
      </c>
      <c r="D46" s="552" t="s">
        <v>197</v>
      </c>
      <c r="E46" s="710">
        <f>VLOOKUP($B46&amp;"_"&amp;$D46,'App5 - CRUK Inci Rates'!C:H,6,FALSE)</f>
        <v>198.3</v>
      </c>
      <c r="F46" s="711">
        <f>VLOOKUP($B46&amp;"_"&amp;$D46,'App5 - CRUK Inci Rates'!C:H,3,FALSE)</f>
        <v>119.1</v>
      </c>
      <c r="G46" s="712">
        <f>VLOOKUP($B46&amp;"_"&amp;$D46,'App5 - CRUK Inci Rates'!C:J,8,FALSE)</f>
        <v>3502183.333333333</v>
      </c>
      <c r="H46" s="713">
        <f>VLOOKUP($B46&amp;"_"&amp;$D46,'App5 - CRUK Inci Rates'!C:J,7,FALSE)</f>
        <v>1696993.3333333333</v>
      </c>
      <c r="I46" s="713">
        <f>VLOOKUP($B46&amp;"_"&amp;$D46,'App5 - CRUK Inci Rates'!C:J,4,FALSE)</f>
        <v>1805190</v>
      </c>
      <c r="J46" s="709">
        <f>VLOOKUP($B46&amp;"_"&amp;$D46,'App5 - CRUK Inci Rates'!C:K,9,FALSE)</f>
        <v>5516</v>
      </c>
      <c r="K46" s="706">
        <f t="shared" si="8"/>
        <v>1751091.6666666665</v>
      </c>
      <c r="L46" s="706">
        <f>VLOOKUP("*"&amp;$B46&amp;"*",'S4 - Summ PRS Characteristics'!$C$21:$Q$28,11,FALSE)*$J46</f>
        <v>4114.0005793028813</v>
      </c>
      <c r="M46" s="706">
        <f t="shared" si="9"/>
        <v>1401.9994206971187</v>
      </c>
      <c r="N46" s="706">
        <f>IF($C46="other",(1-$C$7)*L46,(1-(VLOOKUP($C46,'S3 - Screening Tool Metrics'!$C$3:$G$17,5,FALSE)/100))*L46)</f>
        <v>1234.2001737908645</v>
      </c>
      <c r="O46" s="706">
        <f>IF($C46="other",$C$7*L46,(VLOOKUP($C46,'S3 - Screening Tool Metrics'!$C$3:$G$17,5,FALSE)/100)*L46)</f>
        <v>2879.8004055120168</v>
      </c>
      <c r="P46" s="706">
        <f t="shared" si="10"/>
        <v>52.208129178970573</v>
      </c>
      <c r="Q46" s="707">
        <f t="shared" si="37"/>
        <v>700436.66666666663</v>
      </c>
      <c r="R46" s="706">
        <f>VLOOKUP("*"&amp;$B46&amp;"*",'S4 - Summ PRS Characteristics'!$C$21:$Q$28,12,FALSE)*$J46</f>
        <v>2363.6040371930171</v>
      </c>
      <c r="S46" s="706">
        <f t="shared" si="45"/>
        <v>3152.3959628069829</v>
      </c>
      <c r="T46" s="706">
        <f>IF($C46="other",(1-$C40)*R46,(1-(VLOOKUP($C46,'S3 - Screening Tool Metrics'!$C$3:$G$17,5,FALSE)/100))*R46)</f>
        <v>709.08121115790527</v>
      </c>
      <c r="U46" s="706">
        <f>IF($C46="other",$C40*R46,(VLOOKUP($C46,'S3 - Screening Tool Metrics'!$C$3:$G$17,5,FALSE)/100)*R46)</f>
        <v>1654.5228260351118</v>
      </c>
      <c r="V46" s="708">
        <f t="shared" si="38"/>
        <v>29.99497509128194</v>
      </c>
      <c r="W46" s="707">
        <f t="shared" si="39"/>
        <v>350218.33333333331</v>
      </c>
      <c r="X46" s="706">
        <f>VLOOKUP("*"&amp;$B46&amp;"*",'S4 - Summ PRS Characteristics'!$C$21:$Q$28,13,FALSE)*$J46</f>
        <v>1476.012958431962</v>
      </c>
      <c r="Y46" s="706">
        <f t="shared" si="46"/>
        <v>4039.987041568038</v>
      </c>
      <c r="Z46" s="706">
        <f>IF($C46="other",(1-$C40)*X46,(1-(VLOOKUP($C46,'S3 - Screening Tool Metrics'!$C$3:$G$17,5,FALSE)/100))*X46)</f>
        <v>442.80388752958868</v>
      </c>
      <c r="AA46" s="706">
        <f>IF($C46="other",$C40*X46,(VLOOKUP($C46,'S3 - Screening Tool Metrics'!$C$3:$G$17,5,FALSE)/100)*X46)</f>
        <v>1033.2090709023735</v>
      </c>
      <c r="AB46" s="708">
        <f t="shared" si="40"/>
        <v>18.731128914111196</v>
      </c>
      <c r="AC46" s="707">
        <f t="shared" si="41"/>
        <v>175109.16666666666</v>
      </c>
      <c r="AD46" s="706">
        <f>VLOOKUP("*"&amp;$B46&amp;"*",'S4 - Summ PRS Characteristics'!$C$21:$Q$28,14,FALSE)*$J46</f>
        <v>897.44495706956775</v>
      </c>
      <c r="AE46" s="706">
        <f t="shared" si="48"/>
        <v>4618.5550429304321</v>
      </c>
      <c r="AF46" s="706">
        <f>IF($C46="other",(1-$C40)*AD46,(1-(VLOOKUP($C46,'S3 - Screening Tool Metrics'!$C$3:$G$17,5,FALSE)/100))*AD46)</f>
        <v>269.23348712087039</v>
      </c>
      <c r="AG46" s="706">
        <f>IF($C46="other",$C40*AD46,(VLOOKUP($C46,'S3 - Screening Tool Metrics'!$C$3:$G$17,5,FALSE)/100)*AD46)</f>
        <v>628.21146994869741</v>
      </c>
      <c r="AH46" s="708">
        <f t="shared" si="42"/>
        <v>11.388895394283855</v>
      </c>
      <c r="AI46" s="707">
        <f t="shared" si="43"/>
        <v>35021.833333333328</v>
      </c>
      <c r="AJ46" s="706">
        <f>VLOOKUP("*"&amp;$B46&amp;"*",'S4 - Summ PRS Characteristics'!$C$21:$Q$28,15,FALSE)*$J46</f>
        <v>264.57036314181528</v>
      </c>
      <c r="AK46" s="706">
        <f t="shared" si="47"/>
        <v>5251.4296368581845</v>
      </c>
      <c r="AL46" s="706">
        <f>IF($C46="other",(1-$C40)*AJ46,(1-(VLOOKUP($C46,'S3 - Screening Tool Metrics'!$C$3:$G$17,5,FALSE)/100))*AJ46)</f>
        <v>79.371108942544595</v>
      </c>
      <c r="AM46" s="706">
        <f>IF($C46="other",$C40*AJ46,(VLOOKUP($C46,'S3 - Screening Tool Metrics'!$C$3:$G$17,5,FALSE)/100)*AJ46)</f>
        <v>185.19925419927068</v>
      </c>
      <c r="AN46" s="709">
        <f t="shared" si="44"/>
        <v>3.3574919180433405</v>
      </c>
    </row>
    <row r="47" spans="2:40" x14ac:dyDescent="0.15">
      <c r="B47" s="700" t="s">
        <v>11</v>
      </c>
      <c r="C47" s="721" t="str">
        <f>$C41</f>
        <v>FIT 20-50 µg/g threshold (CRC)</v>
      </c>
      <c r="D47" s="552" t="s">
        <v>198</v>
      </c>
      <c r="E47" s="710">
        <f>VLOOKUP($B47&amp;"_"&amp;$D47,'App5 - CRUK Inci Rates'!C:H,6,FALSE)</f>
        <v>273.5</v>
      </c>
      <c r="F47" s="711">
        <f>VLOOKUP($B47&amp;"_"&amp;$D47,'App5 - CRUK Inci Rates'!C:H,3,FALSE)</f>
        <v>171.2</v>
      </c>
      <c r="G47" s="712">
        <f>VLOOKUP($B47&amp;"_"&amp;$D47,'App5 - CRUK Inci Rates'!C:J,8,FALSE)</f>
        <v>3071574.666666667</v>
      </c>
      <c r="H47" s="713">
        <f>VLOOKUP($B47&amp;"_"&amp;$D47,'App5 - CRUK Inci Rates'!C:J,7,FALSE)</f>
        <v>1467965</v>
      </c>
      <c r="I47" s="713">
        <f>VLOOKUP($B47&amp;"_"&amp;$D47,'App5 - CRUK Inci Rates'!C:J,4,FALSE)</f>
        <v>1603609.6666666667</v>
      </c>
      <c r="J47" s="709">
        <f>VLOOKUP($B47&amp;"_"&amp;$D47,'App5 - CRUK Inci Rates'!C:K,9,FALSE)</f>
        <v>6760</v>
      </c>
      <c r="K47" s="706">
        <f t="shared" si="8"/>
        <v>1535787.3333333335</v>
      </c>
      <c r="L47" s="706">
        <f>VLOOKUP("*"&amp;$B47&amp;"*",'S4 - Summ PRS Characteristics'!$C$21:$Q$28,11,FALSE)*$J47</f>
        <v>5041.813617854873</v>
      </c>
      <c r="M47" s="706">
        <f t="shared" si="9"/>
        <v>1718.186382145127</v>
      </c>
      <c r="N47" s="706">
        <f>IF($C47="other",(1-$C$7)*L47,(1-(VLOOKUP($C47,'S3 - Screening Tool Metrics'!$C$3:$G$17,5,FALSE)/100))*L47)</f>
        <v>1512.5440853564621</v>
      </c>
      <c r="O47" s="706">
        <f>IF($C47="other",$C$7*L47,(VLOOKUP($C47,'S3 - Screening Tool Metrics'!$C$3:$G$17,5,FALSE)/100)*L47)</f>
        <v>3529.2695324984111</v>
      </c>
      <c r="P47" s="706">
        <f t="shared" si="10"/>
        <v>52.208129178970573</v>
      </c>
      <c r="Q47" s="707">
        <f t="shared" si="37"/>
        <v>614314.93333333347</v>
      </c>
      <c r="R47" s="706">
        <f>VLOOKUP("*"&amp;$B47&amp;"*",'S4 - Summ PRS Characteristics'!$C$21:$Q$28,12,FALSE)*$J47</f>
        <v>2896.6575945295131</v>
      </c>
      <c r="S47" s="706">
        <f t="shared" si="45"/>
        <v>3863.3424054704869</v>
      </c>
      <c r="T47" s="706">
        <f>IF($C47="other",(1-$C40)*R47,(1-(VLOOKUP($C47,'S3 - Screening Tool Metrics'!$C$3:$G$17,5,FALSE)/100))*R47)</f>
        <v>868.99727835885403</v>
      </c>
      <c r="U47" s="706">
        <f>IF($C47="other",$C40*R47,(VLOOKUP($C47,'S3 - Screening Tool Metrics'!$C$3:$G$17,5,FALSE)/100)*R47)</f>
        <v>2027.6603161706589</v>
      </c>
      <c r="V47" s="708">
        <f t="shared" si="38"/>
        <v>29.99497509128194</v>
      </c>
      <c r="W47" s="707">
        <f t="shared" si="39"/>
        <v>307157.46666666673</v>
      </c>
      <c r="X47" s="706">
        <f>VLOOKUP("*"&amp;$B47&amp;"*",'S4 - Summ PRS Characteristics'!$C$21:$Q$28,13,FALSE)*$J47</f>
        <v>1808.8918779913095</v>
      </c>
      <c r="Y47" s="706">
        <f t="shared" si="46"/>
        <v>4951.1081220086908</v>
      </c>
      <c r="Z47" s="706">
        <f>IF($C47="other",(1-$C40)*X47,(1-(VLOOKUP($C47,'S3 - Screening Tool Metrics'!$C$3:$G$17,5,FALSE)/100))*X47)</f>
        <v>542.66756339739288</v>
      </c>
      <c r="AA47" s="706">
        <f>IF($C47="other",$C40*X47,(VLOOKUP($C47,'S3 - Screening Tool Metrics'!$C$3:$G$17,5,FALSE)/100)*X47)</f>
        <v>1266.2243145939165</v>
      </c>
      <c r="AB47" s="708">
        <f t="shared" si="40"/>
        <v>18.731128914111189</v>
      </c>
      <c r="AC47" s="707">
        <f t="shared" si="41"/>
        <v>153578.73333333337</v>
      </c>
      <c r="AD47" s="706">
        <f>VLOOKUP("*"&amp;$B47&amp;"*",'S4 - Summ PRS Characteristics'!$C$21:$Q$28,14,FALSE)*$J47</f>
        <v>1099.8418980765553</v>
      </c>
      <c r="AE47" s="706">
        <f t="shared" si="48"/>
        <v>5660.1581019234445</v>
      </c>
      <c r="AF47" s="706">
        <f>IF($C47="other",(1-$C40)*AD47,(1-(VLOOKUP($C47,'S3 - Screening Tool Metrics'!$C$3:$G$17,5,FALSE)/100))*AD47)</f>
        <v>329.95256942296663</v>
      </c>
      <c r="AG47" s="706">
        <f>IF($C47="other",$C40*AD47,(VLOOKUP($C47,'S3 - Screening Tool Metrics'!$C$3:$G$17,5,FALSE)/100)*AD47)</f>
        <v>769.88932865358868</v>
      </c>
      <c r="AH47" s="708">
        <f t="shared" si="42"/>
        <v>11.388895394283855</v>
      </c>
      <c r="AI47" s="707">
        <f t="shared" si="43"/>
        <v>30715.74666666667</v>
      </c>
      <c r="AJ47" s="706">
        <f>VLOOKUP("*"&amp;$B47&amp;"*",'S4 - Summ PRS Characteristics'!$C$21:$Q$28,15,FALSE)*$J47</f>
        <v>324.23779094247124</v>
      </c>
      <c r="AK47" s="706">
        <f t="shared" si="47"/>
        <v>6435.7622090575287</v>
      </c>
      <c r="AL47" s="706">
        <f>IF($C47="other",(1-$C40)*AJ47,(1-(VLOOKUP($C47,'S3 - Screening Tool Metrics'!$C$3:$G$17,5,FALSE)/100))*AJ47)</f>
        <v>97.271337282741385</v>
      </c>
      <c r="AM47" s="706">
        <f>IF($C47="other",$C40*AJ47,(VLOOKUP($C47,'S3 - Screening Tool Metrics'!$C$3:$G$17,5,FALSE)/100)*AJ47)</f>
        <v>226.96645365972984</v>
      </c>
      <c r="AN47" s="709">
        <f t="shared" si="44"/>
        <v>3.3574919180433405</v>
      </c>
    </row>
    <row r="48" spans="2:40" x14ac:dyDescent="0.15">
      <c r="B48" s="700" t="s">
        <v>11</v>
      </c>
      <c r="C48" s="721" t="str">
        <f>$C41</f>
        <v>FIT 20-50 µg/g threshold (CRC)</v>
      </c>
      <c r="D48" s="552" t="s">
        <v>199</v>
      </c>
      <c r="E48" s="710">
        <f>VLOOKUP($B48&amp;"_"&amp;$D48,'App5 - CRUK Inci Rates'!C:H,6,FALSE)</f>
        <v>351.7</v>
      </c>
      <c r="F48" s="711">
        <f>VLOOKUP($B48&amp;"_"&amp;$D48,'App5 - CRUK Inci Rates'!C:H,3,FALSE)</f>
        <v>234.8</v>
      </c>
      <c r="G48" s="712">
        <f>VLOOKUP($B48&amp;"_"&amp;$D48,'App5 - CRUK Inci Rates'!C:J,8,FALSE)</f>
        <v>2189010.6666666665</v>
      </c>
      <c r="H48" s="713">
        <f>VLOOKUP($B48&amp;"_"&amp;$D48,'App5 - CRUK Inci Rates'!C:J,7,FALSE)</f>
        <v>1007365.3333333334</v>
      </c>
      <c r="I48" s="713">
        <f>VLOOKUP($B48&amp;"_"&amp;$D48,'App5 - CRUK Inci Rates'!C:J,4,FALSE)</f>
        <v>1181645.3333333333</v>
      </c>
      <c r="J48" s="709">
        <f>VLOOKUP($B48&amp;"_"&amp;$D48,'App5 - CRUK Inci Rates'!C:K,9,FALSE)</f>
        <v>6318</v>
      </c>
      <c r="K48" s="706">
        <f t="shared" si="8"/>
        <v>1094505.3333333333</v>
      </c>
      <c r="L48" s="706">
        <f>VLOOKUP("*"&amp;$B48&amp;"*",'S4 - Summ PRS Characteristics'!$C$21:$Q$28,11,FALSE)*$J48</f>
        <v>4712.1565736105158</v>
      </c>
      <c r="M48" s="706">
        <f t="shared" si="9"/>
        <v>1605.8434263894842</v>
      </c>
      <c r="N48" s="706">
        <f>IF($C48="other",(1-$C$7)*L48,(1-(VLOOKUP($C48,'S3 - Screening Tool Metrics'!$C$3:$G$17,5,FALSE)/100))*L48)</f>
        <v>1413.6469720831549</v>
      </c>
      <c r="O48" s="706">
        <f>IF($C48="other",$C$7*L48,(VLOOKUP($C48,'S3 - Screening Tool Metrics'!$C$3:$G$17,5,FALSE)/100)*L48)</f>
        <v>3298.5096015273607</v>
      </c>
      <c r="P48" s="706">
        <f t="shared" si="10"/>
        <v>52.208129178970573</v>
      </c>
      <c r="Q48" s="707">
        <f t="shared" si="37"/>
        <v>437802.1333333333</v>
      </c>
      <c r="R48" s="706">
        <f>VLOOKUP("*"&amp;$B48&amp;"*",'S4 - Summ PRS Characteristics'!$C$21:$Q$28,12,FALSE)*$J48</f>
        <v>2707.2607518102759</v>
      </c>
      <c r="S48" s="706">
        <f t="shared" si="45"/>
        <v>3610.7392481897241</v>
      </c>
      <c r="T48" s="706">
        <f>IF($C48="other",(1-$C40)*R48,(1-(VLOOKUP($C48,'S3 - Screening Tool Metrics'!$C$3:$G$17,5,FALSE)/100))*R48)</f>
        <v>812.17822554308293</v>
      </c>
      <c r="U48" s="706">
        <f>IF($C48="other",$C40*R48,(VLOOKUP($C48,'S3 - Screening Tool Metrics'!$C$3:$G$17,5,FALSE)/100)*R48)</f>
        <v>1895.0825262671931</v>
      </c>
      <c r="V48" s="708">
        <f t="shared" si="38"/>
        <v>29.994975091281944</v>
      </c>
      <c r="W48" s="707">
        <f t="shared" si="39"/>
        <v>218901.06666666665</v>
      </c>
      <c r="X48" s="706">
        <f>VLOOKUP("*"&amp;$B48&amp;"*",'S4 - Summ PRS Characteristics'!$C$21:$Q$28,13,FALSE)*$J48</f>
        <v>1690.6181782764932</v>
      </c>
      <c r="Y48" s="706">
        <f t="shared" si="46"/>
        <v>4627.3818217235066</v>
      </c>
      <c r="Z48" s="706">
        <f>IF($C48="other",(1-$C40)*X48,(1-(VLOOKUP($C48,'S3 - Screening Tool Metrics'!$C$3:$G$17,5,FALSE)/100))*X48)</f>
        <v>507.18545348294805</v>
      </c>
      <c r="AA48" s="706">
        <f>IF($C48="other",$C40*X48,(VLOOKUP($C48,'S3 - Screening Tool Metrics'!$C$3:$G$17,5,FALSE)/100)*X48)</f>
        <v>1183.432724793545</v>
      </c>
      <c r="AB48" s="708">
        <f t="shared" si="40"/>
        <v>18.731128914111192</v>
      </c>
      <c r="AC48" s="707">
        <f t="shared" si="41"/>
        <v>109450.53333333333</v>
      </c>
      <c r="AD48" s="706">
        <f>VLOOKUP("*"&amp;$B48&amp;"*",'S4 - Summ PRS Characteristics'!$C$21:$Q$28,14,FALSE)*$J48</f>
        <v>1027.9291585869341</v>
      </c>
      <c r="AE48" s="706">
        <f t="shared" si="48"/>
        <v>5290.0708414130659</v>
      </c>
      <c r="AF48" s="706">
        <f>IF($C48="other",(1-$C40)*AD48,(1-(VLOOKUP($C48,'S3 - Screening Tool Metrics'!$C$3:$G$17,5,FALSE)/100))*AD48)</f>
        <v>308.37874757608029</v>
      </c>
      <c r="AG48" s="706">
        <f>IF($C48="other",$C40*AD48,(VLOOKUP($C48,'S3 - Screening Tool Metrics'!$C$3:$G$17,5,FALSE)/100)*AD48)</f>
        <v>719.55041101085385</v>
      </c>
      <c r="AH48" s="708">
        <f t="shared" si="42"/>
        <v>11.388895394283853</v>
      </c>
      <c r="AI48" s="707">
        <f t="shared" si="43"/>
        <v>21890.106666666667</v>
      </c>
      <c r="AJ48" s="706">
        <f>VLOOKUP("*"&amp;$B48&amp;"*",'S4 - Summ PRS Characteristics'!$C$21:$Q$28,15,FALSE)*$J48</f>
        <v>303.03762768854045</v>
      </c>
      <c r="AK48" s="706">
        <f t="shared" si="47"/>
        <v>6014.9623723114591</v>
      </c>
      <c r="AL48" s="706">
        <f>IF($C48="other",(1-$C40)*AJ48,(1-(VLOOKUP($C48,'S3 - Screening Tool Metrics'!$C$3:$G$17,5,FALSE)/100))*AJ48)</f>
        <v>90.911288306562156</v>
      </c>
      <c r="AM48" s="706">
        <f>IF($C48="other",$C40*AJ48,(VLOOKUP($C48,'S3 - Screening Tool Metrics'!$C$3:$G$17,5,FALSE)/100)*AJ48)</f>
        <v>212.12633938197831</v>
      </c>
      <c r="AN48" s="709">
        <f t="shared" si="44"/>
        <v>3.3574919180433414</v>
      </c>
    </row>
    <row r="49" spans="2:40" x14ac:dyDescent="0.15">
      <c r="B49" s="700" t="s">
        <v>11</v>
      </c>
      <c r="C49" s="721" t="str">
        <f>$C41</f>
        <v>FIT 20-50 µg/g threshold (CRC)</v>
      </c>
      <c r="D49" s="552" t="s">
        <v>200</v>
      </c>
      <c r="E49" s="710">
        <f>VLOOKUP($B49&amp;"_"&amp;$D49,'App5 - CRUK Inci Rates'!C:H,6,FALSE)</f>
        <v>80.808733585157356</v>
      </c>
      <c r="F49" s="711">
        <f>VLOOKUP($B49&amp;"_"&amp;$D49,'App5 - CRUK Inci Rates'!C:H,3,FALSE)</f>
        <v>54.095614158070582</v>
      </c>
      <c r="G49" s="712">
        <f>VLOOKUP($B49&amp;"_"&amp;$D49,'App5 - CRUK Inci Rates'!C:J,8,FALSE)</f>
        <v>24586669.333333336</v>
      </c>
      <c r="H49" s="713">
        <f>VLOOKUP($B49&amp;"_"&amp;$D49,'App5 - CRUK Inci Rates'!C:J,7,FALSE)</f>
        <v>12090277.333333334</v>
      </c>
      <c r="I49" s="713">
        <f>VLOOKUP($B49&amp;"_"&amp;$D49,'App5 - CRUK Inci Rates'!C:J,4,FALSE)</f>
        <v>12496392</v>
      </c>
      <c r="J49" s="709">
        <f>VLOOKUP($B49&amp;"_"&amp;$D49,'App5 - CRUK Inci Rates'!C:K,9,FALSE)</f>
        <v>16530</v>
      </c>
      <c r="K49" s="706">
        <f t="shared" si="8"/>
        <v>12293334.666666668</v>
      </c>
      <c r="L49" s="706">
        <f>VLOOKUP("*"&amp;$B49&amp;"*",'S4 - Summ PRS Characteristics'!$C$21:$Q$28,11,FALSE)*$J49</f>
        <v>12328.576790405479</v>
      </c>
      <c r="M49" s="706">
        <f t="shared" si="9"/>
        <v>4201.4232095945208</v>
      </c>
      <c r="N49" s="706">
        <f>IF($C49="other",(1-$C$7)*L49,(1-(VLOOKUP($C49,'S3 - Screening Tool Metrics'!$C$3:$G$17,5,FALSE)/100))*L49)</f>
        <v>3698.5730371216441</v>
      </c>
      <c r="O49" s="706">
        <f>IF($C49="other",$C$7*L49,(VLOOKUP($C49,'S3 - Screening Tool Metrics'!$C$3:$G$17,5,FALSE)/100)*L49)</f>
        <v>8630.0037532838342</v>
      </c>
      <c r="P49" s="706">
        <f t="shared" si="10"/>
        <v>52.208129178970566</v>
      </c>
      <c r="Q49" s="707">
        <f t="shared" si="37"/>
        <v>4917333.8666666672</v>
      </c>
      <c r="R49" s="706">
        <f>VLOOKUP("*"&amp;$B49&amp;"*",'S4 - Summ PRS Characteristics'!$C$21:$Q$28,12,FALSE)*$J49</f>
        <v>7083.0991179841494</v>
      </c>
      <c r="S49" s="706">
        <f t="shared" si="45"/>
        <v>9446.9008820158506</v>
      </c>
      <c r="T49" s="706">
        <f>IF($C49="other",(1-$C40)*R49,(1-(VLOOKUP($C49,'S3 - Screening Tool Metrics'!$C$3:$G$17,5,FALSE)/100))*R49)</f>
        <v>2124.9297353952452</v>
      </c>
      <c r="U49" s="706">
        <f>IF($C49="other",$C40*R49,(VLOOKUP($C49,'S3 - Screening Tool Metrics'!$C$3:$G$17,5,FALSE)/100)*R49)</f>
        <v>4958.1693825889042</v>
      </c>
      <c r="V49" s="708">
        <f t="shared" si="38"/>
        <v>29.99497509128194</v>
      </c>
      <c r="W49" s="707">
        <f t="shared" si="39"/>
        <v>2458666.9333333336</v>
      </c>
      <c r="X49" s="706">
        <f>VLOOKUP("*"&amp;$B49&amp;"*",'S4 - Summ PRS Characteristics'!$C$21:$Q$28,13,FALSE)*$J49</f>
        <v>4423.2222992894003</v>
      </c>
      <c r="Y49" s="706">
        <f t="shared" si="46"/>
        <v>12106.7777007106</v>
      </c>
      <c r="Z49" s="706">
        <f>IF($C49="other",(1-$C40)*X49,(1-(VLOOKUP($C49,'S3 - Screening Tool Metrics'!$C$3:$G$17,5,FALSE)/100))*X49)</f>
        <v>1326.9666897868203</v>
      </c>
      <c r="AA49" s="706">
        <f>IF($C49="other",$C40*X49,(VLOOKUP($C49,'S3 - Screening Tool Metrics'!$C$3:$G$17,5,FALSE)/100)*X49)</f>
        <v>3096.2556095025802</v>
      </c>
      <c r="AB49" s="708">
        <f t="shared" si="40"/>
        <v>18.731128914111192</v>
      </c>
      <c r="AC49" s="707">
        <f t="shared" si="41"/>
        <v>1229333.4666666668</v>
      </c>
      <c r="AD49" s="706">
        <f>VLOOKUP("*"&amp;$B49&amp;"*",'S4 - Summ PRS Characteristics'!$C$21:$Q$28,14,FALSE)*$J49</f>
        <v>2689.4062981073162</v>
      </c>
      <c r="AE49" s="706">
        <f t="shared" si="48"/>
        <v>13840.593701892683</v>
      </c>
      <c r="AF49" s="706">
        <f>IF($C49="other",(1-$C40)*AD49,(1-(VLOOKUP($C49,'S3 - Screening Tool Metrics'!$C$3:$G$17,5,FALSE)/100))*AD49)</f>
        <v>806.82188943219501</v>
      </c>
      <c r="AG49" s="706">
        <f>IF($C49="other",$C40*AD49,(VLOOKUP($C49,'S3 - Screening Tool Metrics'!$C$3:$G$17,5,FALSE)/100)*AD49)</f>
        <v>1882.5844086751213</v>
      </c>
      <c r="AH49" s="708">
        <f t="shared" si="42"/>
        <v>11.388895394283855</v>
      </c>
      <c r="AI49" s="707">
        <f t="shared" si="43"/>
        <v>245866.69333333336</v>
      </c>
      <c r="AJ49" s="706">
        <f>VLOOKUP("*"&amp;$B49&amp;"*",'S4 - Summ PRS Characteristics'!$C$21:$Q$28,15,FALSE)*$J49</f>
        <v>792.84773436080616</v>
      </c>
      <c r="AK49" s="706">
        <f t="shared" si="47"/>
        <v>15737.152265639194</v>
      </c>
      <c r="AL49" s="706">
        <f>IF($C49="other",(1-$C40)*AJ49,(1-(VLOOKUP($C49,'S3 - Screening Tool Metrics'!$C$3:$G$17,5,FALSE)/100))*AJ49)</f>
        <v>237.85432030824188</v>
      </c>
      <c r="AM49" s="706">
        <f>IF($C49="other",$C40*AJ49,(VLOOKUP($C49,'S3 - Screening Tool Metrics'!$C$3:$G$17,5,FALSE)/100)*AJ49)</f>
        <v>554.99341405256428</v>
      </c>
      <c r="AN49" s="709">
        <f t="shared" si="44"/>
        <v>3.3574919180433414</v>
      </c>
    </row>
    <row r="50" spans="2:40" x14ac:dyDescent="0.15">
      <c r="B50" s="700" t="s">
        <v>11</v>
      </c>
      <c r="C50" s="721" t="str">
        <f>$C41</f>
        <v>FIT 20-50 µg/g threshold (CRC)</v>
      </c>
      <c r="D50" s="552" t="s">
        <v>201</v>
      </c>
      <c r="E50" s="710">
        <f>VLOOKUP($B50&amp;"_"&amp;$D50,'App5 - CRUK Inci Rates'!C:H,6,FALSE)</f>
        <v>19.704826996143439</v>
      </c>
      <c r="F50" s="711">
        <f>VLOOKUP($B50&amp;"_"&amp;$D50,'App5 - CRUK Inci Rates'!C:H,3,FALSE)</f>
        <v>17.735760510936363</v>
      </c>
      <c r="G50" s="712">
        <f>VLOOKUP($B50&amp;"_"&amp;$D50,'App5 - CRUK Inci Rates'!C:J,8,FALSE)</f>
        <v>8642767.333333334</v>
      </c>
      <c r="H50" s="713">
        <f>VLOOKUP($B50&amp;"_"&amp;$D50,'App5 - CRUK Inci Rates'!C:J,7,FALSE)</f>
        <v>4273064.666666667</v>
      </c>
      <c r="I50" s="713">
        <f>VLOOKUP($B50&amp;"_"&amp;$D50,'App5 - CRUK Inci Rates'!C:J,4,FALSE)</f>
        <v>4369702.666666667</v>
      </c>
      <c r="J50" s="709">
        <f>VLOOKUP($B50&amp;"_"&amp;$D50,'App5 - CRUK Inci Rates'!C:K,9,FALSE)</f>
        <v>1617</v>
      </c>
      <c r="K50" s="706">
        <f t="shared" si="8"/>
        <v>4321383.666666667</v>
      </c>
      <c r="L50" s="706">
        <f>VLOOKUP("*"&amp;$B50&amp;"*",'S4 - Summ PRS Characteristics'!$C$21:$Q$28,11,FALSE)*$J50</f>
        <v>1206.0077840342203</v>
      </c>
      <c r="M50" s="706">
        <f t="shared" si="9"/>
        <v>410.99221596577968</v>
      </c>
      <c r="N50" s="706">
        <f>IF($C50="other",(1-$C$7)*L50,(1-(VLOOKUP($C50,'S3 - Screening Tool Metrics'!$C$3:$G$17,5,FALSE)/100))*L50)</f>
        <v>361.80233521026616</v>
      </c>
      <c r="O50" s="706">
        <f>IF($C50="other",$C$7*L50,(VLOOKUP($C50,'S3 - Screening Tool Metrics'!$C$3:$G$17,5,FALSE)/100)*L50)</f>
        <v>844.20544882395416</v>
      </c>
      <c r="P50" s="706">
        <f t="shared" si="10"/>
        <v>52.208129178970573</v>
      </c>
      <c r="Q50" s="707">
        <f t="shared" si="37"/>
        <v>1728553.4666666668</v>
      </c>
      <c r="R50" s="706">
        <f>VLOOKUP("*"&amp;$B50&amp;"*",'S4 - Summ PRS Characteristics'!$C$21:$Q$28,12,FALSE)*$J50</f>
        <v>692.8839246086128</v>
      </c>
      <c r="S50" s="706">
        <f t="shared" si="45"/>
        <v>924.1160753913872</v>
      </c>
      <c r="T50" s="706">
        <f>IF($C50="other",(1-$C40)*R50,(1-(VLOOKUP($C50,'S3 - Screening Tool Metrics'!$C$3:$G$17,5,FALSE)/100))*R50)</f>
        <v>207.86517738258388</v>
      </c>
      <c r="U50" s="706">
        <f>IF($C50="other",$C40*R50,(VLOOKUP($C50,'S3 - Screening Tool Metrics'!$C$3:$G$17,5,FALSE)/100)*R50)</f>
        <v>485.01874722602895</v>
      </c>
      <c r="V50" s="708">
        <f t="shared" si="38"/>
        <v>29.99497509128194</v>
      </c>
      <c r="W50" s="707">
        <f t="shared" si="39"/>
        <v>864276.7333333334</v>
      </c>
      <c r="X50" s="706">
        <f>VLOOKUP("*"&amp;$B50&amp;"*",'S4 - Summ PRS Characteristics'!$C$21:$Q$28,13,FALSE)*$J50</f>
        <v>432.68907791596854</v>
      </c>
      <c r="Y50" s="706">
        <f t="shared" si="46"/>
        <v>1184.3109220840315</v>
      </c>
      <c r="Z50" s="706">
        <f>IF($C50="other",(1-$C40)*X50,(1-(VLOOKUP($C50,'S3 - Screening Tool Metrics'!$C$3:$G$17,5,FALSE)/100))*X50)</f>
        <v>129.80672337479058</v>
      </c>
      <c r="AA50" s="706">
        <f>IF($C50="other",$C40*X50,(VLOOKUP($C50,'S3 - Screening Tool Metrics'!$C$3:$G$17,5,FALSE)/100)*X50)</f>
        <v>302.88235454117796</v>
      </c>
      <c r="AB50" s="708">
        <f t="shared" si="40"/>
        <v>18.731128914111192</v>
      </c>
      <c r="AC50" s="707">
        <f t="shared" si="41"/>
        <v>432138.3666666667</v>
      </c>
      <c r="AD50" s="706">
        <f>VLOOKUP("*"&amp;$B50&amp;"*",'S4 - Summ PRS Characteristics'!$C$21:$Q$28,14,FALSE)*$J50</f>
        <v>263.08348360795708</v>
      </c>
      <c r="AE50" s="706">
        <f t="shared" si="48"/>
        <v>1353.9165163920429</v>
      </c>
      <c r="AF50" s="706">
        <f>IF($C50="other",(1-$C40)*AD50,(1-(VLOOKUP($C50,'S3 - Screening Tool Metrics'!$C$3:$G$17,5,FALSE)/100))*AD50)</f>
        <v>78.925045082387129</v>
      </c>
      <c r="AG50" s="706">
        <f>IF($C50="other",$C40*AD50,(VLOOKUP($C50,'S3 - Screening Tool Metrics'!$C$3:$G$17,5,FALSE)/100)*AD50)</f>
        <v>184.15843852556995</v>
      </c>
      <c r="AH50" s="708">
        <f t="shared" si="42"/>
        <v>11.388895394283855</v>
      </c>
      <c r="AI50" s="707">
        <f t="shared" si="43"/>
        <v>86427.67333333334</v>
      </c>
      <c r="AJ50" s="706">
        <f>VLOOKUP("*"&amp;$B50&amp;"*",'S4 - Summ PRS Characteristics'!$C$21:$Q$28,15,FALSE)*$J50</f>
        <v>77.558063306801188</v>
      </c>
      <c r="AK50" s="706">
        <f t="shared" si="47"/>
        <v>1539.4419366931988</v>
      </c>
      <c r="AL50" s="706">
        <f>IF($C50="other",(1-$C40)*AJ50,(1-(VLOOKUP($C50,'S3 - Screening Tool Metrics'!$C$3:$G$17,5,FALSE)/100))*AJ50)</f>
        <v>23.267418992040358</v>
      </c>
      <c r="AM50" s="706">
        <f>IF($C50="other",$C40*AJ50,(VLOOKUP($C50,'S3 - Screening Tool Metrics'!$C$3:$G$17,5,FALSE)/100)*AJ50)</f>
        <v>54.290644314760826</v>
      </c>
      <c r="AN50" s="709">
        <f t="shared" si="44"/>
        <v>3.3574919180433414</v>
      </c>
    </row>
    <row r="51" spans="2:40" x14ac:dyDescent="0.15">
      <c r="B51" s="700" t="s">
        <v>11</v>
      </c>
      <c r="C51" s="721" t="str">
        <f>$C41</f>
        <v>FIT 20-50 µg/g threshold (CRC)</v>
      </c>
      <c r="D51" s="552" t="s">
        <v>202</v>
      </c>
      <c r="E51" s="710">
        <f>VLOOKUP($B51&amp;"_"&amp;$D51,'App5 - CRUK Inci Rates'!C:H,6,FALSE)</f>
        <v>66.354542653419429</v>
      </c>
      <c r="F51" s="711">
        <f>VLOOKUP($B51&amp;"_"&amp;$D51,'App5 - CRUK Inci Rates'!C:H,3,FALSE)</f>
        <v>48.212380665809548</v>
      </c>
      <c r="G51" s="712">
        <f>VLOOKUP($B51&amp;"_"&amp;$D51,'App5 - CRUK Inci Rates'!C:J,8,FALSE)</f>
        <v>8839716.6666666679</v>
      </c>
      <c r="H51" s="713">
        <f>VLOOKUP($B51&amp;"_"&amp;$D51,'App5 - CRUK Inci Rates'!C:J,7,FALSE)</f>
        <v>4355391.333333333</v>
      </c>
      <c r="I51" s="713">
        <f>VLOOKUP($B51&amp;"_"&amp;$D51,'App5 - CRUK Inci Rates'!C:J,4,FALSE)</f>
        <v>4484325.333333334</v>
      </c>
      <c r="J51" s="709">
        <f>VLOOKUP($B51&amp;"_"&amp;$D51,'App5 - CRUK Inci Rates'!C:K,9,FALSE)</f>
        <v>5052</v>
      </c>
      <c r="K51" s="706">
        <f t="shared" si="8"/>
        <v>4419858.333333334</v>
      </c>
      <c r="L51" s="706">
        <f>VLOOKUP("*"&amp;$B51&amp;"*",'S4 - Summ PRS Characteristics'!$C$21:$Q$28,11,FALSE)*$J51</f>
        <v>3767.9352658879907</v>
      </c>
      <c r="M51" s="706">
        <f t="shared" si="9"/>
        <v>1284.0647341120093</v>
      </c>
      <c r="N51" s="706">
        <f>IF($C51="other",(1-$C$7)*L51,(1-(VLOOKUP($C51,'S3 - Screening Tool Metrics'!$C$3:$G$17,5,FALSE)/100))*L51)</f>
        <v>1130.3805797663974</v>
      </c>
      <c r="O51" s="706">
        <f>IF($C51="other",$C$7*L51,(VLOOKUP($C51,'S3 - Screening Tool Metrics'!$C$3:$G$17,5,FALSE)/100)*L51)</f>
        <v>2637.5546861215935</v>
      </c>
      <c r="P51" s="706">
        <f t="shared" si="10"/>
        <v>52.208129178970573</v>
      </c>
      <c r="Q51" s="707">
        <f t="shared" si="37"/>
        <v>1767943.3333333337</v>
      </c>
      <c r="R51" s="706">
        <f>VLOOKUP("*"&amp;$B51&amp;"*",'S4 - Summ PRS Characteristics'!$C$21:$Q$28,12,FALSE)*$J51</f>
        <v>2164.7802023022336</v>
      </c>
      <c r="S51" s="706">
        <f t="shared" si="45"/>
        <v>2887.2197976977664</v>
      </c>
      <c r="T51" s="706">
        <f>IF($C51="other",(1-$C40)*R51,(1-(VLOOKUP($C51,'S3 - Screening Tool Metrics'!$C$3:$G$17,5,FALSE)/100))*R51)</f>
        <v>649.43406069067021</v>
      </c>
      <c r="U51" s="706">
        <f>IF($C51="other",$C40*R51,(VLOOKUP($C51,'S3 - Screening Tool Metrics'!$C$3:$G$17,5,FALSE)/100)*R51)</f>
        <v>1515.3461416115636</v>
      </c>
      <c r="V51" s="708">
        <f t="shared" si="38"/>
        <v>29.99497509128194</v>
      </c>
      <c r="W51" s="707">
        <f t="shared" si="39"/>
        <v>883971.66666666686</v>
      </c>
      <c r="X51" s="706">
        <f>VLOOKUP("*"&amp;$B51&amp;"*",'S4 - Summ PRS Characteristics'!$C$21:$Q$28,13,FALSE)*$J51</f>
        <v>1351.8523324869964</v>
      </c>
      <c r="Y51" s="706">
        <f t="shared" si="46"/>
        <v>3700.1476675130034</v>
      </c>
      <c r="Z51" s="706">
        <f>IF($C51="other",(1-$C40)*X51,(1-(VLOOKUP($C51,'S3 - Screening Tool Metrics'!$C$3:$G$17,5,FALSE)/100))*X51)</f>
        <v>405.55569974609898</v>
      </c>
      <c r="AA51" s="706">
        <f>IF($C51="other",$C40*X51,(VLOOKUP($C51,'S3 - Screening Tool Metrics'!$C$3:$G$17,5,FALSE)/100)*X51)</f>
        <v>946.29663274089739</v>
      </c>
      <c r="AB51" s="708">
        <f t="shared" si="40"/>
        <v>18.731128914111192</v>
      </c>
      <c r="AC51" s="707">
        <f t="shared" si="41"/>
        <v>441985.83333333343</v>
      </c>
      <c r="AD51" s="706">
        <f>VLOOKUP("*"&amp;$B51&amp;"*",'S4 - Summ PRS Characteristics'!$C$21:$Q$28,14,FALSE)*$J51</f>
        <v>821.95285045602907</v>
      </c>
      <c r="AE51" s="706">
        <f t="shared" si="48"/>
        <v>4230.0471495439706</v>
      </c>
      <c r="AF51" s="706">
        <f>IF($C51="other",(1-$C40)*AD51,(1-(VLOOKUP($C51,'S3 - Screening Tool Metrics'!$C$3:$G$17,5,FALSE)/100))*AD51)</f>
        <v>246.58585513680876</v>
      </c>
      <c r="AG51" s="706">
        <f>IF($C51="other",$C40*AD51,(VLOOKUP($C51,'S3 - Screening Tool Metrics'!$C$3:$G$17,5,FALSE)/100)*AD51)</f>
        <v>575.36699531922034</v>
      </c>
      <c r="AH51" s="708">
        <f t="shared" si="42"/>
        <v>11.388895394283855</v>
      </c>
      <c r="AI51" s="707">
        <f t="shared" si="43"/>
        <v>88397.166666666686</v>
      </c>
      <c r="AJ51" s="706">
        <f>VLOOKUP("*"&amp;$B51&amp;"*",'S4 - Summ PRS Characteristics'!$C$21:$Q$28,15,FALSE)*$J51</f>
        <v>242.31498814221374</v>
      </c>
      <c r="AK51" s="706">
        <f t="shared" si="47"/>
        <v>4809.6850118577859</v>
      </c>
      <c r="AL51" s="706">
        <f>IF($C51="other",(1-$C40)*AJ51,(1-(VLOOKUP($C51,'S3 - Screening Tool Metrics'!$C$3:$G$17,5,FALSE)/100))*AJ51)</f>
        <v>72.694496442664132</v>
      </c>
      <c r="AM51" s="706">
        <f>IF($C51="other",$C40*AJ51,(VLOOKUP($C51,'S3 - Screening Tool Metrics'!$C$3:$G$17,5,FALSE)/100)*AJ51)</f>
        <v>169.6204916995496</v>
      </c>
      <c r="AN51" s="709">
        <f t="shared" si="44"/>
        <v>3.3574919180433414</v>
      </c>
    </row>
    <row r="52" spans="2:40" x14ac:dyDescent="0.15">
      <c r="B52" s="700" t="s">
        <v>11</v>
      </c>
      <c r="C52" s="721" t="str">
        <f>$C41</f>
        <v>FIT 20-50 µg/g threshold (CRC)</v>
      </c>
      <c r="D52" s="552" t="s">
        <v>203</v>
      </c>
      <c r="E52" s="710">
        <f>VLOOKUP($B52&amp;"_"&amp;$D52,'App5 - CRUK Inci Rates'!C:H,6,FALSE)</f>
        <v>114.20950638927653</v>
      </c>
      <c r="F52" s="711">
        <f>VLOOKUP($B52&amp;"_"&amp;$D52,'App5 - CRUK Inci Rates'!C:H,3,FALSE)</f>
        <v>73.646226089279153</v>
      </c>
      <c r="G52" s="712">
        <f>VLOOKUP($B52&amp;"_"&amp;$D52,'App5 - CRUK Inci Rates'!C:J,8,FALSE)</f>
        <v>15943902</v>
      </c>
      <c r="H52" s="713">
        <f>VLOOKUP($B52&amp;"_"&amp;$D52,'App5 - CRUK Inci Rates'!C:J,7,FALSE)</f>
        <v>7817212.666666666</v>
      </c>
      <c r="I52" s="713">
        <f>VLOOKUP($B52&amp;"_"&amp;$D52,'App5 - CRUK Inci Rates'!C:J,4,FALSE)</f>
        <v>8126689.333333334</v>
      </c>
      <c r="J52" s="709">
        <f>VLOOKUP($B52&amp;"_"&amp;$D52,'App5 - CRUK Inci Rates'!C:K,9,FALSE)</f>
        <v>14913</v>
      </c>
      <c r="K52" s="706">
        <f t="shared" si="8"/>
        <v>7971951</v>
      </c>
      <c r="L52" s="706">
        <f>VLOOKUP("*"&amp;$B52&amp;"*",'S4 - Summ PRS Characteristics'!$C$21:$Q$28,11,FALSE)*$J52</f>
        <v>11122.569006371259</v>
      </c>
      <c r="M52" s="706">
        <f t="shared" si="9"/>
        <v>3790.4309936287409</v>
      </c>
      <c r="N52" s="706">
        <f>IF($C52="other",(1-$C$7)*L52,(1-(VLOOKUP($C52,'S3 - Screening Tool Metrics'!$C$3:$G$17,5,FALSE)/100))*L52)</f>
        <v>3336.7707019113782</v>
      </c>
      <c r="O52" s="706">
        <f>IF($C52="other",$C$7*L52,(VLOOKUP($C52,'S3 - Screening Tool Metrics'!$C$3:$G$17,5,FALSE)/100)*L52)</f>
        <v>7785.7983044598805</v>
      </c>
      <c r="P52" s="706">
        <f t="shared" si="10"/>
        <v>52.208129178970566</v>
      </c>
      <c r="Q52" s="707">
        <f t="shared" si="37"/>
        <v>3188780.4000000004</v>
      </c>
      <c r="R52" s="706">
        <f>VLOOKUP("*"&amp;$B52&amp;"*",'S4 - Summ PRS Characteristics'!$C$21:$Q$28,12,FALSE)*$J52</f>
        <v>6390.2151933755367</v>
      </c>
      <c r="S52" s="706">
        <f t="shared" si="45"/>
        <v>8522.7848066244624</v>
      </c>
      <c r="T52" s="706">
        <f>IF($C52="other",(1-$C40)*R52,(1-(VLOOKUP($C52,'S3 - Screening Tool Metrics'!$C$3:$G$17,5,FALSE)/100))*R52)</f>
        <v>1917.0645580126613</v>
      </c>
      <c r="U52" s="706">
        <f>IF($C52="other",$C40*R52,(VLOOKUP($C52,'S3 - Screening Tool Metrics'!$C$3:$G$17,5,FALSE)/100)*R52)</f>
        <v>4473.1506353628756</v>
      </c>
      <c r="V52" s="708">
        <f t="shared" si="38"/>
        <v>29.99497509128194</v>
      </c>
      <c r="W52" s="707">
        <f t="shared" si="39"/>
        <v>1594390.2000000002</v>
      </c>
      <c r="X52" s="706">
        <f>VLOOKUP("*"&amp;$B52&amp;"*",'S4 - Summ PRS Characteristics'!$C$21:$Q$28,13,FALSE)*$J52</f>
        <v>3990.5332213734318</v>
      </c>
      <c r="Y52" s="706">
        <f t="shared" si="46"/>
        <v>10922.466778626567</v>
      </c>
      <c r="Z52" s="706">
        <f>IF($C52="other",(1-$C40)*X52,(1-(VLOOKUP($C52,'S3 - Screening Tool Metrics'!$C$3:$G$17,5,FALSE)/100))*X52)</f>
        <v>1197.1599664120297</v>
      </c>
      <c r="AA52" s="706">
        <f>IF($C52="other",$C40*X52,(VLOOKUP($C52,'S3 - Screening Tool Metrics'!$C$3:$G$17,5,FALSE)/100)*X52)</f>
        <v>2793.3732549614019</v>
      </c>
      <c r="AB52" s="708">
        <f t="shared" si="40"/>
        <v>18.731128914111192</v>
      </c>
      <c r="AC52" s="707">
        <f t="shared" si="41"/>
        <v>797195.10000000009</v>
      </c>
      <c r="AD52" s="706">
        <f>VLOOKUP("*"&amp;$B52&amp;"*",'S4 - Summ PRS Characteristics'!$C$21:$Q$28,14,FALSE)*$J52</f>
        <v>2426.3228144993591</v>
      </c>
      <c r="AE52" s="706">
        <f t="shared" si="48"/>
        <v>12486.677185500641</v>
      </c>
      <c r="AF52" s="706">
        <f>IF($C52="other",(1-$C40)*AD52,(1-(VLOOKUP($C52,'S3 - Screening Tool Metrics'!$C$3:$G$17,5,FALSE)/100))*AD52)</f>
        <v>727.89684434980779</v>
      </c>
      <c r="AG52" s="706">
        <f>IF($C52="other",$C40*AD52,(VLOOKUP($C52,'S3 - Screening Tool Metrics'!$C$3:$G$17,5,FALSE)/100)*AD52)</f>
        <v>1698.4259701495512</v>
      </c>
      <c r="AH52" s="708">
        <f t="shared" si="42"/>
        <v>11.388895394283855</v>
      </c>
      <c r="AI52" s="707">
        <f t="shared" si="43"/>
        <v>159439.01999999999</v>
      </c>
      <c r="AJ52" s="706">
        <f>VLOOKUP("*"&amp;$B52&amp;"*",'S4 - Summ PRS Characteristics'!$C$21:$Q$28,15,FALSE)*$J52</f>
        <v>715.289671054005</v>
      </c>
      <c r="AK52" s="706">
        <f t="shared" si="47"/>
        <v>14197.710328945996</v>
      </c>
      <c r="AL52" s="706">
        <f>IF($C52="other",(1-$C40)*AJ52,(1-(VLOOKUP($C52,'S3 - Screening Tool Metrics'!$C$3:$G$17,5,FALSE)/100))*AJ52)</f>
        <v>214.58690131620153</v>
      </c>
      <c r="AM52" s="706">
        <f>IF($C52="other",$C40*AJ52,(VLOOKUP($C52,'S3 - Screening Tool Metrics'!$C$3:$G$17,5,FALSE)/100)*AJ52)</f>
        <v>500.70276973780346</v>
      </c>
      <c r="AN52" s="709">
        <f t="shared" si="44"/>
        <v>3.3574919180433414</v>
      </c>
    </row>
    <row r="53" spans="2:40" x14ac:dyDescent="0.15">
      <c r="B53" s="700" t="s">
        <v>11</v>
      </c>
      <c r="C53" s="721" t="str">
        <f>$C42</f>
        <v>FIT 20-50 µg/g threshold (CRC)</v>
      </c>
      <c r="D53" s="552" t="s">
        <v>292</v>
      </c>
      <c r="E53" s="710">
        <f>VLOOKUP($B53&amp;"_"&amp;$D53,'App5 - CRUK Inci Rates'!C:H,6,FALSE)</f>
        <v>203.90336051751802</v>
      </c>
      <c r="F53" s="711">
        <f>VLOOKUP($B53&amp;"_"&amp;$D53,'App5 - CRUK Inci Rates'!C:H,3,FALSE)</f>
        <v>125.21984320546531</v>
      </c>
      <c r="G53" s="712">
        <f>VLOOKUP($B53&amp;"_"&amp;$D53,'App5 - CRUK Inci Rates'!C:J,8,FALSE)</f>
        <v>8881256.9603638444</v>
      </c>
      <c r="H53" s="713">
        <f>VLOOKUP($B53&amp;"_"&amp;$D53,'App5 - CRUK Inci Rates'!C:J,7,FALSE)</f>
        <v>4929786.333333333</v>
      </c>
      <c r="I53" s="713">
        <f>VLOOKUP($B53&amp;"_"&amp;$D53,'App5 - CRUK Inci Rates'!C:J,4,FALSE)</f>
        <v>5245973.666666667</v>
      </c>
      <c r="J53" s="709">
        <f>VLOOKUP($B53&amp;"_"&amp;$D53,'App5 - CRUK Inci Rates'!C:K,9,FALSE)</f>
        <v>16621</v>
      </c>
      <c r="K53" s="706">
        <f t="shared" si="8"/>
        <v>4440628.4801819222</v>
      </c>
      <c r="L53" s="706">
        <f>VLOOKUP("*"&amp;$B53&amp;"*",'S4 - Summ PRS Characteristics'!$C$21:$Q$28,11,FALSE)*$J53</f>
        <v>12396.447358338142</v>
      </c>
      <c r="M53" s="706">
        <f t="shared" si="9"/>
        <v>4224.5526416618577</v>
      </c>
      <c r="N53" s="706">
        <f>IF($C53="other",(1-$C$7)*L53,(1-(VLOOKUP($C53,'S3 - Screening Tool Metrics'!$C$3:$G$17,5,FALSE)/100))*L53)</f>
        <v>3718.9342075014433</v>
      </c>
      <c r="O53" s="706">
        <f>IF($C53="other",$C$7*L53,(VLOOKUP($C53,'S3 - Screening Tool Metrics'!$C$3:$G$17,5,FALSE)/100)*L53)</f>
        <v>8677.5131508366994</v>
      </c>
      <c r="P53" s="706">
        <f t="shared" si="10"/>
        <v>52.208129178970573</v>
      </c>
      <c r="Q53" s="707">
        <f t="shared" si="37"/>
        <v>1776251.3920727689</v>
      </c>
      <c r="R53" s="706">
        <f>VLOOKUP("*"&amp;$B53&amp;"*",'S4 - Summ PRS Characteristics'!$C$21:$Q$28,12,FALSE)*$J53</f>
        <v>7122.0925856028161</v>
      </c>
      <c r="S53" s="706">
        <f t="shared" si="45"/>
        <v>9498.9074143971848</v>
      </c>
      <c r="T53" s="706">
        <f>IF($C53="other",(1-$C40)*R53,(1-(VLOOKUP($C53,'S3 - Screening Tool Metrics'!$C$3:$G$17,5,FALSE)/100))*R53)</f>
        <v>2136.6277756808449</v>
      </c>
      <c r="U53" s="706">
        <f>IF($C53="other",$C40*R53,(VLOOKUP($C53,'S3 - Screening Tool Metrics'!$C$3:$G$17,5,FALSE)/100)*R53)</f>
        <v>4985.4648099219712</v>
      </c>
      <c r="V53" s="708">
        <f t="shared" si="38"/>
        <v>29.99497509128194</v>
      </c>
      <c r="W53" s="707">
        <f t="shared" si="39"/>
        <v>888125.69603638444</v>
      </c>
      <c r="X53" s="706">
        <f>VLOOKUP("*"&amp;$B53&amp;"*",'S4 - Summ PRS Characteristics'!$C$21:$Q$28,13,FALSE)*$J53</f>
        <v>4447.5727668777445</v>
      </c>
      <c r="Y53" s="706">
        <f t="shared" si="46"/>
        <v>12173.427233122256</v>
      </c>
      <c r="Z53" s="706">
        <f>IF($C53="other",(1-$C40)*X53,(1-(VLOOKUP($C53,'S3 - Screening Tool Metrics'!$C$3:$G$17,5,FALSE)/100))*X53)</f>
        <v>1334.2718300633235</v>
      </c>
      <c r="AA53" s="706">
        <f>IF($C53="other",$C40*X53,(VLOOKUP($C53,'S3 - Screening Tool Metrics'!$C$3:$G$17,5,FALSE)/100)*X53)</f>
        <v>3113.3009368144208</v>
      </c>
      <c r="AB53" s="708">
        <f t="shared" si="40"/>
        <v>18.731128914111189</v>
      </c>
      <c r="AC53" s="707">
        <f t="shared" si="41"/>
        <v>444062.84801819222</v>
      </c>
      <c r="AD53" s="706">
        <f>VLOOKUP("*"&amp;$B53&amp;"*",'S4 - Summ PRS Characteristics'!$C$21:$Q$28,14,FALSE)*$J53</f>
        <v>2704.2118621198852</v>
      </c>
      <c r="AE53" s="706">
        <f t="shared" si="48"/>
        <v>13916.788137880114</v>
      </c>
      <c r="AF53" s="706">
        <f>IF($C53="other",(1-$C40)*AD53,(1-(VLOOKUP($C53,'S3 - Screening Tool Metrics'!$C$3:$G$17,5,FALSE)/100))*AD53)</f>
        <v>811.26355863596564</v>
      </c>
      <c r="AG53" s="706">
        <f>IF($C53="other",$C40*AD53,(VLOOKUP($C53,'S3 - Screening Tool Metrics'!$C$3:$G$17,5,FALSE)/100)*AD53)</f>
        <v>1892.9483034839195</v>
      </c>
      <c r="AH53" s="708">
        <f t="shared" si="42"/>
        <v>11.388895394283855</v>
      </c>
      <c r="AI53" s="707">
        <f t="shared" si="43"/>
        <v>88812.569603638447</v>
      </c>
      <c r="AJ53" s="706">
        <f>VLOOKUP("*"&amp;$B53&amp;"*",'S4 - Summ PRS Characteristics'!$C$21:$Q$28,15,FALSE)*$J53</f>
        <v>797.2124738542625</v>
      </c>
      <c r="AK53" s="706">
        <f t="shared" si="47"/>
        <v>15823.787526145738</v>
      </c>
      <c r="AL53" s="706">
        <f>IF($C53="other",(1-$C40)*AJ53,(1-(VLOOKUP($C53,'S3 - Screening Tool Metrics'!$C$3:$G$17,5,FALSE)/100))*AJ53)</f>
        <v>239.16374215627877</v>
      </c>
      <c r="AM53" s="706">
        <f>IF($C53="other",$C40*AJ53,(VLOOKUP($C53,'S3 - Screening Tool Metrics'!$C$3:$G$17,5,FALSE)/100)*AJ53)</f>
        <v>558.04873169798373</v>
      </c>
      <c r="AN53" s="709">
        <f t="shared" si="44"/>
        <v>3.3574919180433414</v>
      </c>
    </row>
    <row r="54" spans="2:40" x14ac:dyDescent="0.15">
      <c r="B54" s="700" t="s">
        <v>11</v>
      </c>
      <c r="C54" s="721" t="str">
        <f>$C41</f>
        <v>FIT 20-50 µg/g threshold (CRC)</v>
      </c>
      <c r="D54" s="552" t="s">
        <v>204</v>
      </c>
      <c r="E54" s="710">
        <f>VLOOKUP($B54&amp;"_"&amp;$D54,'App5 - CRUK Inci Rates'!C:H,6,FALSE)</f>
        <v>118.95830504657053</v>
      </c>
      <c r="F54" s="711">
        <f>VLOOKUP($B54&amp;"_"&amp;$D54,'App5 - CRUK Inci Rates'!C:H,3,FALSE)</f>
        <v>80.364374337399624</v>
      </c>
      <c r="G54" s="712">
        <f>VLOOKUP($B54&amp;"_"&amp;$D54,'App5 - CRUK Inci Rates'!C:J,8,FALSE)</f>
        <v>29847254.666666668</v>
      </c>
      <c r="H54" s="713">
        <f>VLOOKUP($B54&amp;"_"&amp;$D54,'App5 - CRUK Inci Rates'!C:J,7,FALSE)</f>
        <v>14565607.666666668</v>
      </c>
      <c r="I54" s="713">
        <f>VLOOKUP($B54&amp;"_"&amp;$D54,'App5 - CRUK Inci Rates'!C:J,4,FALSE)</f>
        <v>15281647</v>
      </c>
      <c r="J54" s="709">
        <f>VLOOKUP($B54&amp;"_"&amp;$D54,'App5 - CRUK Inci Rates'!C:K,9,FALSE)</f>
        <v>29608</v>
      </c>
      <c r="K54" s="706">
        <f t="shared" si="8"/>
        <v>14923627.333333334</v>
      </c>
      <c r="L54" s="706">
        <f>VLOOKUP("*"&amp;$B54&amp;"*",'S4 - Summ PRS Characteristics'!$C$21:$Q$28,11,FALSE)*$J54</f>
        <v>22082.54698187087</v>
      </c>
      <c r="M54" s="706">
        <f t="shared" si="9"/>
        <v>7525.4530181291302</v>
      </c>
      <c r="N54" s="706">
        <f>IF($C54="other",(1-$C$7)*L54,(1-(VLOOKUP($C54,'S3 - Screening Tool Metrics'!$C$3:$G$17,5,FALSE)/100))*L54)</f>
        <v>6624.764094561262</v>
      </c>
      <c r="O54" s="706">
        <f>IF($C54="other",$C$7*L54,(VLOOKUP($C54,'S3 - Screening Tool Metrics'!$C$3:$G$17,5,FALSE)/100)*L54)</f>
        <v>15457.782887309608</v>
      </c>
      <c r="P54" s="706">
        <f t="shared" si="10"/>
        <v>52.208129178970573</v>
      </c>
      <c r="Q54" s="707">
        <f t="shared" si="37"/>
        <v>5969450.9333333336</v>
      </c>
      <c r="R54" s="706">
        <f>VLOOKUP("*"&amp;$B54&amp;"*",'S4 - Summ PRS Characteristics'!$C$21:$Q$28,12,FALSE)*$J54</f>
        <v>12687.017464323939</v>
      </c>
      <c r="S54" s="706">
        <f t="shared" si="45"/>
        <v>16920.982535676063</v>
      </c>
      <c r="T54" s="706">
        <f>IF($C54="other",(1-$C40)*R54,(1-(VLOOKUP($C54,'S3 - Screening Tool Metrics'!$C$3:$G$17,5,FALSE)/100))*R54)</f>
        <v>3806.1052392971824</v>
      </c>
      <c r="U54" s="706">
        <f>IF($C54="other",$C40*R54,(VLOOKUP($C54,'S3 - Screening Tool Metrics'!$C$3:$G$17,5,FALSE)/100)*R54)</f>
        <v>8880.9122250267574</v>
      </c>
      <c r="V54" s="708">
        <f t="shared" si="38"/>
        <v>29.994975091281944</v>
      </c>
      <c r="W54" s="707">
        <f t="shared" si="39"/>
        <v>2984725.4666666668</v>
      </c>
      <c r="X54" s="706">
        <f>VLOOKUP("*"&amp;$B54&amp;"*",'S4 - Summ PRS Characteristics'!$C$21:$Q$28,13,FALSE)*$J54</f>
        <v>7922.7323555572029</v>
      </c>
      <c r="Y54" s="706">
        <f t="shared" si="46"/>
        <v>21685.267644442796</v>
      </c>
      <c r="Z54" s="706">
        <f>IF($C54="other",(1-$C40)*X54,(1-(VLOOKUP($C54,'S3 - Screening Tool Metrics'!$C$3:$G$17,5,FALSE)/100))*X54)</f>
        <v>2376.8197066671614</v>
      </c>
      <c r="AA54" s="706">
        <f>IF($C54="other",$C40*X54,(VLOOKUP($C54,'S3 - Screening Tool Metrics'!$C$3:$G$17,5,FALSE)/100)*X54)</f>
        <v>5545.912648890042</v>
      </c>
      <c r="AB54" s="708">
        <f t="shared" si="40"/>
        <v>18.731128914111192</v>
      </c>
      <c r="AC54" s="707">
        <f t="shared" si="41"/>
        <v>1492362.7333333334</v>
      </c>
      <c r="AD54" s="706">
        <f>VLOOKUP("*"&amp;$B54&amp;"*",'S4 - Summ PRS Characteristics'!$C$21:$Q$28,14,FALSE)*$J54</f>
        <v>4817.1773547708053</v>
      </c>
      <c r="AE54" s="706">
        <f t="shared" si="48"/>
        <v>24790.822645229193</v>
      </c>
      <c r="AF54" s="706">
        <f>IF($C54="other",(1-$C40)*AD54,(1-(VLOOKUP($C54,'S3 - Screening Tool Metrics'!$C$3:$G$17,5,FALSE)/100))*AD54)</f>
        <v>1445.1532064312419</v>
      </c>
      <c r="AG54" s="706">
        <f>IF($C54="other",$C40*AD54,(VLOOKUP($C54,'S3 - Screening Tool Metrics'!$C$3:$G$17,5,FALSE)/100)*AD54)</f>
        <v>3372.0241483395635</v>
      </c>
      <c r="AH54" s="708">
        <f t="shared" si="42"/>
        <v>11.388895394283855</v>
      </c>
      <c r="AI54" s="707">
        <f t="shared" si="43"/>
        <v>298472.54666666669</v>
      </c>
      <c r="AJ54" s="706">
        <f>VLOOKUP("*"&amp;$B54&amp;"*",'S4 - Summ PRS Characteristics'!$C$21:$Q$28,15,FALSE)*$J54</f>
        <v>1420.123152991818</v>
      </c>
      <c r="AK54" s="706">
        <f t="shared" si="47"/>
        <v>28187.876847008181</v>
      </c>
      <c r="AL54" s="706">
        <f>IF($C54="other",(1-$C40)*AJ54,(1-(VLOOKUP($C54,'S3 - Screening Tool Metrics'!$C$3:$G$17,5,FALSE)/100))*AJ54)</f>
        <v>426.03694589754548</v>
      </c>
      <c r="AM54" s="706">
        <f>IF($C54="other",$C40*AJ54,(VLOOKUP($C54,'S3 - Screening Tool Metrics'!$C$3:$G$17,5,FALSE)/100)*AJ54)</f>
        <v>994.08620709427248</v>
      </c>
      <c r="AN54" s="709">
        <f t="shared" si="44"/>
        <v>3.3574919180433414</v>
      </c>
    </row>
    <row r="55" spans="2:40" ht="14" thickBot="1" x14ac:dyDescent="0.2">
      <c r="B55" s="700" t="s">
        <v>11</v>
      </c>
      <c r="C55" s="721" t="str">
        <f>$C42</f>
        <v>FIT 20-50 µg/g threshold (CRC)</v>
      </c>
      <c r="D55" s="552" t="s">
        <v>205</v>
      </c>
      <c r="E55" s="710">
        <f>VLOOKUP($B55&amp;"_"&amp;$D55,'App5 - CRUK Inci Rates'!C:H,6,FALSE)</f>
        <v>84.5</v>
      </c>
      <c r="F55" s="711">
        <f>VLOOKUP($B55&amp;"_"&amp;$D55,'App5 - CRUK Inci Rates'!C:H,3,FALSE)</f>
        <v>56.5</v>
      </c>
      <c r="G55" s="712">
        <f>VLOOKUP($B55&amp;"_"&amp;$D55,'App5 - CRUK Inci Rates'!C:J,8,FALSE)</f>
        <v>66041277.666666664</v>
      </c>
      <c r="H55" s="713">
        <f>VLOOKUP($B55&amp;"_"&amp;$D55,'App5 - CRUK Inci Rates'!C:J,7,FALSE)</f>
        <v>32583225.666666668</v>
      </c>
      <c r="I55" s="713">
        <f>VLOOKUP($B55&amp;"_"&amp;$D55,'App5 - CRUK Inci Rates'!C:J,4,FALSE)</f>
        <v>33458051.999999996</v>
      </c>
      <c r="J55" s="709">
        <f>VLOOKUP($B55&amp;"_"&amp;$D55,'App5 - CRUK Inci Rates'!C:K,9,FALSE)</f>
        <v>42885</v>
      </c>
      <c r="K55" s="716"/>
      <c r="L55" s="716"/>
      <c r="M55" s="716"/>
      <c r="N55" s="716"/>
      <c r="O55" s="716"/>
      <c r="P55" s="716"/>
      <c r="Q55" s="715"/>
      <c r="R55" s="716"/>
      <c r="S55" s="716"/>
      <c r="T55" s="716"/>
      <c r="U55" s="716"/>
      <c r="V55" s="717"/>
      <c r="W55" s="715"/>
      <c r="X55" s="716"/>
      <c r="Y55" s="716"/>
      <c r="Z55" s="716"/>
      <c r="AA55" s="716"/>
      <c r="AB55" s="717"/>
      <c r="AC55" s="716"/>
      <c r="AD55" s="716"/>
      <c r="AE55" s="716"/>
      <c r="AF55" s="716"/>
      <c r="AG55" s="716"/>
      <c r="AH55" s="717"/>
      <c r="AI55" s="734"/>
      <c r="AJ55" s="735"/>
      <c r="AK55" s="735"/>
      <c r="AL55" s="735"/>
      <c r="AM55" s="735"/>
      <c r="AN55" s="736"/>
    </row>
    <row r="56" spans="2:40" ht="21" customHeight="1" thickBot="1" x14ac:dyDescent="0.2">
      <c r="B56" s="686" t="s">
        <v>12</v>
      </c>
      <c r="C56" s="687"/>
      <c r="D56" s="688"/>
      <c r="E56" s="689"/>
      <c r="F56" s="690"/>
      <c r="G56" s="691"/>
      <c r="H56" s="692"/>
      <c r="I56" s="692"/>
      <c r="J56" s="693"/>
      <c r="K56" s="694"/>
      <c r="L56" s="694"/>
      <c r="M56" s="694"/>
      <c r="N56" s="694"/>
      <c r="O56" s="694"/>
      <c r="P56" s="694"/>
      <c r="Q56" s="695"/>
      <c r="R56" s="696"/>
      <c r="S56" s="696"/>
      <c r="T56" s="696"/>
      <c r="U56" s="696"/>
      <c r="V56" s="697"/>
      <c r="W56" s="695"/>
      <c r="X56" s="696"/>
      <c r="Y56" s="696"/>
      <c r="Z56" s="696"/>
      <c r="AA56" s="696"/>
      <c r="AB56" s="697"/>
      <c r="AC56" s="695"/>
      <c r="AD56" s="696"/>
      <c r="AE56" s="696"/>
      <c r="AF56" s="696"/>
      <c r="AG56" s="696"/>
      <c r="AH56" s="697"/>
      <c r="AI56" s="695"/>
      <c r="AJ56" s="696"/>
      <c r="AK56" s="696"/>
      <c r="AL56" s="696"/>
      <c r="AM56" s="696"/>
      <c r="AN56" s="699"/>
    </row>
    <row r="57" spans="2:40" x14ac:dyDescent="0.15">
      <c r="B57" s="700" t="s">
        <v>12</v>
      </c>
      <c r="C57" s="720" t="s">
        <v>147</v>
      </c>
      <c r="D57" s="593" t="s">
        <v>192</v>
      </c>
      <c r="E57" s="701">
        <f>VLOOKUP($B57&amp;"_"&amp;$D57,'App5 - CRUK Inci Rates'!C:H,6,FALSE)</f>
        <v>2.6</v>
      </c>
      <c r="F57" s="702">
        <f>VLOOKUP($B57&amp;"_"&amp;$D57,'App5 - CRUK Inci Rates'!C:H,3,FALSE)</f>
        <v>2</v>
      </c>
      <c r="G57" s="703">
        <f>VLOOKUP($B57&amp;"_"&amp;$D57,'App5 - CRUK Inci Rates'!C:J,8,FALSE)</f>
        <v>4075608</v>
      </c>
      <c r="H57" s="704">
        <f>VLOOKUP($B57&amp;"_"&amp;$D57,'App5 - CRUK Inci Rates'!C:J,7,FALSE)</f>
        <v>2021384.6666666667</v>
      </c>
      <c r="I57" s="704">
        <f>VLOOKUP($B57&amp;"_"&amp;$D57,'App5 - CRUK Inci Rates'!C:J,4,FALSE)</f>
        <v>2054223.3333333333</v>
      </c>
      <c r="J57" s="705">
        <f>VLOOKUP($B57&amp;"_"&amp;$D57,'App5 - CRUK Inci Rates'!C:K,9,FALSE)</f>
        <v>94</v>
      </c>
      <c r="K57" s="706">
        <f t="shared" si="8"/>
        <v>2037804</v>
      </c>
      <c r="L57" s="706">
        <f>VLOOKUP("*"&amp;$B57&amp;"*",'S4 - Summ PRS Characteristics'!$C$21:$Q$28,11,FALSE)*$J57</f>
        <v>73.608599331597162</v>
      </c>
      <c r="M57" s="706">
        <f t="shared" si="9"/>
        <v>20.391400668402838</v>
      </c>
      <c r="N57" s="706">
        <f>IF($C57="other",(1-$C$7)*L57,(1-(VLOOKUP($C57,'S3 - Screening Tool Metrics'!$C$3:$G$17,5,FALSE)/100))*L57)</f>
        <v>23.70196898477429</v>
      </c>
      <c r="O57" s="706">
        <f>IF($C57="other",$C$7*L57,(VLOOKUP($C57,'S3 - Screening Tool Metrics'!$C$3:$G$17,5,FALSE)/100)*L57)</f>
        <v>49.906630346822872</v>
      </c>
      <c r="P57" s="706">
        <f t="shared" si="10"/>
        <v>53.092159943428584</v>
      </c>
      <c r="Q57" s="707">
        <f t="shared" ref="Q57:Q70" si="49">$G57*Q$3</f>
        <v>815121.60000000009</v>
      </c>
      <c r="R57" s="706">
        <f>VLOOKUP("*"&amp;$B57&amp;"*",'S4 - Summ PRS Characteristics'!$C$21:$Q$28,12,FALSE)*$J57</f>
        <v>44.788110510482696</v>
      </c>
      <c r="S57" s="706">
        <f>$J57-R57</f>
        <v>49.211889489517304</v>
      </c>
      <c r="T57" s="706">
        <f>IF($C57="other",(1-$C56)*R57,(1-(VLOOKUP($C57,'S3 - Screening Tool Metrics'!$C$3:$G$17,5,FALSE)/100))*R57)</f>
        <v>14.421771584375431</v>
      </c>
      <c r="U57" s="706">
        <f>IF($C57="other",$C56*R57,(VLOOKUP($C57,'S3 - Screening Tool Metrics'!$C$3:$G$17,5,FALSE)/100)*R57)</f>
        <v>30.366338926107264</v>
      </c>
      <c r="V57" s="708">
        <f t="shared" ref="V57:V70" si="50">U57/J57*100</f>
        <v>32.304615878837517</v>
      </c>
      <c r="W57" s="707">
        <f t="shared" ref="W57:W70" si="51">$G57*W$3</f>
        <v>407560.80000000005</v>
      </c>
      <c r="X57" s="706">
        <f>VLOOKUP("*"&amp;$B57&amp;"*",'S4 - Summ PRS Characteristics'!$C$21:$Q$28,13,FALSE)*$J57</f>
        <v>29.037373027872764</v>
      </c>
      <c r="Y57" s="706">
        <f>$J57-X57</f>
        <v>64.962626972127239</v>
      </c>
      <c r="Z57" s="706">
        <f>IF($C57="other",(1-$C56)*X57,(1-(VLOOKUP($C57,'S3 - Screening Tool Metrics'!$C$3:$G$17,5,FALSE)/100))*X57)</f>
        <v>9.3500341149750312</v>
      </c>
      <c r="AA57" s="706">
        <f>IF($C57="other",$C56*X57,(VLOOKUP($C57,'S3 - Screening Tool Metrics'!$C$3:$G$17,5,FALSE)/100)*X57)</f>
        <v>19.687338912897733</v>
      </c>
      <c r="AB57" s="708">
        <f t="shared" ref="AB57:AB70" si="52">$AA57/$J57*100</f>
        <v>20.94397756691248</v>
      </c>
      <c r="AC57" s="707">
        <f t="shared" ref="AC57:AC70" si="53">$G57*AC$3</f>
        <v>203780.40000000002</v>
      </c>
      <c r="AD57" s="706">
        <f>VLOOKUP("*"&amp;$B57&amp;"*",'S4 - Summ PRS Characteristics'!$C$21:$Q$28,14,FALSE)*$J57</f>
        <v>18.261862336964175</v>
      </c>
      <c r="AE57" s="706">
        <f>$J57-AD57</f>
        <v>75.738137663035829</v>
      </c>
      <c r="AF57" s="706">
        <f>IF($C57="other",(1-$C56)*AD57,(1-(VLOOKUP($C57,'S3 - Screening Tool Metrics'!$C$3:$G$17,5,FALSE)/100))*AD57)</f>
        <v>5.8803196725024653</v>
      </c>
      <c r="AG57" s="706">
        <f>IF($C57="other",$C56*AD57,(VLOOKUP($C57,'S3 - Screening Tool Metrics'!$C$3:$G$17,5,FALSE)/100)*AD57)</f>
        <v>12.381542664461708</v>
      </c>
      <c r="AH57" s="708">
        <f t="shared" ref="AH57:AH70" si="54">$AG57/$J57*100</f>
        <v>13.171853898363519</v>
      </c>
      <c r="AI57" s="707">
        <f t="shared" ref="AI57:AI70" si="55">$G57*AI$3</f>
        <v>40756.080000000002</v>
      </c>
      <c r="AJ57" s="706">
        <f>VLOOKUP("*"&amp;$B57&amp;"*",'S4 - Summ PRS Characteristics'!$C$21:$Q$28,15,FALSE)*$J57</f>
        <v>5.7645704711274774</v>
      </c>
      <c r="AK57" s="706">
        <f>$J57-AJ57</f>
        <v>88.235429528872515</v>
      </c>
      <c r="AL57" s="706">
        <f>IF($C57="other",(1-$C56)*AJ57,(1-(VLOOKUP($C57,'S3 - Screening Tool Metrics'!$C$3:$G$17,5,FALSE)/100))*AJ57)</f>
        <v>1.8561916917030481</v>
      </c>
      <c r="AM57" s="706">
        <f>IF($C57="other",$C56*AJ57,(VLOOKUP($C57,'S3 - Screening Tool Metrics'!$C$3:$G$17,5,FALSE)/100)*AJ57)</f>
        <v>3.9083787794244294</v>
      </c>
      <c r="AN57" s="709">
        <f t="shared" ref="AN57:AN70" si="56">$AM57/$J57*100</f>
        <v>4.1578497653451372</v>
      </c>
    </row>
    <row r="58" spans="2:40" x14ac:dyDescent="0.15">
      <c r="B58" s="700" t="s">
        <v>12</v>
      </c>
      <c r="C58" s="721" t="str">
        <f>$C57</f>
        <v>CA19-9_20U/mL cutoff</v>
      </c>
      <c r="D58" s="552" t="s">
        <v>193</v>
      </c>
      <c r="E58" s="710">
        <f>VLOOKUP($B58&amp;"_"&amp;$D58,'App5 - CRUK Inci Rates'!C:H,6,FALSE)</f>
        <v>5.6</v>
      </c>
      <c r="F58" s="711">
        <f>VLOOKUP($B58&amp;"_"&amp;$D58,'App5 - CRUK Inci Rates'!C:H,3,FALSE)</f>
        <v>3.9</v>
      </c>
      <c r="G58" s="712">
        <f>VLOOKUP($B58&amp;"_"&amp;$D58,'App5 - CRUK Inci Rates'!C:J,8,FALSE)</f>
        <v>4567159.333333334</v>
      </c>
      <c r="H58" s="713">
        <f>VLOOKUP($B58&amp;"_"&amp;$D58,'App5 - CRUK Inci Rates'!C:J,7,FALSE)</f>
        <v>2251680</v>
      </c>
      <c r="I58" s="713">
        <f>VLOOKUP($B58&amp;"_"&amp;$D58,'App5 - CRUK Inci Rates'!C:J,4,FALSE)</f>
        <v>2315479.3333333335</v>
      </c>
      <c r="J58" s="709">
        <f>VLOOKUP($B58&amp;"_"&amp;$D58,'App5 - CRUK Inci Rates'!C:K,9,FALSE)</f>
        <v>215</v>
      </c>
      <c r="K58" s="706">
        <f t="shared" si="8"/>
        <v>2283579.666666667</v>
      </c>
      <c r="L58" s="706">
        <f>VLOOKUP("*"&amp;$B58&amp;"*",'S4 - Summ PRS Characteristics'!$C$21:$Q$28,11,FALSE)*$J58</f>
        <v>168.36009421588713</v>
      </c>
      <c r="M58" s="706">
        <f t="shared" si="9"/>
        <v>46.639905784112869</v>
      </c>
      <c r="N58" s="706">
        <f>IF($C58="other",(1-$C$7)*L58,(1-(VLOOKUP($C58,'S3 - Screening Tool Metrics'!$C$3:$G$17,5,FALSE)/100))*L58)</f>
        <v>54.211950337515667</v>
      </c>
      <c r="O58" s="706">
        <f>IF($C58="other",$C$7*L58,(VLOOKUP($C58,'S3 - Screening Tool Metrics'!$C$3:$G$17,5,FALSE)/100)*L58)</f>
        <v>114.14814387837147</v>
      </c>
      <c r="P58" s="706">
        <f t="shared" si="10"/>
        <v>53.092159943428598</v>
      </c>
      <c r="Q58" s="707">
        <f t="shared" si="49"/>
        <v>913431.86666666681</v>
      </c>
      <c r="R58" s="706">
        <f>VLOOKUP("*"&amp;$B58&amp;"*",'S4 - Summ PRS Characteristics'!$C$21:$Q$28,12,FALSE)*$J58</f>
        <v>102.44089106121041</v>
      </c>
      <c r="S58" s="706">
        <f t="shared" ref="S58:S70" si="57">$J58-R58</f>
        <v>112.55910893878959</v>
      </c>
      <c r="T58" s="706">
        <f>IF($C58="other",(1-$C56)*R58,(1-(VLOOKUP($C58,'S3 - Screening Tool Metrics'!$C$3:$G$17,5,FALSE)/100))*R58)</f>
        <v>32.98596692170976</v>
      </c>
      <c r="U58" s="706">
        <f>IF($C58="other",$C56*R58,(VLOOKUP($C58,'S3 - Screening Tool Metrics'!$C$3:$G$17,5,FALSE)/100)*R58)</f>
        <v>69.454924139500648</v>
      </c>
      <c r="V58" s="708">
        <f t="shared" si="50"/>
        <v>32.30461587883751</v>
      </c>
      <c r="W58" s="707">
        <f t="shared" si="51"/>
        <v>456715.93333333341</v>
      </c>
      <c r="X58" s="706">
        <f>VLOOKUP("*"&amp;$B58&amp;"*",'S4 - Summ PRS Characteristics'!$C$21:$Q$28,13,FALSE)*$J58</f>
        <v>66.415268095666434</v>
      </c>
      <c r="Y58" s="706">
        <f t="shared" ref="Y58:Y70" si="58">$J58-X58</f>
        <v>148.58473190433358</v>
      </c>
      <c r="Z58" s="706">
        <f>IF($C58="other",(1-$C56)*X58,(1-(VLOOKUP($C58,'S3 - Screening Tool Metrics'!$C$3:$G$17,5,FALSE)/100))*X58)</f>
        <v>21.385716326804594</v>
      </c>
      <c r="AA58" s="706">
        <f>IF($C58="other",$C56*X58,(VLOOKUP($C58,'S3 - Screening Tool Metrics'!$C$3:$G$17,5,FALSE)/100)*X58)</f>
        <v>45.029551768861836</v>
      </c>
      <c r="AB58" s="708">
        <f t="shared" si="52"/>
        <v>20.94397756691248</v>
      </c>
      <c r="AC58" s="707">
        <f t="shared" si="53"/>
        <v>228357.9666666667</v>
      </c>
      <c r="AD58" s="706">
        <f>VLOOKUP("*"&amp;$B58&amp;"*",'S4 - Summ PRS Characteristics'!$C$21:$Q$28,14,FALSE)*$J58</f>
        <v>41.76915321752444</v>
      </c>
      <c r="AE58" s="706">
        <f>$J58-AD58</f>
        <v>173.23084678247557</v>
      </c>
      <c r="AF58" s="706">
        <f>IF($C58="other",(1-$C56)*AD58,(1-(VLOOKUP($C58,'S3 - Screening Tool Metrics'!$C$3:$G$17,5,FALSE)/100))*AD58)</f>
        <v>13.449667336042873</v>
      </c>
      <c r="AG58" s="706">
        <f>IF($C58="other",$C56*AD58,(VLOOKUP($C58,'S3 - Screening Tool Metrics'!$C$3:$G$17,5,FALSE)/100)*AD58)</f>
        <v>28.319485881481569</v>
      </c>
      <c r="AH58" s="708">
        <f t="shared" si="54"/>
        <v>13.171853898363519</v>
      </c>
      <c r="AI58" s="707">
        <f t="shared" si="55"/>
        <v>45671.593333333338</v>
      </c>
      <c r="AJ58" s="706">
        <f>VLOOKUP("*"&amp;$B58&amp;"*",'S4 - Summ PRS Characteristics'!$C$21:$Q$28,15,FALSE)*$J58</f>
        <v>13.184921822259655</v>
      </c>
      <c r="AK58" s="706">
        <f t="shared" ref="AK58:AK70" si="59">$J58-AJ58</f>
        <v>201.81507817774033</v>
      </c>
      <c r="AL58" s="706">
        <f>IF($C58="other",(1-$C56)*AJ58,(1-(VLOOKUP($C58,'S3 - Screening Tool Metrics'!$C$3:$G$17,5,FALSE)/100))*AJ58)</f>
        <v>4.2455448267676097</v>
      </c>
      <c r="AM58" s="706">
        <f>IF($C58="other",$C56*AJ58,(VLOOKUP($C58,'S3 - Screening Tool Metrics'!$C$3:$G$17,5,FALSE)/100)*AJ58)</f>
        <v>8.9393769954920455</v>
      </c>
      <c r="AN58" s="709">
        <f t="shared" si="56"/>
        <v>4.1578497653451372</v>
      </c>
    </row>
    <row r="59" spans="2:40" x14ac:dyDescent="0.15">
      <c r="B59" s="700" t="s">
        <v>12</v>
      </c>
      <c r="C59" s="721" t="str">
        <f>$C57</f>
        <v>CA19-9_20U/mL cutoff</v>
      </c>
      <c r="D59" s="552" t="s">
        <v>194</v>
      </c>
      <c r="E59" s="710">
        <f>VLOOKUP($B59&amp;"_"&amp;$D59,'App5 - CRUK Inci Rates'!C:H,6,FALSE)</f>
        <v>10.199999999999999</v>
      </c>
      <c r="F59" s="711">
        <f>VLOOKUP($B59&amp;"_"&amp;$D59,'App5 - CRUK Inci Rates'!C:H,3,FALSE)</f>
        <v>7.3</v>
      </c>
      <c r="G59" s="712">
        <f>VLOOKUP($B59&amp;"_"&amp;$D59,'App5 - CRUK Inci Rates'!C:J,8,FALSE)</f>
        <v>4658110.666666666</v>
      </c>
      <c r="H59" s="713">
        <f>VLOOKUP($B59&amp;"_"&amp;$D59,'App5 - CRUK Inci Rates'!C:J,7,FALSE)</f>
        <v>2293472.6666666665</v>
      </c>
      <c r="I59" s="713">
        <f>VLOOKUP($B59&amp;"_"&amp;$D59,'App5 - CRUK Inci Rates'!C:J,4,FALSE)</f>
        <v>2364638</v>
      </c>
      <c r="J59" s="709">
        <f>VLOOKUP($B59&amp;"_"&amp;$D59,'App5 - CRUK Inci Rates'!C:K,9,FALSE)</f>
        <v>409</v>
      </c>
      <c r="K59" s="706">
        <f t="shared" si="8"/>
        <v>2329055.333333333</v>
      </c>
      <c r="L59" s="706">
        <f>VLOOKUP("*"&amp;$B59&amp;"*",'S4 - Summ PRS Characteristics'!$C$21:$Q$28,11,FALSE)*$J59</f>
        <v>320.27571411301318</v>
      </c>
      <c r="M59" s="706">
        <f t="shared" si="9"/>
        <v>88.72428588698682</v>
      </c>
      <c r="N59" s="706">
        <f>IF($C59="other",(1-$C$7)*L59,(1-(VLOOKUP($C59,'S3 - Screening Tool Metrics'!$C$3:$G$17,5,FALSE)/100))*L59)</f>
        <v>103.12877994439026</v>
      </c>
      <c r="O59" s="706">
        <f>IF($C59="other",$C$7*L59,(VLOOKUP($C59,'S3 - Screening Tool Metrics'!$C$3:$G$17,5,FALSE)/100)*L59)</f>
        <v>217.14693416862292</v>
      </c>
      <c r="P59" s="706">
        <f t="shared" si="10"/>
        <v>53.092159943428584</v>
      </c>
      <c r="Q59" s="707">
        <f t="shared" si="49"/>
        <v>931622.1333333333</v>
      </c>
      <c r="R59" s="706">
        <f>VLOOKUP("*"&amp;$B59&amp;"*",'S4 - Summ PRS Characteristics'!$C$21:$Q$28,12,FALSE)*$J59</f>
        <v>194.87592764667468</v>
      </c>
      <c r="S59" s="706">
        <f t="shared" si="57"/>
        <v>214.12407235332532</v>
      </c>
      <c r="T59" s="706">
        <f>IF($C59="other",(1-$C56)*R59,(1-(VLOOKUP($C59,'S3 - Screening Tool Metrics'!$C$3:$G$17,5,FALSE)/100))*R59)</f>
        <v>62.750048702229257</v>
      </c>
      <c r="U59" s="706">
        <f>IF($C59="other",$C56*R59,(VLOOKUP($C59,'S3 - Screening Tool Metrics'!$C$3:$G$17,5,FALSE)/100)*R59)</f>
        <v>132.12587894444542</v>
      </c>
      <c r="V59" s="708">
        <f t="shared" si="50"/>
        <v>32.30461587883751</v>
      </c>
      <c r="W59" s="707">
        <f t="shared" si="51"/>
        <v>465811.06666666665</v>
      </c>
      <c r="X59" s="706">
        <f>VLOOKUP("*"&amp;$B59&amp;"*",'S4 - Summ PRS Characteristics'!$C$21:$Q$28,13,FALSE)*$J59</f>
        <v>126.3434634936166</v>
      </c>
      <c r="Y59" s="706">
        <f t="shared" si="58"/>
        <v>282.65653650638342</v>
      </c>
      <c r="Z59" s="706">
        <f>IF($C59="other",(1-$C56)*X59,(1-(VLOOKUP($C59,'S3 - Screening Tool Metrics'!$C$3:$G$17,5,FALSE)/100))*X59)</f>
        <v>40.682595244944551</v>
      </c>
      <c r="AA59" s="706">
        <f>IF($C59="other",$C56*X59,(VLOOKUP($C59,'S3 - Screening Tool Metrics'!$C$3:$G$17,5,FALSE)/100)*X59)</f>
        <v>85.660868248672045</v>
      </c>
      <c r="AB59" s="708">
        <f t="shared" si="52"/>
        <v>20.94397756691248</v>
      </c>
      <c r="AC59" s="707">
        <f t="shared" si="53"/>
        <v>232905.53333333333</v>
      </c>
      <c r="AD59" s="706">
        <f>VLOOKUP("*"&amp;$B59&amp;"*",'S4 - Summ PRS Characteristics'!$C$21:$Q$28,14,FALSE)*$J59</f>
        <v>79.458528678918597</v>
      </c>
      <c r="AE59" s="706">
        <f t="shared" ref="AE59:AE70" si="60">$J59-AD59</f>
        <v>329.54147132108142</v>
      </c>
      <c r="AF59" s="706">
        <f>IF($C59="other",(1-$C56)*AD59,(1-(VLOOKUP($C59,'S3 - Screening Tool Metrics'!$C$3:$G$17,5,FALSE)/100))*AD59)</f>
        <v>25.585646234611794</v>
      </c>
      <c r="AG59" s="706">
        <f>IF($C59="other",$C56*AD59,(VLOOKUP($C59,'S3 - Screening Tool Metrics'!$C$3:$G$17,5,FALSE)/100)*AD59)</f>
        <v>53.872882444306804</v>
      </c>
      <c r="AH59" s="708">
        <f t="shared" si="54"/>
        <v>13.171853898363523</v>
      </c>
      <c r="AI59" s="707">
        <f t="shared" si="55"/>
        <v>46581.106666666659</v>
      </c>
      <c r="AJ59" s="706">
        <f>VLOOKUP("*"&amp;$B59&amp;"*",'S4 - Summ PRS Characteristics'!$C$21:$Q$28,15,FALSE)*$J59</f>
        <v>25.082014071182321</v>
      </c>
      <c r="AK59" s="706">
        <f t="shared" si="59"/>
        <v>383.9179859288177</v>
      </c>
      <c r="AL59" s="706">
        <f>IF($C59="other",(1-$C56)*AJ59,(1-(VLOOKUP($C59,'S3 - Screening Tool Metrics'!$C$3:$G$17,5,FALSE)/100))*AJ59)</f>
        <v>8.076408530920709</v>
      </c>
      <c r="AM59" s="706">
        <f>IF($C59="other",$C56*AJ59,(VLOOKUP($C59,'S3 - Screening Tool Metrics'!$C$3:$G$17,5,FALSE)/100)*AJ59)</f>
        <v>17.005605540261612</v>
      </c>
      <c r="AN59" s="709">
        <f t="shared" si="56"/>
        <v>4.1578497653451372</v>
      </c>
    </row>
    <row r="60" spans="2:40" x14ac:dyDescent="0.15">
      <c r="B60" s="700" t="s">
        <v>12</v>
      </c>
      <c r="C60" s="721" t="str">
        <f>$C57</f>
        <v>CA19-9_20U/mL cutoff</v>
      </c>
      <c r="D60" s="552" t="s">
        <v>195</v>
      </c>
      <c r="E60" s="710">
        <f>VLOOKUP($B60&amp;"_"&amp;$D60,'App5 - CRUK Inci Rates'!C:H,6,FALSE)</f>
        <v>18.3</v>
      </c>
      <c r="F60" s="711">
        <f>VLOOKUP($B60&amp;"_"&amp;$D60,'App5 - CRUK Inci Rates'!C:H,3,FALSE)</f>
        <v>13.6</v>
      </c>
      <c r="G60" s="712">
        <f>VLOOKUP($B60&amp;"_"&amp;$D60,'App5 - CRUK Inci Rates'!C:J,8,FALSE)</f>
        <v>4181606</v>
      </c>
      <c r="H60" s="713">
        <f>VLOOKUP($B60&amp;"_"&amp;$D60,'App5 - CRUK Inci Rates'!C:J,7,FALSE)</f>
        <v>2061918.6666666667</v>
      </c>
      <c r="I60" s="713">
        <f>VLOOKUP($B60&amp;"_"&amp;$D60,'App5 - CRUK Inci Rates'!C:J,4,FALSE)</f>
        <v>2119687.3333333335</v>
      </c>
      <c r="J60" s="709">
        <f>VLOOKUP($B60&amp;"_"&amp;$D60,'App5 - CRUK Inci Rates'!C:K,9,FALSE)</f>
        <v>666</v>
      </c>
      <c r="K60" s="706">
        <f t="shared" si="8"/>
        <v>2090803</v>
      </c>
      <c r="L60" s="706">
        <f>VLOOKUP("*"&amp;$B60&amp;"*",'S4 - Summ PRS Characteristics'!$C$21:$Q$28,11,FALSE)*$J60</f>
        <v>521.52475696642239</v>
      </c>
      <c r="M60" s="706">
        <f t="shared" si="9"/>
        <v>144.47524303357761</v>
      </c>
      <c r="N60" s="706">
        <f>IF($C60="other",(1-$C$7)*L60,(1-(VLOOKUP($C60,'S3 - Screening Tool Metrics'!$C$3:$G$17,5,FALSE)/100))*L60)</f>
        <v>167.93097174318805</v>
      </c>
      <c r="O60" s="706">
        <f>IF($C60="other",$C$7*L60,(VLOOKUP($C60,'S3 - Screening Tool Metrics'!$C$3:$G$17,5,FALSE)/100)*L60)</f>
        <v>353.59378522323436</v>
      </c>
      <c r="P60" s="706">
        <f t="shared" si="10"/>
        <v>53.092159943428584</v>
      </c>
      <c r="Q60" s="707">
        <f t="shared" si="49"/>
        <v>836321.20000000007</v>
      </c>
      <c r="R60" s="706">
        <f>VLOOKUP("*"&amp;$B60&amp;"*",'S4 - Summ PRS Characteristics'!$C$21:$Q$28,12,FALSE)*$J60</f>
        <v>317.32852765937736</v>
      </c>
      <c r="S60" s="706">
        <f t="shared" si="57"/>
        <v>348.67147234062264</v>
      </c>
      <c r="T60" s="706">
        <f>IF($C60="other",(1-$C56)*R60,(1-(VLOOKUP($C60,'S3 - Screening Tool Metrics'!$C$3:$G$17,5,FALSE)/100))*R60)</f>
        <v>102.17978590631952</v>
      </c>
      <c r="U60" s="706">
        <f>IF($C60="other",$C56*R60,(VLOOKUP($C60,'S3 - Screening Tool Metrics'!$C$3:$G$17,5,FALSE)/100)*R60)</f>
        <v>215.14874175305783</v>
      </c>
      <c r="V60" s="708">
        <f t="shared" si="50"/>
        <v>32.30461587883751</v>
      </c>
      <c r="W60" s="707">
        <f t="shared" si="51"/>
        <v>418160.60000000003</v>
      </c>
      <c r="X60" s="706">
        <f>VLOOKUP("*"&amp;$B60&amp;"*",'S4 - Summ PRS Characteristics'!$C$21:$Q$28,13,FALSE)*$J60</f>
        <v>205.73287698471555</v>
      </c>
      <c r="Y60" s="706">
        <f t="shared" si="58"/>
        <v>460.26712301528448</v>
      </c>
      <c r="Z60" s="706">
        <f>IF($C60="other",(1-$C56)*X60,(1-(VLOOKUP($C60,'S3 - Screening Tool Metrics'!$C$3:$G$17,5,FALSE)/100))*X60)</f>
        <v>66.245986389078425</v>
      </c>
      <c r="AA60" s="706">
        <f>IF($C60="other",$C56*X60,(VLOOKUP($C60,'S3 - Screening Tool Metrics'!$C$3:$G$17,5,FALSE)/100)*X60)</f>
        <v>139.48689059563713</v>
      </c>
      <c r="AB60" s="708">
        <f t="shared" si="52"/>
        <v>20.943977566912483</v>
      </c>
      <c r="AC60" s="707">
        <f t="shared" si="53"/>
        <v>209080.30000000002</v>
      </c>
      <c r="AD60" s="706">
        <f>VLOOKUP("*"&amp;$B60&amp;"*",'S4 - Summ PRS Characteristics'!$C$21:$Q$28,14,FALSE)*$J60</f>
        <v>129.38723740870361</v>
      </c>
      <c r="AE60" s="706">
        <f t="shared" si="60"/>
        <v>536.61276259129636</v>
      </c>
      <c r="AF60" s="706">
        <f>IF($C60="other",(1-$C56)*AD60,(1-(VLOOKUP($C60,'S3 - Screening Tool Metrics'!$C$3:$G$17,5,FALSE)/100))*AD60)</f>
        <v>41.662690445602571</v>
      </c>
      <c r="AG60" s="706">
        <f>IF($C60="other",$C56*AD60,(VLOOKUP($C60,'S3 - Screening Tool Metrics'!$C$3:$G$17,5,FALSE)/100)*AD60)</f>
        <v>87.724546963101034</v>
      </c>
      <c r="AH60" s="708">
        <f t="shared" si="54"/>
        <v>13.171853898363519</v>
      </c>
      <c r="AI60" s="707">
        <f t="shared" si="55"/>
        <v>41816.06</v>
      </c>
      <c r="AJ60" s="706">
        <f>VLOOKUP("*"&amp;$B60&amp;"*",'S4 - Summ PRS Characteristics'!$C$21:$Q$28,15,FALSE)*$J60</f>
        <v>40.842595040115953</v>
      </c>
      <c r="AK60" s="706">
        <f t="shared" si="59"/>
        <v>625.15740495988405</v>
      </c>
      <c r="AL60" s="706">
        <f>IF($C60="other",(1-$C56)*AJ60,(1-(VLOOKUP($C60,'S3 - Screening Tool Metrics'!$C$3:$G$17,5,FALSE)/100))*AJ60)</f>
        <v>13.151315602917339</v>
      </c>
      <c r="AM60" s="706">
        <f>IF($C60="other",$C56*AJ60,(VLOOKUP($C60,'S3 - Screening Tool Metrics'!$C$3:$G$17,5,FALSE)/100)*AJ60)</f>
        <v>27.691279437198613</v>
      </c>
      <c r="AN60" s="709">
        <f t="shared" si="56"/>
        <v>4.1578497653451372</v>
      </c>
    </row>
    <row r="61" spans="2:40" x14ac:dyDescent="0.15">
      <c r="B61" s="700" t="s">
        <v>12</v>
      </c>
      <c r="C61" s="721" t="str">
        <f>$C57</f>
        <v>CA19-9_20U/mL cutoff</v>
      </c>
      <c r="D61" s="552" t="s">
        <v>196</v>
      </c>
      <c r="E61" s="710">
        <f>VLOOKUP($B61&amp;"_"&amp;$D61,'App5 - CRUK Inci Rates'!C:H,6,FALSE)</f>
        <v>29.2</v>
      </c>
      <c r="F61" s="711">
        <f>VLOOKUP($B61&amp;"_"&amp;$D61,'App5 - CRUK Inci Rates'!C:H,3,FALSE)</f>
        <v>22.4</v>
      </c>
      <c r="G61" s="712">
        <f>VLOOKUP($B61&amp;"_"&amp;$D61,'App5 - CRUK Inci Rates'!C:J,8,FALSE)</f>
        <v>3602002</v>
      </c>
      <c r="H61" s="713">
        <f>VLOOKUP($B61&amp;"_"&amp;$D61,'App5 - CRUK Inci Rates'!C:J,7,FALSE)</f>
        <v>1764828</v>
      </c>
      <c r="I61" s="713">
        <f>VLOOKUP($B61&amp;"_"&amp;$D61,'App5 - CRUK Inci Rates'!C:J,4,FALSE)</f>
        <v>1837174</v>
      </c>
      <c r="J61" s="709">
        <f>VLOOKUP($B61&amp;"_"&amp;$D61,'App5 - CRUK Inci Rates'!C:K,9,FALSE)</f>
        <v>926</v>
      </c>
      <c r="K61" s="706">
        <f t="shared" si="8"/>
        <v>1801001</v>
      </c>
      <c r="L61" s="706">
        <f>VLOOKUP("*"&amp;$B61&amp;"*",'S4 - Summ PRS Characteristics'!$C$21:$Q$28,11,FALSE)*$J61</f>
        <v>725.12301043679759</v>
      </c>
      <c r="M61" s="706">
        <f t="shared" si="9"/>
        <v>200.87698956320241</v>
      </c>
      <c r="N61" s="706">
        <f>IF($C61="other",(1-$C$7)*L61,(1-(VLOOKUP($C61,'S3 - Screening Tool Metrics'!$C$3:$G$17,5,FALSE)/100))*L61)</f>
        <v>233.48960936064887</v>
      </c>
      <c r="O61" s="706">
        <f>IF($C61="other",$C$7*L61,(VLOOKUP($C61,'S3 - Screening Tool Metrics'!$C$3:$G$17,5,FALSE)/100)*L61)</f>
        <v>491.63340107614874</v>
      </c>
      <c r="P61" s="706">
        <f t="shared" si="10"/>
        <v>53.092159943428584</v>
      </c>
      <c r="Q61" s="707">
        <f t="shared" si="49"/>
        <v>720400.4</v>
      </c>
      <c r="R61" s="706">
        <f>VLOOKUP("*"&amp;$B61&amp;"*",'S4 - Summ PRS Characteristics'!$C$21:$Q$28,12,FALSE)*$J61</f>
        <v>441.21053545432949</v>
      </c>
      <c r="S61" s="706">
        <f t="shared" si="57"/>
        <v>484.78946454567051</v>
      </c>
      <c r="T61" s="706">
        <f>IF($C61="other",(1-$C56)*R61,(1-(VLOOKUP($C61,'S3 - Screening Tool Metrics'!$C$3:$G$17,5,FALSE)/100))*R61)</f>
        <v>142.06979241629412</v>
      </c>
      <c r="U61" s="706">
        <f>IF($C61="other",$C56*R61,(VLOOKUP($C61,'S3 - Screening Tool Metrics'!$C$3:$G$17,5,FALSE)/100)*R61)</f>
        <v>299.14074303803534</v>
      </c>
      <c r="V61" s="708">
        <f t="shared" si="50"/>
        <v>32.30461587883751</v>
      </c>
      <c r="W61" s="707">
        <f t="shared" si="51"/>
        <v>360200.2</v>
      </c>
      <c r="X61" s="706">
        <f>VLOOKUP("*"&amp;$B61&amp;"*",'S4 - Summ PRS Characteristics'!$C$21:$Q$28,13,FALSE)*$J61</f>
        <v>286.04901514691682</v>
      </c>
      <c r="Y61" s="706">
        <f t="shared" si="58"/>
        <v>639.95098485308313</v>
      </c>
      <c r="Z61" s="706">
        <f>IF($C61="other",(1-$C56)*X61,(1-(VLOOKUP($C61,'S3 - Screening Tool Metrics'!$C$3:$G$17,5,FALSE)/100))*X61)</f>
        <v>92.10778287730723</v>
      </c>
      <c r="AA61" s="706">
        <f>IF($C61="other",$C56*X61,(VLOOKUP($C61,'S3 - Screening Tool Metrics'!$C$3:$G$17,5,FALSE)/100)*X61)</f>
        <v>193.94123226960957</v>
      </c>
      <c r="AB61" s="708">
        <f t="shared" si="52"/>
        <v>20.94397756691248</v>
      </c>
      <c r="AC61" s="707">
        <f t="shared" si="53"/>
        <v>180100.1</v>
      </c>
      <c r="AD61" s="706">
        <f>VLOOKUP("*"&amp;$B61&amp;"*",'S4 - Summ PRS Characteristics'!$C$21:$Q$28,14,FALSE)*$J61</f>
        <v>179.89877153222156</v>
      </c>
      <c r="AE61" s="706">
        <f t="shared" si="60"/>
        <v>746.10122846777847</v>
      </c>
      <c r="AF61" s="706">
        <f>IF($C61="other",(1-$C56)*AD61,(1-(VLOOKUP($C61,'S3 - Screening Tool Metrics'!$C$3:$G$17,5,FALSE)/100))*AD61)</f>
        <v>57.927404433375351</v>
      </c>
      <c r="AG61" s="706">
        <f>IF($C61="other",$C56*AD61,(VLOOKUP($C61,'S3 - Screening Tool Metrics'!$C$3:$G$17,5,FALSE)/100)*AD61)</f>
        <v>121.9713670988462</v>
      </c>
      <c r="AH61" s="708">
        <f t="shared" si="54"/>
        <v>13.171853898363519</v>
      </c>
      <c r="AI61" s="707">
        <f t="shared" si="55"/>
        <v>36020.020000000004</v>
      </c>
      <c r="AJ61" s="706">
        <f>VLOOKUP("*"&amp;$B61&amp;"*",'S4 - Summ PRS Characteristics'!$C$21:$Q$28,15,FALSE)*$J61</f>
        <v>56.787151662383444</v>
      </c>
      <c r="AK61" s="706">
        <f t="shared" si="59"/>
        <v>869.21284833761661</v>
      </c>
      <c r="AL61" s="706">
        <f>IF($C61="other",(1-$C56)*AJ61,(1-(VLOOKUP($C61,'S3 - Screening Tool Metrics'!$C$3:$G$17,5,FALSE)/100))*AJ61)</f>
        <v>18.285462835287472</v>
      </c>
      <c r="AM61" s="706">
        <f>IF($C61="other",$C56*AJ61,(VLOOKUP($C61,'S3 - Screening Tool Metrics'!$C$3:$G$17,5,FALSE)/100)*AJ61)</f>
        <v>38.501688827095968</v>
      </c>
      <c r="AN61" s="709">
        <f t="shared" si="56"/>
        <v>4.1578497653451372</v>
      </c>
    </row>
    <row r="62" spans="2:40" x14ac:dyDescent="0.15">
      <c r="B62" s="700" t="s">
        <v>12</v>
      </c>
      <c r="C62" s="721" t="str">
        <f>$C57</f>
        <v>CA19-9_20U/mL cutoff</v>
      </c>
      <c r="D62" s="552" t="s">
        <v>197</v>
      </c>
      <c r="E62" s="710">
        <f>VLOOKUP($B62&amp;"_"&amp;$D62,'App5 - CRUK Inci Rates'!C:H,6,FALSE)</f>
        <v>47.2</v>
      </c>
      <c r="F62" s="711">
        <f>VLOOKUP($B62&amp;"_"&amp;$D62,'App5 - CRUK Inci Rates'!C:H,3,FALSE)</f>
        <v>34.1</v>
      </c>
      <c r="G62" s="712">
        <f>VLOOKUP($B62&amp;"_"&amp;$D62,'App5 - CRUK Inci Rates'!C:J,8,FALSE)</f>
        <v>3502183.333333333</v>
      </c>
      <c r="H62" s="713">
        <f>VLOOKUP($B62&amp;"_"&amp;$D62,'App5 - CRUK Inci Rates'!C:J,7,FALSE)</f>
        <v>1696993.3333333333</v>
      </c>
      <c r="I62" s="713">
        <f>VLOOKUP($B62&amp;"_"&amp;$D62,'App5 - CRUK Inci Rates'!C:J,4,FALSE)</f>
        <v>1805190</v>
      </c>
      <c r="J62" s="709">
        <f>VLOOKUP($B62&amp;"_"&amp;$D62,'App5 - CRUK Inci Rates'!C:K,9,FALSE)</f>
        <v>1417</v>
      </c>
      <c r="K62" s="706">
        <f t="shared" si="8"/>
        <v>1751091.6666666665</v>
      </c>
      <c r="L62" s="706">
        <f>VLOOKUP("*"&amp;$B62&amp;"*",'S4 - Summ PRS Characteristics'!$C$21:$Q$28,11,FALSE)*$J62</f>
        <v>1109.6104814135444</v>
      </c>
      <c r="M62" s="706">
        <f t="shared" si="9"/>
        <v>307.38951858645555</v>
      </c>
      <c r="N62" s="706">
        <f>IF($C62="other",(1-$C$7)*L62,(1-(VLOOKUP($C62,'S3 - Screening Tool Metrics'!$C$3:$G$17,5,FALSE)/100))*L62)</f>
        <v>357.2945750151614</v>
      </c>
      <c r="O62" s="706">
        <f>IF($C62="other",$C$7*L62,(VLOOKUP($C62,'S3 - Screening Tool Metrics'!$C$3:$G$17,5,FALSE)/100)*L62)</f>
        <v>752.31590639838305</v>
      </c>
      <c r="P62" s="706">
        <f t="shared" si="10"/>
        <v>53.092159943428584</v>
      </c>
      <c r="Q62" s="707">
        <f t="shared" si="49"/>
        <v>700436.66666666663</v>
      </c>
      <c r="R62" s="706">
        <f>VLOOKUP("*"&amp;$B62&amp;"*",'S4 - Summ PRS Characteristics'!$C$21:$Q$28,12,FALSE)*$J62</f>
        <v>675.15694248248906</v>
      </c>
      <c r="S62" s="706">
        <f t="shared" si="57"/>
        <v>741.84305751751094</v>
      </c>
      <c r="T62" s="706">
        <f>IF($C62="other",(1-$C56)*R62,(1-(VLOOKUP($C62,'S3 - Screening Tool Metrics'!$C$3:$G$17,5,FALSE)/100))*R62)</f>
        <v>217.40053547936151</v>
      </c>
      <c r="U62" s="706">
        <f>IF($C62="other",$C56*R62,(VLOOKUP($C62,'S3 - Screening Tool Metrics'!$C$3:$G$17,5,FALSE)/100)*R62)</f>
        <v>457.75640700312755</v>
      </c>
      <c r="V62" s="708">
        <f t="shared" si="50"/>
        <v>32.30461587883751</v>
      </c>
      <c r="W62" s="707">
        <f t="shared" si="51"/>
        <v>350218.33333333331</v>
      </c>
      <c r="X62" s="706">
        <f>VLOOKUP("*"&amp;$B62&amp;"*",'S4 - Summ PRS Characteristics'!$C$21:$Q$28,13,FALSE)*$J62</f>
        <v>437.72295298399689</v>
      </c>
      <c r="Y62" s="706">
        <f t="shared" si="58"/>
        <v>979.27704701600305</v>
      </c>
      <c r="Z62" s="706">
        <f>IF($C62="other",(1-$C56)*X62,(1-(VLOOKUP($C62,'S3 - Screening Tool Metrics'!$C$3:$G$17,5,FALSE)/100))*X62)</f>
        <v>140.94679086084702</v>
      </c>
      <c r="AA62" s="706">
        <f>IF($C62="other",$C56*X62,(VLOOKUP($C62,'S3 - Screening Tool Metrics'!$C$3:$G$17,5,FALSE)/100)*X62)</f>
        <v>296.77616212314985</v>
      </c>
      <c r="AB62" s="708">
        <f t="shared" si="52"/>
        <v>20.94397756691248</v>
      </c>
      <c r="AC62" s="707">
        <f t="shared" si="53"/>
        <v>175109.16666666666</v>
      </c>
      <c r="AD62" s="706">
        <f>VLOOKUP("*"&amp;$B62&amp;"*",'S4 - Summ PRS Characteristics'!$C$21:$Q$28,14,FALSE)*$J62</f>
        <v>275.28786097317271</v>
      </c>
      <c r="AE62" s="706">
        <f t="shared" si="60"/>
        <v>1141.7121390268273</v>
      </c>
      <c r="AF62" s="706">
        <f>IF($C62="other",(1-$C56)*AD62,(1-(VLOOKUP($C62,'S3 - Screening Tool Metrics'!$C$3:$G$17,5,FALSE)/100))*AD62)</f>
        <v>88.642691233361631</v>
      </c>
      <c r="AG62" s="706">
        <f>IF($C62="other",$C56*AD62,(VLOOKUP($C62,'S3 - Screening Tool Metrics'!$C$3:$G$17,5,FALSE)/100)*AD62)</f>
        <v>186.64516973981108</v>
      </c>
      <c r="AH62" s="708">
        <f t="shared" si="54"/>
        <v>13.171853898363519</v>
      </c>
      <c r="AI62" s="707">
        <f t="shared" si="55"/>
        <v>35021.833333333328</v>
      </c>
      <c r="AJ62" s="706">
        <f>VLOOKUP("*"&amp;$B62&amp;"*",'S4 - Summ PRS Characteristics'!$C$21:$Q$28,15,FALSE)*$J62</f>
        <v>86.897833591357823</v>
      </c>
      <c r="AK62" s="706">
        <f t="shared" si="59"/>
        <v>1330.1021664086422</v>
      </c>
      <c r="AL62" s="706">
        <f>IF($C62="other",(1-$C56)*AJ62,(1-(VLOOKUP($C62,'S3 - Screening Tool Metrics'!$C$3:$G$17,5,FALSE)/100))*AJ62)</f>
        <v>27.981102416417226</v>
      </c>
      <c r="AM62" s="706">
        <f>IF($C62="other",$C56*AJ62,(VLOOKUP($C62,'S3 - Screening Tool Metrics'!$C$3:$G$17,5,FALSE)/100)*AJ62)</f>
        <v>58.916731174940601</v>
      </c>
      <c r="AN62" s="709">
        <f t="shared" si="56"/>
        <v>4.1578497653451372</v>
      </c>
    </row>
    <row r="63" spans="2:40" x14ac:dyDescent="0.15">
      <c r="B63" s="700" t="s">
        <v>12</v>
      </c>
      <c r="C63" s="721" t="str">
        <f>$C57</f>
        <v>CA19-9_20U/mL cutoff</v>
      </c>
      <c r="D63" s="552" t="s">
        <v>198</v>
      </c>
      <c r="E63" s="710">
        <f>VLOOKUP($B63&amp;"_"&amp;$D63,'App5 - CRUK Inci Rates'!C:H,6,FALSE)</f>
        <v>66.400000000000006</v>
      </c>
      <c r="F63" s="711">
        <f>VLOOKUP($B63&amp;"_"&amp;$D63,'App5 - CRUK Inci Rates'!C:H,3,FALSE)</f>
        <v>48.8</v>
      </c>
      <c r="G63" s="712">
        <f>VLOOKUP($B63&amp;"_"&amp;$D63,'App5 - CRUK Inci Rates'!C:J,8,FALSE)</f>
        <v>3071574.666666667</v>
      </c>
      <c r="H63" s="713">
        <f>VLOOKUP($B63&amp;"_"&amp;$D63,'App5 - CRUK Inci Rates'!C:J,7,FALSE)</f>
        <v>1467965</v>
      </c>
      <c r="I63" s="713">
        <f>VLOOKUP($B63&amp;"_"&amp;$D63,'App5 - CRUK Inci Rates'!C:J,4,FALSE)</f>
        <v>1603609.6666666667</v>
      </c>
      <c r="J63" s="709">
        <f>VLOOKUP($B63&amp;"_"&amp;$D63,'App5 - CRUK Inci Rates'!C:K,9,FALSE)</f>
        <v>1757</v>
      </c>
      <c r="K63" s="706">
        <f t="shared" si="8"/>
        <v>1535787.3333333335</v>
      </c>
      <c r="L63" s="706">
        <f>VLOOKUP("*"&amp;$B63&amp;"*",'S4 - Summ PRS Characteristics'!$C$21:$Q$28,11,FALSE)*$J63</f>
        <v>1375.8543513363427</v>
      </c>
      <c r="M63" s="706">
        <f t="shared" si="9"/>
        <v>381.14564866365731</v>
      </c>
      <c r="N63" s="706">
        <f>IF($C63="other",(1-$C$7)*L63,(1-(VLOOKUP($C63,'S3 - Screening Tool Metrics'!$C$3:$G$17,5,FALSE)/100))*L63)</f>
        <v>443.02510113030246</v>
      </c>
      <c r="O63" s="706">
        <f>IF($C63="other",$C$7*L63,(VLOOKUP($C63,'S3 - Screening Tool Metrics'!$C$3:$G$17,5,FALSE)/100)*L63)</f>
        <v>932.82925020604023</v>
      </c>
      <c r="P63" s="706">
        <f t="shared" si="10"/>
        <v>53.092159943428584</v>
      </c>
      <c r="Q63" s="707">
        <f t="shared" si="49"/>
        <v>614314.93333333347</v>
      </c>
      <c r="R63" s="706">
        <f>VLOOKUP("*"&amp;$B63&amp;"*",'S4 - Summ PRS Characteristics'!$C$21:$Q$28,12,FALSE)*$J63</f>
        <v>837.15649113742654</v>
      </c>
      <c r="S63" s="706">
        <f t="shared" si="57"/>
        <v>919.84350886257346</v>
      </c>
      <c r="T63" s="706">
        <f>IF($C63="other",(1-$C56)*R63,(1-(VLOOKUP($C63,'S3 - Screening Tool Metrics'!$C$3:$G$17,5,FALSE)/100))*R63)</f>
        <v>269.56439014625141</v>
      </c>
      <c r="U63" s="706">
        <f>IF($C63="other",$C56*R63,(VLOOKUP($C63,'S3 - Screening Tool Metrics'!$C$3:$G$17,5,FALSE)/100)*R63)</f>
        <v>567.59210099117513</v>
      </c>
      <c r="V63" s="708">
        <f t="shared" si="50"/>
        <v>32.304615878837517</v>
      </c>
      <c r="W63" s="707">
        <f t="shared" si="51"/>
        <v>307157.46666666673</v>
      </c>
      <c r="X63" s="706">
        <f>VLOOKUP("*"&amp;$B63&amp;"*",'S4 - Summ PRS Characteristics'!$C$21:$Q$28,13,FALSE)*$J63</f>
        <v>542.75174904226003</v>
      </c>
      <c r="Y63" s="706">
        <f t="shared" si="58"/>
        <v>1214.2482509577399</v>
      </c>
      <c r="Z63" s="706">
        <f>IF($C63="other",(1-$C56)*X63,(1-(VLOOKUP($C63,'S3 - Screening Tool Metrics'!$C$3:$G$17,5,FALSE)/100))*X63)</f>
        <v>174.76606319160777</v>
      </c>
      <c r="AA63" s="706">
        <f>IF($C63="other",$C56*X63,(VLOOKUP($C63,'S3 - Screening Tool Metrics'!$C$3:$G$17,5,FALSE)/100)*X63)</f>
        <v>367.98568585065226</v>
      </c>
      <c r="AB63" s="708">
        <f t="shared" si="52"/>
        <v>20.94397756691248</v>
      </c>
      <c r="AC63" s="707">
        <f t="shared" si="53"/>
        <v>153578.73333333337</v>
      </c>
      <c r="AD63" s="706">
        <f>VLOOKUP("*"&amp;$B63&amp;"*",'S4 - Summ PRS Characteristics'!$C$21:$Q$28,14,FALSE)*$J63</f>
        <v>341.34140559623467</v>
      </c>
      <c r="AE63" s="706">
        <f t="shared" si="60"/>
        <v>1415.6585944037654</v>
      </c>
      <c r="AF63" s="706">
        <f>IF($C63="other",(1-$C56)*AD63,(1-(VLOOKUP($C63,'S3 - Screening Tool Metrics'!$C$3:$G$17,5,FALSE)/100))*AD63)</f>
        <v>109.91193260198759</v>
      </c>
      <c r="AG63" s="706">
        <f>IF($C63="other",$C56*AD63,(VLOOKUP($C63,'S3 - Screening Tool Metrics'!$C$3:$G$17,5,FALSE)/100)*AD63)</f>
        <v>231.42947299424708</v>
      </c>
      <c r="AH63" s="708">
        <f t="shared" si="54"/>
        <v>13.171853898363523</v>
      </c>
      <c r="AI63" s="707">
        <f t="shared" si="55"/>
        <v>30715.74666666667</v>
      </c>
      <c r="AJ63" s="706">
        <f>VLOOKUP("*"&amp;$B63&amp;"*",'S4 - Summ PRS Characteristics'!$C$21:$Q$28,15,FALSE)*$J63</f>
        <v>107.74840763586147</v>
      </c>
      <c r="AK63" s="706">
        <f t="shared" si="59"/>
        <v>1649.2515923641386</v>
      </c>
      <c r="AL63" s="706">
        <f>IF($C63="other",(1-$C56)*AJ63,(1-(VLOOKUP($C63,'S3 - Screening Tool Metrics'!$C$3:$G$17,5,FALSE)/100))*AJ63)</f>
        <v>34.694987258747403</v>
      </c>
      <c r="AM63" s="706">
        <f>IF($C63="other",$C56*AJ63,(VLOOKUP($C63,'S3 - Screening Tool Metrics'!$C$3:$G$17,5,FALSE)/100)*AJ63)</f>
        <v>73.053420377114065</v>
      </c>
      <c r="AN63" s="709">
        <f t="shared" si="56"/>
        <v>4.1578497653451372</v>
      </c>
    </row>
    <row r="64" spans="2:40" x14ac:dyDescent="0.15">
      <c r="B64" s="700" t="s">
        <v>12</v>
      </c>
      <c r="C64" s="721" t="str">
        <f>$C57</f>
        <v>CA19-9_20U/mL cutoff</v>
      </c>
      <c r="D64" s="552" t="s">
        <v>199</v>
      </c>
      <c r="E64" s="710">
        <f>VLOOKUP($B64&amp;"_"&amp;$D64,'App5 - CRUK Inci Rates'!C:H,6,FALSE)</f>
        <v>86</v>
      </c>
      <c r="F64" s="711">
        <f>VLOOKUP($B64&amp;"_"&amp;$D64,'App5 - CRUK Inci Rates'!C:H,3,FALSE)</f>
        <v>70.8</v>
      </c>
      <c r="G64" s="712">
        <f>VLOOKUP($B64&amp;"_"&amp;$D64,'App5 - CRUK Inci Rates'!C:J,8,FALSE)</f>
        <v>2189010.6666666665</v>
      </c>
      <c r="H64" s="713">
        <f>VLOOKUP($B64&amp;"_"&amp;$D64,'App5 - CRUK Inci Rates'!C:J,7,FALSE)</f>
        <v>1007365.3333333334</v>
      </c>
      <c r="I64" s="713">
        <f>VLOOKUP($B64&amp;"_"&amp;$D64,'App5 - CRUK Inci Rates'!C:J,4,FALSE)</f>
        <v>1181645.3333333333</v>
      </c>
      <c r="J64" s="709">
        <f>VLOOKUP($B64&amp;"_"&amp;$D64,'App5 - CRUK Inci Rates'!C:K,9,FALSE)</f>
        <v>1702</v>
      </c>
      <c r="K64" s="706">
        <f t="shared" si="8"/>
        <v>1094505.3333333333</v>
      </c>
      <c r="L64" s="706">
        <f>VLOOKUP("*"&amp;$B64&amp;"*",'S4 - Summ PRS Characteristics'!$C$21:$Q$28,11,FALSE)*$J64</f>
        <v>1332.7854900253019</v>
      </c>
      <c r="M64" s="706">
        <f t="shared" si="9"/>
        <v>369.2145099746981</v>
      </c>
      <c r="N64" s="706">
        <f>IF($C64="other",(1-$C$7)*L64,(1-(VLOOKUP($C64,'S3 - Screening Tool Metrics'!$C$3:$G$17,5,FALSE)/100))*L64)</f>
        <v>429.1569277881473</v>
      </c>
      <c r="O64" s="706">
        <f>IF($C64="other",$C$7*L64,(VLOOKUP($C64,'S3 - Screening Tool Metrics'!$C$3:$G$17,5,FALSE)/100)*L64)</f>
        <v>903.6285622371546</v>
      </c>
      <c r="P64" s="706">
        <f t="shared" si="10"/>
        <v>53.092159943428584</v>
      </c>
      <c r="Q64" s="707">
        <f t="shared" si="49"/>
        <v>437802.1333333333</v>
      </c>
      <c r="R64" s="706">
        <f>VLOOKUP("*"&amp;$B64&amp;"*",'S4 - Summ PRS Characteristics'!$C$21:$Q$28,12,FALSE)*$J64</f>
        <v>810.95068179618659</v>
      </c>
      <c r="S64" s="706">
        <f t="shared" si="57"/>
        <v>891.04931820381341</v>
      </c>
      <c r="T64" s="706">
        <f>IF($C64="other",(1-$C56)*R64,(1-(VLOOKUP($C64,'S3 - Screening Tool Metrics'!$C$3:$G$17,5,FALSE)/100))*R64)</f>
        <v>261.12611953837211</v>
      </c>
      <c r="U64" s="706">
        <f>IF($C64="other",$C56*R64,(VLOOKUP($C64,'S3 - Screening Tool Metrics'!$C$3:$G$17,5,FALSE)/100)*R64)</f>
        <v>549.82456225781448</v>
      </c>
      <c r="V64" s="708">
        <f t="shared" si="50"/>
        <v>32.30461587883751</v>
      </c>
      <c r="W64" s="707">
        <f t="shared" si="51"/>
        <v>218901.06666666665</v>
      </c>
      <c r="X64" s="706">
        <f>VLOOKUP("*"&amp;$B64&amp;"*",'S4 - Summ PRS Characteristics'!$C$21:$Q$28,13,FALSE)*$J64</f>
        <v>525.76179673871752</v>
      </c>
      <c r="Y64" s="706">
        <f t="shared" si="58"/>
        <v>1176.2382032612825</v>
      </c>
      <c r="Z64" s="706">
        <f>IF($C64="other",(1-$C56)*X64,(1-(VLOOKUP($C64,'S3 - Screening Tool Metrics'!$C$3:$G$17,5,FALSE)/100))*X64)</f>
        <v>169.29529854986708</v>
      </c>
      <c r="AA64" s="706">
        <f>IF($C64="other",$C56*X64,(VLOOKUP($C64,'S3 - Screening Tool Metrics'!$C$3:$G$17,5,FALSE)/100)*X64)</f>
        <v>356.46649818885044</v>
      </c>
      <c r="AB64" s="708">
        <f t="shared" si="52"/>
        <v>20.94397756691248</v>
      </c>
      <c r="AC64" s="707">
        <f t="shared" si="53"/>
        <v>109450.53333333333</v>
      </c>
      <c r="AD64" s="706">
        <f>VLOOKUP("*"&amp;$B64&amp;"*",'S4 - Summ PRS Characteristics'!$C$21:$Q$28,14,FALSE)*$J64</f>
        <v>330.65627337779813</v>
      </c>
      <c r="AE64" s="706">
        <f t="shared" si="60"/>
        <v>1371.3437266222018</v>
      </c>
      <c r="AF64" s="706">
        <f>IF($C64="other",(1-$C56)*AD64,(1-(VLOOKUP($C64,'S3 - Screening Tool Metrics'!$C$3:$G$17,5,FALSE)/100))*AD64)</f>
        <v>106.47132002765102</v>
      </c>
      <c r="AG64" s="706">
        <f>IF($C64="other",$C56*AD64,(VLOOKUP($C64,'S3 - Screening Tool Metrics'!$C$3:$G$17,5,FALSE)/100)*AD64)</f>
        <v>224.18495335014711</v>
      </c>
      <c r="AH64" s="708">
        <f t="shared" si="54"/>
        <v>13.171853898363519</v>
      </c>
      <c r="AI64" s="707">
        <f t="shared" si="55"/>
        <v>21890.106666666667</v>
      </c>
      <c r="AJ64" s="706">
        <f>VLOOKUP("*"&amp;$B64&amp;"*",'S4 - Summ PRS Characteristics'!$C$21:$Q$28,15,FALSE)*$J64</f>
        <v>104.37552065807411</v>
      </c>
      <c r="AK64" s="706">
        <f t="shared" si="59"/>
        <v>1597.624479341926</v>
      </c>
      <c r="AL64" s="706">
        <f>IF($C64="other",(1-$C56)*AJ64,(1-(VLOOKUP($C64,'S3 - Screening Tool Metrics'!$C$3:$G$17,5,FALSE)/100))*AJ64)</f>
        <v>33.608917651899873</v>
      </c>
      <c r="AM64" s="706">
        <f>IF($C64="other",$C56*AJ64,(VLOOKUP($C64,'S3 - Screening Tool Metrics'!$C$3:$G$17,5,FALSE)/100)*AJ64)</f>
        <v>70.766603006174236</v>
      </c>
      <c r="AN64" s="709">
        <f t="shared" si="56"/>
        <v>4.1578497653451372</v>
      </c>
    </row>
    <row r="65" spans="2:40" x14ac:dyDescent="0.15">
      <c r="B65" s="700" t="s">
        <v>12</v>
      </c>
      <c r="C65" s="721" t="str">
        <f>$C57</f>
        <v>CA19-9_20U/mL cutoff</v>
      </c>
      <c r="D65" s="552" t="s">
        <v>200</v>
      </c>
      <c r="E65" s="710">
        <f>VLOOKUP($B65&amp;"_"&amp;$D65,'App5 - CRUK Inci Rates'!C:H,6,FALSE)</f>
        <v>17.427226372970985</v>
      </c>
      <c r="F65" s="711">
        <f>VLOOKUP($B65&amp;"_"&amp;$D65,'App5 - CRUK Inci Rates'!C:H,3,FALSE)</f>
        <v>12.96374185444887</v>
      </c>
      <c r="G65" s="712">
        <f>VLOOKUP($B65&amp;"_"&amp;$D65,'App5 - CRUK Inci Rates'!C:J,8,FALSE)</f>
        <v>24586669.333333336</v>
      </c>
      <c r="H65" s="713">
        <f>VLOOKUP($B65&amp;"_"&amp;$D65,'App5 - CRUK Inci Rates'!C:J,7,FALSE)</f>
        <v>12090277.333333334</v>
      </c>
      <c r="I65" s="713">
        <f>VLOOKUP($B65&amp;"_"&amp;$D65,'App5 - CRUK Inci Rates'!C:J,4,FALSE)</f>
        <v>12496392</v>
      </c>
      <c r="J65" s="709">
        <f>VLOOKUP($B65&amp;"_"&amp;$D65,'App5 - CRUK Inci Rates'!C:K,9,FALSE)</f>
        <v>3727</v>
      </c>
      <c r="K65" s="706">
        <f t="shared" si="8"/>
        <v>12293334.666666668</v>
      </c>
      <c r="L65" s="706">
        <f>VLOOKUP("*"&amp;$B65&amp;"*",'S4 - Summ PRS Characteristics'!$C$21:$Q$28,11,FALSE)*$J65</f>
        <v>2918.502656477262</v>
      </c>
      <c r="M65" s="706">
        <f t="shared" si="9"/>
        <v>808.49734352273799</v>
      </c>
      <c r="N65" s="706">
        <f>IF($C65="other",(1-$C$7)*L65,(1-(VLOOKUP($C65,'S3 - Screening Tool Metrics'!$C$3:$G$17,5,FALSE)/100))*L65)</f>
        <v>939.75785538567857</v>
      </c>
      <c r="O65" s="706">
        <f>IF($C65="other",$C$7*L65,(VLOOKUP($C65,'S3 - Screening Tool Metrics'!$C$3:$G$17,5,FALSE)/100)*L65)</f>
        <v>1978.7448010915834</v>
      </c>
      <c r="P65" s="706">
        <f t="shared" si="10"/>
        <v>53.092159943428584</v>
      </c>
      <c r="Q65" s="707">
        <f t="shared" si="49"/>
        <v>4917333.8666666672</v>
      </c>
      <c r="R65" s="706">
        <f>VLOOKUP("*"&amp;$B65&amp;"*",'S4 - Summ PRS Characteristics'!$C$21:$Q$28,12,FALSE)*$J65</f>
        <v>1775.8009348145638</v>
      </c>
      <c r="S65" s="706">
        <f t="shared" si="57"/>
        <v>1951.1990651854362</v>
      </c>
      <c r="T65" s="706">
        <f>IF($C65="other",(1-$C56)*R65,(1-(VLOOKUP($C65,'S3 - Screening Tool Metrics'!$C$3:$G$17,5,FALSE)/100))*R65)</f>
        <v>571.8079010102897</v>
      </c>
      <c r="U65" s="706">
        <f>IF($C65="other",$C56*R65,(VLOOKUP($C65,'S3 - Screening Tool Metrics'!$C$3:$G$17,5,FALSE)/100)*R65)</f>
        <v>1203.9930338042741</v>
      </c>
      <c r="V65" s="708">
        <f t="shared" si="50"/>
        <v>32.30461587883751</v>
      </c>
      <c r="W65" s="707">
        <f t="shared" si="51"/>
        <v>2458666.9333333336</v>
      </c>
      <c r="X65" s="706">
        <f>VLOOKUP("*"&amp;$B65&amp;"*",'S4 - Summ PRS Characteristics'!$C$21:$Q$28,13,FALSE)*$J65</f>
        <v>1151.3009497327851</v>
      </c>
      <c r="Y65" s="706">
        <f t="shared" si="58"/>
        <v>2575.6990502672152</v>
      </c>
      <c r="Z65" s="706">
        <f>IF($C65="other",(1-$C56)*X65,(1-(VLOOKUP($C65,'S3 - Screening Tool Metrics'!$C$3:$G$17,5,FALSE)/100))*X65)</f>
        <v>370.71890581395684</v>
      </c>
      <c r="AA65" s="706">
        <f>IF($C65="other",$C56*X65,(VLOOKUP($C65,'S3 - Screening Tool Metrics'!$C$3:$G$17,5,FALSE)/100)*X65)</f>
        <v>780.58204391882816</v>
      </c>
      <c r="AB65" s="708">
        <f t="shared" si="52"/>
        <v>20.94397756691248</v>
      </c>
      <c r="AC65" s="707">
        <f t="shared" si="53"/>
        <v>1229333.4666666668</v>
      </c>
      <c r="AD65" s="706">
        <f>VLOOKUP("*"&amp;$B65&amp;"*",'S4 - Summ PRS Characteristics'!$C$21:$Q$28,14,FALSE)*$J65</f>
        <v>724.06341414750511</v>
      </c>
      <c r="AE65" s="706">
        <f t="shared" si="60"/>
        <v>3002.9365858524948</v>
      </c>
      <c r="AF65" s="706">
        <f>IF($C65="other",(1-$C56)*AD65,(1-(VLOOKUP($C65,'S3 - Screening Tool Metrics'!$C$3:$G$17,5,FALSE)/100))*AD65)</f>
        <v>233.14841935549669</v>
      </c>
      <c r="AG65" s="706">
        <f>IF($C65="other",$C56*AD65,(VLOOKUP($C65,'S3 - Screening Tool Metrics'!$C$3:$G$17,5,FALSE)/100)*AD65)</f>
        <v>490.91499479200843</v>
      </c>
      <c r="AH65" s="708">
        <f t="shared" si="54"/>
        <v>13.171853898363519</v>
      </c>
      <c r="AI65" s="707">
        <f t="shared" si="55"/>
        <v>245866.69333333336</v>
      </c>
      <c r="AJ65" s="706">
        <f>VLOOKUP("*"&amp;$B65&amp;"*",'S4 - Summ PRS Characteristics'!$C$21:$Q$28,15,FALSE)*$J65</f>
        <v>228.55908665842668</v>
      </c>
      <c r="AK65" s="706">
        <f t="shared" si="59"/>
        <v>3498.4409133415734</v>
      </c>
      <c r="AL65" s="706">
        <f>IF($C65="other",(1-$C56)*AJ65,(1-(VLOOKUP($C65,'S3 - Screening Tool Metrics'!$C$3:$G$17,5,FALSE)/100))*AJ65)</f>
        <v>73.596025904013402</v>
      </c>
      <c r="AM65" s="706">
        <f>IF($C65="other",$C56*AJ65,(VLOOKUP($C65,'S3 - Screening Tool Metrics'!$C$3:$G$17,5,FALSE)/100)*AJ65)</f>
        <v>154.96306075441328</v>
      </c>
      <c r="AN65" s="709">
        <f t="shared" si="56"/>
        <v>4.1578497653451372</v>
      </c>
    </row>
    <row r="66" spans="2:40" x14ac:dyDescent="0.15">
      <c r="B66" s="700" t="s">
        <v>12</v>
      </c>
      <c r="C66" s="721" t="str">
        <f>$C57</f>
        <v>CA19-9_20U/mL cutoff</v>
      </c>
      <c r="D66" s="552" t="s">
        <v>201</v>
      </c>
      <c r="E66" s="710">
        <f>VLOOKUP($B66&amp;"_"&amp;$D66,'App5 - CRUK Inci Rates'!C:H,6,FALSE)</f>
        <v>4.1656285098735539</v>
      </c>
      <c r="F66" s="711">
        <f>VLOOKUP($B66&amp;"_"&amp;$D66,'App5 - CRUK Inci Rates'!C:H,3,FALSE)</f>
        <v>2.9979156476550499</v>
      </c>
      <c r="G66" s="712">
        <f>VLOOKUP($B66&amp;"_"&amp;$D66,'App5 - CRUK Inci Rates'!C:J,8,FALSE)</f>
        <v>8642767.333333334</v>
      </c>
      <c r="H66" s="713">
        <f>VLOOKUP($B66&amp;"_"&amp;$D66,'App5 - CRUK Inci Rates'!C:J,7,FALSE)</f>
        <v>4273064.666666667</v>
      </c>
      <c r="I66" s="713">
        <f>VLOOKUP($B66&amp;"_"&amp;$D66,'App5 - CRUK Inci Rates'!C:J,4,FALSE)</f>
        <v>4369702.666666667</v>
      </c>
      <c r="J66" s="709">
        <f>VLOOKUP($B66&amp;"_"&amp;$D66,'App5 - CRUK Inci Rates'!C:K,9,FALSE)</f>
        <v>309</v>
      </c>
      <c r="K66" s="706">
        <f t="shared" si="8"/>
        <v>4321383.666666667</v>
      </c>
      <c r="L66" s="706">
        <f>VLOOKUP("*"&amp;$B66&amp;"*",'S4 - Summ PRS Characteristics'!$C$21:$Q$28,11,FALSE)*$J66</f>
        <v>241.96869354748429</v>
      </c>
      <c r="M66" s="706">
        <f t="shared" si="9"/>
        <v>67.031306452515707</v>
      </c>
      <c r="N66" s="706">
        <f>IF($C66="other",(1-$C$7)*L66,(1-(VLOOKUP($C66,'S3 - Screening Tool Metrics'!$C$3:$G$17,5,FALSE)/100))*L66)</f>
        <v>77.913919322289956</v>
      </c>
      <c r="O66" s="706">
        <f>IF($C66="other",$C$7*L66,(VLOOKUP($C66,'S3 - Screening Tool Metrics'!$C$3:$G$17,5,FALSE)/100)*L66)</f>
        <v>164.05477422519434</v>
      </c>
      <c r="P66" s="706">
        <f t="shared" si="10"/>
        <v>53.092159943428584</v>
      </c>
      <c r="Q66" s="707">
        <f t="shared" si="49"/>
        <v>1728553.4666666668</v>
      </c>
      <c r="R66" s="706">
        <f>VLOOKUP("*"&amp;$B66&amp;"*",'S4 - Summ PRS Characteristics'!$C$21:$Q$28,12,FALSE)*$J66</f>
        <v>147.22900157169312</v>
      </c>
      <c r="S66" s="706">
        <f t="shared" si="57"/>
        <v>161.77099842830688</v>
      </c>
      <c r="T66" s="706">
        <f>IF($C66="other",(1-$C56)*R66,(1-(VLOOKUP($C66,'S3 - Screening Tool Metrics'!$C$3:$G$17,5,FALSE)/100))*R66)</f>
        <v>47.407738506085195</v>
      </c>
      <c r="U66" s="706">
        <f>IF($C66="other",$C56*R66,(VLOOKUP($C66,'S3 - Screening Tool Metrics'!$C$3:$G$17,5,FALSE)/100)*R66)</f>
        <v>99.821263065607923</v>
      </c>
      <c r="V66" s="708">
        <f t="shared" si="50"/>
        <v>32.304615878837517</v>
      </c>
      <c r="W66" s="707">
        <f t="shared" si="51"/>
        <v>864276.7333333334</v>
      </c>
      <c r="X66" s="706">
        <f>VLOOKUP("*"&amp;$B66&amp;"*",'S4 - Summ PRS Characteristics'!$C$21:$Q$28,13,FALSE)*$J66</f>
        <v>95.452641123539195</v>
      </c>
      <c r="Y66" s="706">
        <f t="shared" si="58"/>
        <v>213.54735887646081</v>
      </c>
      <c r="Z66" s="706">
        <f>IF($C66="other",(1-$C56)*X66,(1-(VLOOKUP($C66,'S3 - Screening Tool Metrics'!$C$3:$G$17,5,FALSE)/100))*X66)</f>
        <v>30.735750441779626</v>
      </c>
      <c r="AA66" s="706">
        <f>IF($C66="other",$C56*X66,(VLOOKUP($C66,'S3 - Screening Tool Metrics'!$C$3:$G$17,5,FALSE)/100)*X66)</f>
        <v>64.716890681759565</v>
      </c>
      <c r="AB66" s="708">
        <f t="shared" si="52"/>
        <v>20.94397756691248</v>
      </c>
      <c r="AC66" s="707">
        <f t="shared" si="53"/>
        <v>432138.3666666667</v>
      </c>
      <c r="AD66" s="706">
        <f>VLOOKUP("*"&amp;$B66&amp;"*",'S4 - Summ PRS Characteristics'!$C$21:$Q$28,14,FALSE)*$J66</f>
        <v>60.031015554488619</v>
      </c>
      <c r="AE66" s="706">
        <f t="shared" si="60"/>
        <v>248.96898444551138</v>
      </c>
      <c r="AF66" s="706">
        <f>IF($C66="other",(1-$C56)*AD66,(1-(VLOOKUP($C66,'S3 - Screening Tool Metrics'!$C$3:$G$17,5,FALSE)/100))*AD66)</f>
        <v>19.329987008545338</v>
      </c>
      <c r="AG66" s="706">
        <f>IF($C66="other",$C56*AD66,(VLOOKUP($C66,'S3 - Screening Tool Metrics'!$C$3:$G$17,5,FALSE)/100)*AD66)</f>
        <v>40.701028545943281</v>
      </c>
      <c r="AH66" s="708">
        <f t="shared" si="54"/>
        <v>13.171853898363523</v>
      </c>
      <c r="AI66" s="707">
        <f t="shared" si="55"/>
        <v>86427.67333333334</v>
      </c>
      <c r="AJ66" s="706">
        <f>VLOOKUP("*"&amp;$B66&amp;"*",'S4 - Summ PRS Characteristics'!$C$21:$Q$28,15,FALSE)*$J66</f>
        <v>18.949492293387131</v>
      </c>
      <c r="AK66" s="706">
        <f t="shared" si="59"/>
        <v>290.05050770661285</v>
      </c>
      <c r="AL66" s="706">
        <f>IF($C66="other",(1-$C56)*AJ66,(1-(VLOOKUP($C66,'S3 - Screening Tool Metrics'!$C$3:$G$17,5,FALSE)/100))*AJ66)</f>
        <v>6.1017365184706573</v>
      </c>
      <c r="AM66" s="706">
        <f>IF($C66="other",$C56*AJ66,(VLOOKUP($C66,'S3 - Screening Tool Metrics'!$C$3:$G$17,5,FALSE)/100)*AJ66)</f>
        <v>12.847755774916473</v>
      </c>
      <c r="AN66" s="709">
        <f t="shared" si="56"/>
        <v>4.1578497653451372</v>
      </c>
    </row>
    <row r="67" spans="2:40" x14ac:dyDescent="0.15">
      <c r="B67" s="700" t="s">
        <v>12</v>
      </c>
      <c r="C67" s="721" t="str">
        <f>$C57</f>
        <v>CA19-9_20U/mL cutoff</v>
      </c>
      <c r="D67" s="552" t="s">
        <v>202</v>
      </c>
      <c r="E67" s="710">
        <f>VLOOKUP($B67&amp;"_"&amp;$D67,'App5 - CRUK Inci Rates'!C:H,6,FALSE)</f>
        <v>14.074510258320455</v>
      </c>
      <c r="F67" s="711">
        <f>VLOOKUP($B67&amp;"_"&amp;$D67,'App5 - CRUK Inci Rates'!C:H,3,FALSE)</f>
        <v>10.302553130251624</v>
      </c>
      <c r="G67" s="712">
        <f>VLOOKUP($B67&amp;"_"&amp;$D67,'App5 - CRUK Inci Rates'!C:J,8,FALSE)</f>
        <v>8839716.6666666679</v>
      </c>
      <c r="H67" s="713">
        <f>VLOOKUP($B67&amp;"_"&amp;$D67,'App5 - CRUK Inci Rates'!C:J,7,FALSE)</f>
        <v>4355391.333333333</v>
      </c>
      <c r="I67" s="713">
        <f>VLOOKUP($B67&amp;"_"&amp;$D67,'App5 - CRUK Inci Rates'!C:J,4,FALSE)</f>
        <v>4484325.333333334</v>
      </c>
      <c r="J67" s="709">
        <f>VLOOKUP($B67&amp;"_"&amp;$D67,'App5 - CRUK Inci Rates'!C:K,9,FALSE)</f>
        <v>1075</v>
      </c>
      <c r="K67" s="706">
        <f t="shared" si="8"/>
        <v>4419858.333333334</v>
      </c>
      <c r="L67" s="706">
        <f>VLOOKUP("*"&amp;$B67&amp;"*",'S4 - Summ PRS Characteristics'!$C$21:$Q$28,11,FALSE)*$J67</f>
        <v>841.80047107943562</v>
      </c>
      <c r="M67" s="706">
        <f t="shared" si="9"/>
        <v>233.19952892056438</v>
      </c>
      <c r="N67" s="706">
        <f>IF($C67="other",(1-$C$7)*L67,(1-(VLOOKUP($C67,'S3 - Screening Tool Metrics'!$C$3:$G$17,5,FALSE)/100))*L67)</f>
        <v>271.05975168757834</v>
      </c>
      <c r="O67" s="706">
        <f>IF($C67="other",$C$7*L67,(VLOOKUP($C67,'S3 - Screening Tool Metrics'!$C$3:$G$17,5,FALSE)/100)*L67)</f>
        <v>570.74071939185728</v>
      </c>
      <c r="P67" s="706">
        <f t="shared" si="10"/>
        <v>53.092159943428584</v>
      </c>
      <c r="Q67" s="707">
        <f t="shared" si="49"/>
        <v>1767943.3333333337</v>
      </c>
      <c r="R67" s="706">
        <f>VLOOKUP("*"&amp;$B67&amp;"*",'S4 - Summ PRS Characteristics'!$C$21:$Q$28,12,FALSE)*$J67</f>
        <v>512.20445530605207</v>
      </c>
      <c r="S67" s="706">
        <f t="shared" si="57"/>
        <v>562.79554469394793</v>
      </c>
      <c r="T67" s="706">
        <f>IF($C67="other",(1-$C56)*R67,(1-(VLOOKUP($C67,'S3 - Screening Tool Metrics'!$C$3:$G$17,5,FALSE)/100))*R67)</f>
        <v>164.92983460854879</v>
      </c>
      <c r="U67" s="706">
        <f>IF($C67="other",$C56*R67,(VLOOKUP($C67,'S3 - Screening Tool Metrics'!$C$3:$G$17,5,FALSE)/100)*R67)</f>
        <v>347.27462069750328</v>
      </c>
      <c r="V67" s="708">
        <f t="shared" si="50"/>
        <v>32.304615878837517</v>
      </c>
      <c r="W67" s="707">
        <f t="shared" si="51"/>
        <v>883971.66666666686</v>
      </c>
      <c r="X67" s="706">
        <f>VLOOKUP("*"&amp;$B67&amp;"*",'S4 - Summ PRS Characteristics'!$C$21:$Q$28,13,FALSE)*$J67</f>
        <v>332.07634047833216</v>
      </c>
      <c r="Y67" s="706">
        <f t="shared" si="58"/>
        <v>742.92365952166779</v>
      </c>
      <c r="Z67" s="706">
        <f>IF($C67="other",(1-$C56)*X67,(1-(VLOOKUP($C67,'S3 - Screening Tool Metrics'!$C$3:$G$17,5,FALSE)/100))*X67)</f>
        <v>106.92858163402298</v>
      </c>
      <c r="AA67" s="706">
        <f>IF($C67="other",$C56*X67,(VLOOKUP($C67,'S3 - Screening Tool Metrics'!$C$3:$G$17,5,FALSE)/100)*X67)</f>
        <v>225.14775884430918</v>
      </c>
      <c r="AB67" s="708">
        <f t="shared" si="52"/>
        <v>20.94397756691248</v>
      </c>
      <c r="AC67" s="707">
        <f t="shared" si="53"/>
        <v>441985.83333333343</v>
      </c>
      <c r="AD67" s="706">
        <f>VLOOKUP("*"&amp;$B67&amp;"*",'S4 - Summ PRS Characteristics'!$C$21:$Q$28,14,FALSE)*$J67</f>
        <v>208.84576608762222</v>
      </c>
      <c r="AE67" s="706">
        <f t="shared" si="60"/>
        <v>866.15423391237778</v>
      </c>
      <c r="AF67" s="706">
        <f>IF($C67="other",(1-$C56)*AD67,(1-(VLOOKUP($C67,'S3 - Screening Tool Metrics'!$C$3:$G$17,5,FALSE)/100))*AD67)</f>
        <v>67.248336680214365</v>
      </c>
      <c r="AG67" s="706">
        <f>IF($C67="other",$C56*AD67,(VLOOKUP($C67,'S3 - Screening Tool Metrics'!$C$3:$G$17,5,FALSE)/100)*AD67)</f>
        <v>141.59742940740784</v>
      </c>
      <c r="AH67" s="708">
        <f t="shared" si="54"/>
        <v>13.171853898363519</v>
      </c>
      <c r="AI67" s="707">
        <f t="shared" si="55"/>
        <v>88397.166666666686</v>
      </c>
      <c r="AJ67" s="706">
        <f>VLOOKUP("*"&amp;$B67&amp;"*",'S4 - Summ PRS Characteristics'!$C$21:$Q$28,15,FALSE)*$J67</f>
        <v>65.924609111298281</v>
      </c>
      <c r="AK67" s="706">
        <f t="shared" si="59"/>
        <v>1009.0753908887017</v>
      </c>
      <c r="AL67" s="706">
        <f>IF($C67="other",(1-$C56)*AJ67,(1-(VLOOKUP($C67,'S3 - Screening Tool Metrics'!$C$3:$G$17,5,FALSE)/100))*AJ67)</f>
        <v>21.227724133838052</v>
      </c>
      <c r="AM67" s="706">
        <f>IF($C67="other",$C56*AJ67,(VLOOKUP($C67,'S3 - Screening Tool Metrics'!$C$3:$G$17,5,FALSE)/100)*AJ67)</f>
        <v>44.696884977460229</v>
      </c>
      <c r="AN67" s="709">
        <f t="shared" si="56"/>
        <v>4.1578497653451372</v>
      </c>
    </row>
    <row r="68" spans="2:40" x14ac:dyDescent="0.15">
      <c r="B68" s="700" t="s">
        <v>12</v>
      </c>
      <c r="C68" s="721" t="str">
        <f>$C57</f>
        <v>CA19-9_20U/mL cutoff</v>
      </c>
      <c r="D68" s="552" t="s">
        <v>203</v>
      </c>
      <c r="E68" s="710">
        <f>VLOOKUP($B68&amp;"_"&amp;$D68,'App5 - CRUK Inci Rates'!C:H,6,FALSE)</f>
        <v>24.676314720532528</v>
      </c>
      <c r="F68" s="711">
        <f>VLOOKUP($B68&amp;"_"&amp;$D68,'App5 - CRUK Inci Rates'!C:H,3,FALSE)</f>
        <v>18.322344301910888</v>
      </c>
      <c r="G68" s="712">
        <f>VLOOKUP($B68&amp;"_"&amp;$D68,'App5 - CRUK Inci Rates'!C:J,8,FALSE)</f>
        <v>15943902</v>
      </c>
      <c r="H68" s="713">
        <f>VLOOKUP($B68&amp;"_"&amp;$D68,'App5 - CRUK Inci Rates'!C:J,7,FALSE)</f>
        <v>7817212.666666666</v>
      </c>
      <c r="I68" s="713">
        <f>VLOOKUP($B68&amp;"_"&amp;$D68,'App5 - CRUK Inci Rates'!C:J,4,FALSE)</f>
        <v>8126689.333333334</v>
      </c>
      <c r="J68" s="709">
        <f>VLOOKUP($B68&amp;"_"&amp;$D68,'App5 - CRUK Inci Rates'!C:K,9,FALSE)</f>
        <v>3418</v>
      </c>
      <c r="K68" s="706">
        <f t="shared" si="8"/>
        <v>7971951</v>
      </c>
      <c r="L68" s="706">
        <f>VLOOKUP("*"&amp;$B68&amp;"*",'S4 - Summ PRS Characteristics'!$C$21:$Q$28,11,FALSE)*$J68</f>
        <v>2676.5339629297778</v>
      </c>
      <c r="M68" s="706">
        <f t="shared" si="9"/>
        <v>741.46603707022223</v>
      </c>
      <c r="N68" s="706">
        <f>IF($C68="other",(1-$C$7)*L68,(1-(VLOOKUP($C68,'S3 - Screening Tool Metrics'!$C$3:$G$17,5,FALSE)/100))*L68)</f>
        <v>861.84393606338858</v>
      </c>
      <c r="O68" s="706">
        <f>IF($C68="other",$C$7*L68,(VLOOKUP($C68,'S3 - Screening Tool Metrics'!$C$3:$G$17,5,FALSE)/100)*L68)</f>
        <v>1814.6900268663892</v>
      </c>
      <c r="P68" s="706">
        <f t="shared" si="10"/>
        <v>53.092159943428584</v>
      </c>
      <c r="Q68" s="707">
        <f t="shared" si="49"/>
        <v>3188780.4000000004</v>
      </c>
      <c r="R68" s="706">
        <f>VLOOKUP("*"&amp;$B68&amp;"*",'S4 - Summ PRS Characteristics'!$C$21:$Q$28,12,FALSE)*$J68</f>
        <v>1628.5719332428707</v>
      </c>
      <c r="S68" s="706">
        <f t="shared" si="57"/>
        <v>1789.4280667571293</v>
      </c>
      <c r="T68" s="706">
        <f>IF($C68="other",(1-$C56)*R68,(1-(VLOOKUP($C68,'S3 - Screening Tool Metrics'!$C$3:$G$17,5,FALSE)/100))*R68)</f>
        <v>524.40016250420445</v>
      </c>
      <c r="U68" s="706">
        <f>IF($C68="other",$C56*R68,(VLOOKUP($C68,'S3 - Screening Tool Metrics'!$C$3:$G$17,5,FALSE)/100)*R68)</f>
        <v>1104.1717707386663</v>
      </c>
      <c r="V68" s="708">
        <f t="shared" si="50"/>
        <v>32.304615878837517</v>
      </c>
      <c r="W68" s="707">
        <f t="shared" si="51"/>
        <v>1594390.2000000002</v>
      </c>
      <c r="X68" s="706">
        <f>VLOOKUP("*"&amp;$B68&amp;"*",'S4 - Summ PRS Characteristics'!$C$21:$Q$28,13,FALSE)*$J68</f>
        <v>1055.8483086092458</v>
      </c>
      <c r="Y68" s="706">
        <f t="shared" si="58"/>
        <v>2362.1516913907544</v>
      </c>
      <c r="Z68" s="706">
        <f>IF($C68="other",(1-$C56)*X68,(1-(VLOOKUP($C68,'S3 - Screening Tool Metrics'!$C$3:$G$17,5,FALSE)/100))*X68)</f>
        <v>339.98315537217724</v>
      </c>
      <c r="AA68" s="706">
        <f>IF($C68="other",$C56*X68,(VLOOKUP($C68,'S3 - Screening Tool Metrics'!$C$3:$G$17,5,FALSE)/100)*X68)</f>
        <v>715.86515323706863</v>
      </c>
      <c r="AB68" s="708">
        <f t="shared" si="52"/>
        <v>20.94397756691248</v>
      </c>
      <c r="AC68" s="707">
        <f t="shared" si="53"/>
        <v>797195.10000000009</v>
      </c>
      <c r="AD68" s="706">
        <f>VLOOKUP("*"&amp;$B68&amp;"*",'S4 - Summ PRS Characteristics'!$C$21:$Q$28,14,FALSE)*$J68</f>
        <v>664.03239859301652</v>
      </c>
      <c r="AE68" s="706">
        <f t="shared" si="60"/>
        <v>2753.9676014069837</v>
      </c>
      <c r="AF68" s="706">
        <f>IF($C68="other",(1-$C56)*AD68,(1-(VLOOKUP($C68,'S3 - Screening Tool Metrics'!$C$3:$G$17,5,FALSE)/100))*AD68)</f>
        <v>213.81843234695137</v>
      </c>
      <c r="AG68" s="706">
        <f>IF($C68="other",$C56*AD68,(VLOOKUP($C68,'S3 - Screening Tool Metrics'!$C$3:$G$17,5,FALSE)/100)*AD68)</f>
        <v>450.21396624606518</v>
      </c>
      <c r="AH68" s="708">
        <f t="shared" si="54"/>
        <v>13.171853898363523</v>
      </c>
      <c r="AI68" s="707">
        <f t="shared" si="55"/>
        <v>159439.01999999999</v>
      </c>
      <c r="AJ68" s="706">
        <f>VLOOKUP("*"&amp;$B68&amp;"*",'S4 - Summ PRS Characteristics'!$C$21:$Q$28,15,FALSE)*$J68</f>
        <v>209.60959436503956</v>
      </c>
      <c r="AK68" s="706">
        <f t="shared" si="59"/>
        <v>3208.3904056349606</v>
      </c>
      <c r="AL68" s="706">
        <f>IF($C68="other",(1-$C56)*AJ68,(1-(VLOOKUP($C68,'S3 - Screening Tool Metrics'!$C$3:$G$17,5,FALSE)/100))*AJ68)</f>
        <v>67.494289385542757</v>
      </c>
      <c r="AM68" s="706">
        <f>IF($C68="other",$C56*AJ68,(VLOOKUP($C68,'S3 - Screening Tool Metrics'!$C$3:$G$17,5,FALSE)/100)*AJ68)</f>
        <v>142.11530497949681</v>
      </c>
      <c r="AN68" s="709">
        <f t="shared" si="56"/>
        <v>4.1578497653451372</v>
      </c>
    </row>
    <row r="69" spans="2:40" x14ac:dyDescent="0.15">
      <c r="B69" s="700" t="s">
        <v>12</v>
      </c>
      <c r="C69" s="721" t="str">
        <f>$C58</f>
        <v>CA19-9_20U/mL cutoff</v>
      </c>
      <c r="D69" s="552" t="s">
        <v>292</v>
      </c>
      <c r="E69" s="710">
        <f>VLOOKUP($B69&amp;"_"&amp;$D69,'App5 - CRUK Inci Rates'!C:H,6,FALSE)</f>
        <v>46.472602362279531</v>
      </c>
      <c r="F69" s="711">
        <f>VLOOKUP($B69&amp;"_"&amp;$D69,'App5 - CRUK Inci Rates'!C:H,3,FALSE)</f>
        <v>34.483589033138493</v>
      </c>
      <c r="G69" s="712">
        <f>VLOOKUP($B69&amp;"_"&amp;$D69,'App5 - CRUK Inci Rates'!C:J,8,FALSE)</f>
        <v>8881256.9603638444</v>
      </c>
      <c r="H69" s="713">
        <f>VLOOKUP($B69&amp;"_"&amp;$D69,'App5 - CRUK Inci Rates'!C:J,7,FALSE)</f>
        <v>4929786.333333333</v>
      </c>
      <c r="I69" s="713">
        <f>VLOOKUP($B69&amp;"_"&amp;$D69,'App5 - CRUK Inci Rates'!C:J,4,FALSE)</f>
        <v>5245973.666666667</v>
      </c>
      <c r="J69" s="709">
        <f>VLOOKUP($B69&amp;"_"&amp;$D69,'App5 - CRUK Inci Rates'!C:K,9,FALSE)</f>
        <v>4100</v>
      </c>
      <c r="K69" s="706">
        <f t="shared" si="8"/>
        <v>4440628.4801819222</v>
      </c>
      <c r="L69" s="706">
        <f>VLOOKUP("*"&amp;$B69&amp;"*",'S4 - Summ PRS Characteristics'!$C$21:$Q$28,11,FALSE)*$J69</f>
        <v>3210.5878431866845</v>
      </c>
      <c r="M69" s="706">
        <f t="shared" si="9"/>
        <v>889.41215681331551</v>
      </c>
      <c r="N69" s="706">
        <f>IF($C69="other",(1-$C$7)*L69,(1-(VLOOKUP($C69,'S3 - Screening Tool Metrics'!$C$3:$G$17,5,FALSE)/100))*L69)</f>
        <v>1033.8092855061127</v>
      </c>
      <c r="O69" s="706">
        <f>IF($C69="other",$C$7*L69,(VLOOKUP($C69,'S3 - Screening Tool Metrics'!$C$3:$G$17,5,FALSE)/100)*L69)</f>
        <v>2176.7785576805718</v>
      </c>
      <c r="P69" s="706">
        <f t="shared" si="10"/>
        <v>53.092159943428584</v>
      </c>
      <c r="Q69" s="707">
        <f>$G69*Q$3</f>
        <v>1776251.3920727689</v>
      </c>
      <c r="R69" s="706">
        <f>VLOOKUP("*"&amp;$B69&amp;"*",'S4 - Summ PRS Characteristics'!$C$21:$Q$28,12,FALSE)*$J69</f>
        <v>1953.5239690742451</v>
      </c>
      <c r="S69" s="706">
        <f t="shared" si="57"/>
        <v>2146.4760309257549</v>
      </c>
      <c r="T69" s="706">
        <f>IF($C69="other",(1-$C56)*R69,(1-(VLOOKUP($C69,'S3 - Screening Tool Metrics'!$C$3:$G$17,5,FALSE)/100))*R69)</f>
        <v>629.03471804190701</v>
      </c>
      <c r="U69" s="706">
        <f>IF($C69="other",$C56*R69,(VLOOKUP($C69,'S3 - Screening Tool Metrics'!$C$3:$G$17,5,FALSE)/100)*R69)</f>
        <v>1324.489251032338</v>
      </c>
      <c r="V69" s="708">
        <f t="shared" si="50"/>
        <v>32.30461587883751</v>
      </c>
      <c r="W69" s="707">
        <f t="shared" si="51"/>
        <v>888125.69603638444</v>
      </c>
      <c r="X69" s="706">
        <f>VLOOKUP("*"&amp;$B69&amp;"*",'S4 - Summ PRS Characteristics'!$C$21:$Q$28,13,FALSE)*$J69</f>
        <v>1266.5237171731737</v>
      </c>
      <c r="Y69" s="706">
        <f t="shared" si="58"/>
        <v>2833.4762828268263</v>
      </c>
      <c r="Z69" s="706">
        <f>IF($C69="other",(1-$C56)*X69,(1-(VLOOKUP($C69,'S3 - Screening Tool Metrics'!$C$3:$G$17,5,FALSE)/100))*X69)</f>
        <v>407.82063692976203</v>
      </c>
      <c r="AA69" s="706">
        <f>IF($C69="other",$C56*X69,(VLOOKUP($C69,'S3 - Screening Tool Metrics'!$C$3:$G$17,5,FALSE)/100)*X69)</f>
        <v>858.7030802434117</v>
      </c>
      <c r="AB69" s="708">
        <f t="shared" si="52"/>
        <v>20.94397756691248</v>
      </c>
      <c r="AC69" s="707">
        <f t="shared" si="53"/>
        <v>444062.84801819222</v>
      </c>
      <c r="AD69" s="706">
        <f>VLOOKUP("*"&amp;$B69&amp;"*",'S4 - Summ PRS Characteristics'!$C$21:$Q$28,14,FALSE)*$J69</f>
        <v>796.52803810162891</v>
      </c>
      <c r="AE69" s="706">
        <f t="shared" si="60"/>
        <v>3303.4719618983709</v>
      </c>
      <c r="AF69" s="706">
        <f>IF($C69="other",(1-$C56)*AD69,(1-(VLOOKUP($C69,'S3 - Screening Tool Metrics'!$C$3:$G$17,5,FALSE)/100))*AD69)</f>
        <v>256.48202826872455</v>
      </c>
      <c r="AG69" s="706">
        <f>IF($C69="other",$C56*AD69,(VLOOKUP($C69,'S3 - Screening Tool Metrics'!$C$3:$G$17,5,FALSE)/100)*AD69)</f>
        <v>540.04600983290436</v>
      </c>
      <c r="AH69" s="708">
        <f t="shared" si="54"/>
        <v>13.171853898363519</v>
      </c>
      <c r="AI69" s="707">
        <f t="shared" si="55"/>
        <v>88812.569603638447</v>
      </c>
      <c r="AJ69" s="706">
        <f>VLOOKUP("*"&amp;$B69&amp;"*",'S4 - Summ PRS Characteristics'!$C$21:$Q$28,15,FALSE)*$J69</f>
        <v>251.43339288960271</v>
      </c>
      <c r="AK69" s="706">
        <f t="shared" si="59"/>
        <v>3848.5666071103974</v>
      </c>
      <c r="AL69" s="706">
        <f>IF($C69="other",(1-$C56)*AJ69,(1-(VLOOKUP($C69,'S3 - Screening Tool Metrics'!$C$3:$G$17,5,FALSE)/100))*AJ69)</f>
        <v>80.961552510452094</v>
      </c>
      <c r="AM69" s="706">
        <f>IF($C69="other",$C56*AJ69,(VLOOKUP($C69,'S3 - Screening Tool Metrics'!$C$3:$G$17,5,FALSE)/100)*AJ69)</f>
        <v>170.47184037915062</v>
      </c>
      <c r="AN69" s="709">
        <f t="shared" si="56"/>
        <v>4.1578497653451372</v>
      </c>
    </row>
    <row r="70" spans="2:40" x14ac:dyDescent="0.15">
      <c r="B70" s="700" t="s">
        <v>12</v>
      </c>
      <c r="C70" s="721" t="str">
        <f>$C57</f>
        <v>CA19-9_20U/mL cutoff</v>
      </c>
      <c r="D70" s="552" t="s">
        <v>204</v>
      </c>
      <c r="E70" s="710">
        <f>VLOOKUP($B70&amp;"_"&amp;$D70,'App5 - CRUK Inci Rates'!C:H,6,FALSE)</f>
        <v>27.10494536410576</v>
      </c>
      <c r="F70" s="711">
        <f>VLOOKUP($B70&amp;"_"&amp;$D70,'App5 - CRUK Inci Rates'!C:H,3,FALSE)</f>
        <v>21.188815577273839</v>
      </c>
      <c r="G70" s="712">
        <f>VLOOKUP($B70&amp;"_"&amp;$D70,'App5 - CRUK Inci Rates'!C:J,8,FALSE)</f>
        <v>29847254.666666668</v>
      </c>
      <c r="H70" s="713">
        <f>VLOOKUP($B70&amp;"_"&amp;$D70,'App5 - CRUK Inci Rates'!C:J,7,FALSE)</f>
        <v>14565607.666666668</v>
      </c>
      <c r="I70" s="713">
        <f>VLOOKUP($B70&amp;"_"&amp;$D70,'App5 - CRUK Inci Rates'!C:J,4,FALSE)</f>
        <v>15281647</v>
      </c>
      <c r="J70" s="709">
        <f>VLOOKUP($B70&amp;"_"&amp;$D70,'App5 - CRUK Inci Rates'!C:K,9,FALSE)</f>
        <v>7186</v>
      </c>
      <c r="K70" s="706">
        <f t="shared" si="8"/>
        <v>14923627.333333334</v>
      </c>
      <c r="L70" s="706">
        <f>VLOOKUP("*"&amp;$B70&amp;"*",'S4 - Summ PRS Characteristics'!$C$21:$Q$28,11,FALSE)*$J70</f>
        <v>5627.1424978389068</v>
      </c>
      <c r="M70" s="706">
        <f t="shared" si="9"/>
        <v>1558.8575021610932</v>
      </c>
      <c r="N70" s="706">
        <f>IF($C70="other",(1-$C$7)*L70,(1-(VLOOKUP($C70,'S3 - Screening Tool Metrics'!$C$3:$G$17,5,FALSE)/100))*L70)</f>
        <v>1811.9398843041283</v>
      </c>
      <c r="O70" s="706">
        <f>IF($C70="other",$C$7*L70,(VLOOKUP($C70,'S3 - Screening Tool Metrics'!$C$3:$G$17,5,FALSE)/100)*L70)</f>
        <v>3815.2026135347783</v>
      </c>
      <c r="P70" s="706">
        <f t="shared" si="10"/>
        <v>53.092159943428584</v>
      </c>
      <c r="Q70" s="707">
        <f t="shared" si="49"/>
        <v>5969450.9333333336</v>
      </c>
      <c r="R70" s="706">
        <f>VLOOKUP("*"&amp;$B70&amp;"*",'S4 - Summ PRS Characteristics'!$C$21:$Q$28,12,FALSE)*$J70</f>
        <v>3423.9081077481769</v>
      </c>
      <c r="S70" s="706">
        <f t="shared" si="57"/>
        <v>3762.0918922518231</v>
      </c>
      <c r="T70" s="706">
        <f>IF($C70="other",(1-$C56)*R70,(1-(VLOOKUP($C70,'S3 - Screening Tool Metrics'!$C$3:$G$17,5,FALSE)/100))*R70)</f>
        <v>1102.4984106949132</v>
      </c>
      <c r="U70" s="706">
        <f>IF($C70="other",$C56*R70,(VLOOKUP($C70,'S3 - Screening Tool Metrics'!$C$3:$G$17,5,FALSE)/100)*R70)</f>
        <v>2321.4096970532637</v>
      </c>
      <c r="V70" s="708">
        <f t="shared" si="50"/>
        <v>32.30461587883751</v>
      </c>
      <c r="W70" s="707">
        <f t="shared" si="51"/>
        <v>2984725.4666666668</v>
      </c>
      <c r="X70" s="706">
        <f>VLOOKUP("*"&amp;$B70&amp;"*",'S4 - Summ PRS Characteristics'!$C$21:$Q$28,13,FALSE)*$J70</f>
        <v>2219.8144955137627</v>
      </c>
      <c r="Y70" s="706">
        <f t="shared" si="58"/>
        <v>4966.1855044862368</v>
      </c>
      <c r="Z70" s="706">
        <f>IF($C70="other",(1-$C56)*X70,(1-(VLOOKUP($C70,'S3 - Screening Tool Metrics'!$C$3:$G$17,5,FALSE)/100))*X70)</f>
        <v>714.78026755543169</v>
      </c>
      <c r="AA70" s="706">
        <f>IF($C70="other",$C56*X70,(VLOOKUP($C70,'S3 - Screening Tool Metrics'!$C$3:$G$17,5,FALSE)/100)*X70)</f>
        <v>1505.034227958331</v>
      </c>
      <c r="AB70" s="708">
        <f t="shared" si="52"/>
        <v>20.943977566912483</v>
      </c>
      <c r="AC70" s="707">
        <f t="shared" si="53"/>
        <v>1492362.7333333334</v>
      </c>
      <c r="AD70" s="706">
        <f>VLOOKUP("*"&amp;$B70&amp;"*",'S4 - Summ PRS Characteristics'!$C$21:$Q$28,14,FALSE)*$J70</f>
        <v>1396.0610931215379</v>
      </c>
      <c r="AE70" s="706">
        <f t="shared" si="60"/>
        <v>5789.9389068784621</v>
      </c>
      <c r="AF70" s="706">
        <f>IF($C70="other",(1-$C56)*AD70,(1-(VLOOKUP($C70,'S3 - Screening Tool Metrics'!$C$3:$G$17,5,FALSE)/100))*AD70)</f>
        <v>449.53167198513529</v>
      </c>
      <c r="AG70" s="706">
        <f>IF($C70="other",$C56*AD70,(VLOOKUP($C70,'S3 - Screening Tool Metrics'!$C$3:$G$17,5,FALSE)/100)*AD70)</f>
        <v>946.52942113640256</v>
      </c>
      <c r="AH70" s="708">
        <f t="shared" si="54"/>
        <v>13.171853898363519</v>
      </c>
      <c r="AI70" s="707">
        <f t="shared" si="55"/>
        <v>298472.54666666669</v>
      </c>
      <c r="AJ70" s="706">
        <f>VLOOKUP("*"&amp;$B70&amp;"*",'S4 - Summ PRS Characteristics'!$C$21:$Q$28,15,FALSE)*$J70</f>
        <v>440.68301495236227</v>
      </c>
      <c r="AK70" s="706">
        <f t="shared" si="59"/>
        <v>6745.3169850476379</v>
      </c>
      <c r="AL70" s="706">
        <f>IF($C70="other",(1-$C56)*AJ70,(1-(VLOOKUP($C70,'S3 - Screening Tool Metrics'!$C$3:$G$17,5,FALSE)/100))*AJ70)</f>
        <v>141.89993081466068</v>
      </c>
      <c r="AM70" s="706">
        <f>IF($C70="other",$C56*AJ70,(VLOOKUP($C70,'S3 - Screening Tool Metrics'!$C$3:$G$17,5,FALSE)/100)*AJ70)</f>
        <v>298.78308413770156</v>
      </c>
      <c r="AN70" s="709">
        <f t="shared" si="56"/>
        <v>4.1578497653451372</v>
      </c>
    </row>
    <row r="71" spans="2:40" ht="14" thickBot="1" x14ac:dyDescent="0.2">
      <c r="B71" s="700" t="s">
        <v>12</v>
      </c>
      <c r="C71" s="721" t="str">
        <f>$C58</f>
        <v>CA19-9_20U/mL cutoff</v>
      </c>
      <c r="D71" s="552" t="s">
        <v>205</v>
      </c>
      <c r="E71" s="710">
        <f>VLOOKUP($B71&amp;"_"&amp;$D71,'App5 - CRUK Inci Rates'!C:H,6,FALSE)</f>
        <v>19.3</v>
      </c>
      <c r="F71" s="711">
        <f>VLOOKUP($B71&amp;"_"&amp;$D71,'App5 - CRUK Inci Rates'!C:H,3,FALSE)</f>
        <v>15</v>
      </c>
      <c r="G71" s="712">
        <f>VLOOKUP($B71&amp;"_"&amp;$D71,'App5 - CRUK Inci Rates'!C:J,8,FALSE)</f>
        <v>66041277.666666664</v>
      </c>
      <c r="H71" s="713">
        <f>VLOOKUP($B71&amp;"_"&amp;$D71,'App5 - CRUK Inci Rates'!C:J,7,FALSE)</f>
        <v>32583225.666666668</v>
      </c>
      <c r="I71" s="713">
        <f>VLOOKUP($B71&amp;"_"&amp;$D71,'App5 - CRUK Inci Rates'!C:J,4,FALSE)</f>
        <v>33458051.999999996</v>
      </c>
      <c r="J71" s="709">
        <f>VLOOKUP($B71&amp;"_"&amp;$D71,'App5 - CRUK Inci Rates'!C:K,9,FALSE)</f>
        <v>10452</v>
      </c>
      <c r="K71" s="716"/>
      <c r="L71" s="716"/>
      <c r="M71" s="716"/>
      <c r="N71" s="716"/>
      <c r="O71" s="716"/>
      <c r="P71" s="716"/>
      <c r="Q71" s="715"/>
      <c r="R71" s="716"/>
      <c r="S71" s="716"/>
      <c r="T71" s="716"/>
      <c r="U71" s="716"/>
      <c r="V71" s="717"/>
      <c r="W71" s="715"/>
      <c r="X71" s="716"/>
      <c r="Y71" s="716"/>
      <c r="Z71" s="716"/>
      <c r="AA71" s="716"/>
      <c r="AB71" s="717"/>
      <c r="AC71" s="716"/>
      <c r="AD71" s="716"/>
      <c r="AE71" s="716"/>
      <c r="AF71" s="716"/>
      <c r="AG71" s="716"/>
      <c r="AH71" s="717"/>
      <c r="AI71" s="734"/>
      <c r="AJ71" s="735"/>
      <c r="AK71" s="735"/>
      <c r="AL71" s="735"/>
      <c r="AM71" s="735"/>
      <c r="AN71" s="736"/>
    </row>
    <row r="72" spans="2:40" ht="21" customHeight="1" thickBot="1" x14ac:dyDescent="0.2">
      <c r="B72" s="686" t="s">
        <v>13</v>
      </c>
      <c r="C72" s="687"/>
      <c r="D72" s="688"/>
      <c r="E72" s="689"/>
      <c r="F72" s="690"/>
      <c r="G72" s="691"/>
      <c r="H72" s="692"/>
      <c r="I72" s="692"/>
      <c r="J72" s="693"/>
      <c r="K72" s="694"/>
      <c r="L72" s="694"/>
      <c r="M72" s="694"/>
      <c r="N72" s="694"/>
      <c r="O72" s="694"/>
      <c r="P72" s="694"/>
      <c r="Q72" s="695"/>
      <c r="R72" s="696"/>
      <c r="S72" s="696"/>
      <c r="T72" s="696"/>
      <c r="U72" s="696"/>
      <c r="V72" s="697"/>
      <c r="W72" s="695"/>
      <c r="X72" s="696"/>
      <c r="Y72" s="696"/>
      <c r="Z72" s="696"/>
      <c r="AA72" s="696"/>
      <c r="AB72" s="697"/>
      <c r="AC72" s="695"/>
      <c r="AD72" s="696"/>
      <c r="AE72" s="696"/>
      <c r="AF72" s="696"/>
      <c r="AG72" s="696"/>
      <c r="AH72" s="697"/>
      <c r="AI72" s="695"/>
      <c r="AJ72" s="696"/>
      <c r="AK72" s="696"/>
      <c r="AL72" s="696"/>
      <c r="AM72" s="696"/>
      <c r="AN72" s="699"/>
    </row>
    <row r="73" spans="2:40" x14ac:dyDescent="0.15">
      <c r="B73" s="700" t="s">
        <v>13</v>
      </c>
      <c r="C73" s="720" t="s">
        <v>163</v>
      </c>
      <c r="D73" s="593" t="s">
        <v>192</v>
      </c>
      <c r="E73" s="701">
        <f>VLOOKUP($B73&amp;"_"&amp;$D73,'App5 - CRUK Inci Rates'!C:H,6,FALSE)</f>
        <v>0</v>
      </c>
      <c r="F73" s="702">
        <f>VLOOKUP($B73&amp;"_"&amp;$D73,'App5 - CRUK Inci Rates'!C:H,3,FALSE)</f>
        <v>13.2</v>
      </c>
      <c r="G73" s="703">
        <f>VLOOKUP($B73&amp;"_"&amp;$D73,'App5 - CRUK Inci Rates'!C:J,8,FALSE)</f>
        <v>2054223.3333333333</v>
      </c>
      <c r="H73" s="704">
        <f>VLOOKUP($B73&amp;"_"&amp;$D73,'App5 - CRUK Inci Rates'!C:J,7,FALSE)</f>
        <v>0</v>
      </c>
      <c r="I73" s="704">
        <f>VLOOKUP($B73&amp;"_"&amp;$D73,'App5 - CRUK Inci Rates'!C:J,4,FALSE)</f>
        <v>2054223.3333333333</v>
      </c>
      <c r="J73" s="705">
        <f>VLOOKUP($B73&amp;"_"&amp;$D73,'App5 - CRUK Inci Rates'!C:K,9,FALSE)</f>
        <v>270</v>
      </c>
      <c r="K73" s="706">
        <f t="shared" si="8"/>
        <v>1027111.6666666666</v>
      </c>
      <c r="L73" s="706">
        <f>VLOOKUP("*"&amp;$B73&amp;"*",'S4 - Summ PRS Characteristics'!$C$21:$Q$28,11,FALSE)*$J73</f>
        <v>187.3531590196358</v>
      </c>
      <c r="M73" s="706">
        <f t="shared" si="9"/>
        <v>82.646840980364203</v>
      </c>
      <c r="N73" s="706">
        <f>IF($C73="other",(1-$C$7)*L73,(1-(VLOOKUP($C73,'S3 - Screening Tool Metrics'!$C$3:$G$17,5,FALSE)/100))*L73)</f>
        <v>29.976505443141733</v>
      </c>
      <c r="O73" s="706">
        <f>IF($C73="other",$C$7*L73,(VLOOKUP($C73,'S3 - Screening Tool Metrics'!$C$3:$G$17,5,FALSE)/100)*L73)</f>
        <v>157.37665357649405</v>
      </c>
      <c r="P73" s="706">
        <f t="shared" si="10"/>
        <v>58.28764947277557</v>
      </c>
      <c r="Q73" s="707">
        <f t="shared" ref="Q73:Q86" si="61">$G73*Q$3</f>
        <v>410844.66666666669</v>
      </c>
      <c r="R73" s="706">
        <f>VLOOKUP("*"&amp;$B73&amp;"*",'S4 - Summ PRS Characteristics'!$C$21:$Q$28,12,FALSE)*$J73</f>
        <v>99.611574189629692</v>
      </c>
      <c r="S73" s="706">
        <f>$J73-R73</f>
        <v>170.38842581037031</v>
      </c>
      <c r="T73" s="706">
        <f>IF($C73="other",(1-$C72)*R73,(1-(VLOOKUP($C73,'S3 - Screening Tool Metrics'!$C$3:$G$17,5,FALSE)/100))*R73)</f>
        <v>15.937851870340754</v>
      </c>
      <c r="U73" s="706">
        <f>IF($C73="other",$C72*R73,(VLOOKUP($C73,'S3 - Screening Tool Metrics'!$C$3:$G$17,5,FALSE)/100)*R73)</f>
        <v>83.673722319288942</v>
      </c>
      <c r="V73" s="708">
        <f t="shared" ref="V73:V86" si="62">U73/J73*100</f>
        <v>30.990267525662574</v>
      </c>
      <c r="W73" s="707">
        <f t="shared" ref="W73:W86" si="63">$G73*W$3</f>
        <v>205422.33333333334</v>
      </c>
      <c r="X73" s="706">
        <f>VLOOKUP("*"&amp;$B73&amp;"*",'S4 - Summ PRS Characteristics'!$C$21:$Q$28,13,FALSE)*$J73</f>
        <v>59.206628361872994</v>
      </c>
      <c r="Y73" s="706">
        <f>$J73-X73</f>
        <v>210.79337163812701</v>
      </c>
      <c r="Z73" s="706">
        <f>IF($C73="other",(1-$C72)*X73,(1-(VLOOKUP($C73,'S3 - Screening Tool Metrics'!$C$3:$G$17,5,FALSE)/100))*X73)</f>
        <v>9.4730605378996806</v>
      </c>
      <c r="AA73" s="706">
        <f>IF($C73="other",$C72*X73,(VLOOKUP($C73,'S3 - Screening Tool Metrics'!$C$3:$G$17,5,FALSE)/100)*X73)</f>
        <v>49.73356782397331</v>
      </c>
      <c r="AB73" s="708">
        <f t="shared" ref="AB73:AB86" si="64">$AA73/$J73*100</f>
        <v>18.41983993480493</v>
      </c>
      <c r="AC73" s="707">
        <f t="shared" ref="AC73:AC86" si="65">$G73*AC$3</f>
        <v>102711.16666666667</v>
      </c>
      <c r="AD73" s="706">
        <f>VLOOKUP("*"&amp;$B73&amp;"*",'S4 - Summ PRS Characteristics'!$C$21:$Q$28,14,FALSE)*$J73</f>
        <v>34.445981369574113</v>
      </c>
      <c r="AE73" s="706">
        <f>$J73-AD73</f>
        <v>235.5540186304259</v>
      </c>
      <c r="AF73" s="706">
        <f>IF($C73="other",(1-$C72)*AD73,(1-(VLOOKUP($C73,'S3 - Screening Tool Metrics'!$C$3:$G$17,5,FALSE)/100))*AD73)</f>
        <v>5.511357019131859</v>
      </c>
      <c r="AG73" s="706">
        <f>IF($C73="other",$C72*AD73,(VLOOKUP($C73,'S3 - Screening Tool Metrics'!$C$3:$G$17,5,FALSE)/100)*AD73)</f>
        <v>28.934624350442252</v>
      </c>
      <c r="AH73" s="708">
        <f t="shared" ref="AH73:AH86" si="66">$AG73/$J73*100</f>
        <v>10.716527537200834</v>
      </c>
      <c r="AI73" s="707">
        <f t="shared" ref="AI73:AI86" si="67">$G73*AI$3</f>
        <v>20542.233333333334</v>
      </c>
      <c r="AJ73" s="706">
        <f>VLOOKUP("*"&amp;$B73&amp;"*",'S4 - Summ PRS Characteristics'!$C$21:$Q$28,15,FALSE)*$J73</f>
        <v>9.2945897155032426</v>
      </c>
      <c r="AK73" s="706">
        <f>$J73-AJ73</f>
        <v>260.70541028449674</v>
      </c>
      <c r="AL73" s="706">
        <f>IF($C73="other",(1-$C72)*AJ73,(1-(VLOOKUP($C73,'S3 - Screening Tool Metrics'!$C$3:$G$17,5,FALSE)/100))*AJ73)</f>
        <v>1.4871343544805191</v>
      </c>
      <c r="AM73" s="706">
        <f>IF($C73="other",$C72*AJ73,(VLOOKUP($C73,'S3 - Screening Tool Metrics'!$C$3:$G$17,5,FALSE)/100)*AJ73)</f>
        <v>7.8074553610227237</v>
      </c>
      <c r="AN73" s="709">
        <f t="shared" ref="AN73:AN86" si="68">$AM73/$J73*100</f>
        <v>2.8916501337121199</v>
      </c>
    </row>
    <row r="74" spans="2:40" x14ac:dyDescent="0.15">
      <c r="B74" s="700" t="s">
        <v>13</v>
      </c>
      <c r="C74" s="721" t="str">
        <f>$C73</f>
        <v>MMS (CA-125 + TVU)</v>
      </c>
      <c r="D74" s="552" t="s">
        <v>193</v>
      </c>
      <c r="E74" s="710">
        <f>VLOOKUP($B74&amp;"_"&amp;$D74,'App5 - CRUK Inci Rates'!C:H,6,FALSE)</f>
        <v>0</v>
      </c>
      <c r="F74" s="711">
        <f>VLOOKUP($B74&amp;"_"&amp;$D74,'App5 - CRUK Inci Rates'!C:H,3,FALSE)</f>
        <v>19.399999999999999</v>
      </c>
      <c r="G74" s="712">
        <f>VLOOKUP($B74&amp;"_"&amp;$D74,'App5 - CRUK Inci Rates'!C:J,8,FALSE)</f>
        <v>2315479.3333333335</v>
      </c>
      <c r="H74" s="713">
        <f>VLOOKUP($B74&amp;"_"&amp;$D74,'App5 - CRUK Inci Rates'!C:J,7,FALSE)</f>
        <v>0</v>
      </c>
      <c r="I74" s="713">
        <f>VLOOKUP($B74&amp;"_"&amp;$D74,'App5 - CRUK Inci Rates'!C:J,4,FALSE)</f>
        <v>2315479.3333333335</v>
      </c>
      <c r="J74" s="709">
        <f>VLOOKUP($B74&amp;"_"&amp;$D74,'App5 - CRUK Inci Rates'!C:K,9,FALSE)</f>
        <v>448</v>
      </c>
      <c r="K74" s="706">
        <f t="shared" ref="K74:K137" si="69">$G74*$K$3</f>
        <v>1157739.6666666667</v>
      </c>
      <c r="L74" s="706">
        <f>VLOOKUP("*"&amp;$B74&amp;"*",'S4 - Summ PRS Characteristics'!$C$21:$Q$28,11,FALSE)*$J74</f>
        <v>310.86746385480313</v>
      </c>
      <c r="M74" s="706">
        <f t="shared" ref="M74:M137" si="70">$J74-$L74</f>
        <v>137.13253614519687</v>
      </c>
      <c r="N74" s="706">
        <f>IF($C74="other",(1-$C$7)*L74,(1-(VLOOKUP($C74,'S3 - Screening Tool Metrics'!$C$3:$G$17,5,FALSE)/100))*L74)</f>
        <v>49.738794216768511</v>
      </c>
      <c r="O74" s="706">
        <f>IF($C74="other",$C$7*L74,(VLOOKUP($C74,'S3 - Screening Tool Metrics'!$C$3:$G$17,5,FALSE)/100)*L74)</f>
        <v>261.12866963803464</v>
      </c>
      <c r="P74" s="706">
        <f t="shared" ref="P74:P137" si="71">$O74/$J74*100</f>
        <v>58.287649472775591</v>
      </c>
      <c r="Q74" s="707">
        <f t="shared" si="61"/>
        <v>463095.8666666667</v>
      </c>
      <c r="R74" s="706">
        <f>VLOOKUP("*"&amp;$B74&amp;"*",'S4 - Summ PRS Characteristics'!$C$21:$Q$28,12,FALSE)*$J74</f>
        <v>165.28142680353372</v>
      </c>
      <c r="S74" s="706">
        <f t="shared" ref="S74:S86" si="72">$J74-R74</f>
        <v>282.71857319646631</v>
      </c>
      <c r="T74" s="706">
        <f>IF($C74="other",(1-$C72)*R74,(1-(VLOOKUP($C74,'S3 - Screening Tool Metrics'!$C$3:$G$17,5,FALSE)/100))*R74)</f>
        <v>26.4450282885654</v>
      </c>
      <c r="U74" s="706">
        <f>IF($C74="other",$C72*R74,(VLOOKUP($C74,'S3 - Screening Tool Metrics'!$C$3:$G$17,5,FALSE)/100)*R74)</f>
        <v>138.83639851496832</v>
      </c>
      <c r="V74" s="708">
        <f t="shared" si="62"/>
        <v>30.990267525662574</v>
      </c>
      <c r="W74" s="707">
        <f t="shared" si="63"/>
        <v>231547.93333333335</v>
      </c>
      <c r="X74" s="706">
        <f>VLOOKUP("*"&amp;$B74&amp;"*",'S4 - Summ PRS Characteristics'!$C$21:$Q$28,13,FALSE)*$J74</f>
        <v>98.239146318959627</v>
      </c>
      <c r="Y74" s="706">
        <f t="shared" ref="Y74:Y86" si="73">$J74-X74</f>
        <v>349.76085368104037</v>
      </c>
      <c r="Z74" s="706">
        <f>IF($C74="other",(1-$C72)*X74,(1-(VLOOKUP($C74,'S3 - Screening Tool Metrics'!$C$3:$G$17,5,FALSE)/100))*X74)</f>
        <v>15.718263411033544</v>
      </c>
      <c r="AA74" s="706">
        <f>IF($C74="other",$C72*X74,(VLOOKUP($C74,'S3 - Screening Tool Metrics'!$C$3:$G$17,5,FALSE)/100)*X74)</f>
        <v>82.520882907926079</v>
      </c>
      <c r="AB74" s="708">
        <f t="shared" si="64"/>
        <v>18.41983993480493</v>
      </c>
      <c r="AC74" s="707">
        <f t="shared" si="65"/>
        <v>115773.96666666667</v>
      </c>
      <c r="AD74" s="706">
        <f>VLOOKUP("*"&amp;$B74&amp;"*",'S4 - Summ PRS Characteristics'!$C$21:$Q$28,14,FALSE)*$J74</f>
        <v>57.154813531737787</v>
      </c>
      <c r="AE74" s="706">
        <f>$J74-AD74</f>
        <v>390.84518646826223</v>
      </c>
      <c r="AF74" s="706">
        <f>IF($C74="other",(1-$C72)*AD74,(1-(VLOOKUP($C74,'S3 - Screening Tool Metrics'!$C$3:$G$17,5,FALSE)/100))*AD74)</f>
        <v>9.1447701650780484</v>
      </c>
      <c r="AG74" s="706">
        <f>IF($C74="other",$C72*AD74,(VLOOKUP($C74,'S3 - Screening Tool Metrics'!$C$3:$G$17,5,FALSE)/100)*AD74)</f>
        <v>48.010043366659737</v>
      </c>
      <c r="AH74" s="708">
        <f t="shared" si="66"/>
        <v>10.716527537200834</v>
      </c>
      <c r="AI74" s="707">
        <f t="shared" si="67"/>
        <v>23154.793333333335</v>
      </c>
      <c r="AJ74" s="706">
        <f>VLOOKUP("*"&amp;$B74&amp;"*",'S4 - Summ PRS Characteristics'!$C$21:$Q$28,15,FALSE)*$J74</f>
        <v>15.42213404646464</v>
      </c>
      <c r="AK74" s="706">
        <f t="shared" ref="AK74:AK86" si="74">$J74-AJ74</f>
        <v>432.57786595353537</v>
      </c>
      <c r="AL74" s="706">
        <f>IF($C74="other",(1-$C72)*AJ74,(1-(VLOOKUP($C74,'S3 - Screening Tool Metrics'!$C$3:$G$17,5,FALSE)/100))*AJ74)</f>
        <v>2.4675414474343427</v>
      </c>
      <c r="AM74" s="706">
        <f>IF($C74="other",$C72*AJ74,(VLOOKUP($C74,'S3 - Screening Tool Metrics'!$C$3:$G$17,5,FALSE)/100)*AJ74)</f>
        <v>12.954592599030297</v>
      </c>
      <c r="AN74" s="709">
        <f t="shared" si="68"/>
        <v>2.8916501337121199</v>
      </c>
    </row>
    <row r="75" spans="2:40" x14ac:dyDescent="0.15">
      <c r="B75" s="700" t="s">
        <v>13</v>
      </c>
      <c r="C75" s="721" t="str">
        <f>$C73</f>
        <v>MMS (CA-125 + TVU)</v>
      </c>
      <c r="D75" s="552" t="s">
        <v>194</v>
      </c>
      <c r="E75" s="710">
        <f>VLOOKUP($B75&amp;"_"&amp;$D75,'App5 - CRUK Inci Rates'!C:H,6,FALSE)</f>
        <v>0</v>
      </c>
      <c r="F75" s="711">
        <f>VLOOKUP($B75&amp;"_"&amp;$D75,'App5 - CRUK Inci Rates'!C:H,3,FALSE)</f>
        <v>27.1</v>
      </c>
      <c r="G75" s="712">
        <f>VLOOKUP($B75&amp;"_"&amp;$D75,'App5 - CRUK Inci Rates'!C:J,8,FALSE)</f>
        <v>2364638</v>
      </c>
      <c r="H75" s="713">
        <f>VLOOKUP($B75&amp;"_"&amp;$D75,'App5 - CRUK Inci Rates'!C:J,7,FALSE)</f>
        <v>0</v>
      </c>
      <c r="I75" s="713">
        <f>VLOOKUP($B75&amp;"_"&amp;$D75,'App5 - CRUK Inci Rates'!C:J,4,FALSE)</f>
        <v>2364638</v>
      </c>
      <c r="J75" s="709">
        <f>VLOOKUP($B75&amp;"_"&amp;$D75,'App5 - CRUK Inci Rates'!C:K,9,FALSE)</f>
        <v>640</v>
      </c>
      <c r="K75" s="706">
        <f t="shared" si="69"/>
        <v>1182319</v>
      </c>
      <c r="L75" s="706">
        <f>VLOOKUP("*"&amp;$B75&amp;"*",'S4 - Summ PRS Characteristics'!$C$21:$Q$28,11,FALSE)*$J75</f>
        <v>444.096376935433</v>
      </c>
      <c r="M75" s="706">
        <f t="shared" si="70"/>
        <v>195.903623064567</v>
      </c>
      <c r="N75" s="706">
        <f>IF($C75="other",(1-$C$7)*L75,(1-(VLOOKUP($C75,'S3 - Screening Tool Metrics'!$C$3:$G$17,5,FALSE)/100))*L75)</f>
        <v>71.055420309669287</v>
      </c>
      <c r="O75" s="706">
        <f>IF($C75="other",$C$7*L75,(VLOOKUP($C75,'S3 - Screening Tool Metrics'!$C$3:$G$17,5,FALSE)/100)*L75)</f>
        <v>373.04095662576373</v>
      </c>
      <c r="P75" s="706">
        <f t="shared" si="71"/>
        <v>58.287649472775584</v>
      </c>
      <c r="Q75" s="707">
        <f t="shared" si="61"/>
        <v>472927.60000000003</v>
      </c>
      <c r="R75" s="706">
        <f>VLOOKUP("*"&amp;$B75&amp;"*",'S4 - Summ PRS Characteristics'!$C$21:$Q$28,12,FALSE)*$J75</f>
        <v>236.11632400504817</v>
      </c>
      <c r="S75" s="706">
        <f t="shared" si="72"/>
        <v>403.88367599495183</v>
      </c>
      <c r="T75" s="706">
        <f>IF($C75="other",(1-$C72)*R75,(1-(VLOOKUP($C75,'S3 - Screening Tool Metrics'!$C$3:$G$17,5,FALSE)/100))*R75)</f>
        <v>37.778611840807713</v>
      </c>
      <c r="U75" s="706">
        <f>IF($C75="other",$C72*R75,(VLOOKUP($C75,'S3 - Screening Tool Metrics'!$C$3:$G$17,5,FALSE)/100)*R75)</f>
        <v>198.33771216424046</v>
      </c>
      <c r="V75" s="708">
        <f t="shared" si="62"/>
        <v>30.990267525662574</v>
      </c>
      <c r="W75" s="707">
        <f t="shared" si="63"/>
        <v>236463.80000000002</v>
      </c>
      <c r="X75" s="706">
        <f>VLOOKUP("*"&amp;$B75&amp;"*",'S4 - Summ PRS Characteristics'!$C$21:$Q$28,13,FALSE)*$J75</f>
        <v>140.34163759851376</v>
      </c>
      <c r="Y75" s="706">
        <f t="shared" si="73"/>
        <v>499.65836240148622</v>
      </c>
      <c r="Z75" s="706">
        <f>IF($C75="other",(1-$C72)*X75,(1-(VLOOKUP($C75,'S3 - Screening Tool Metrics'!$C$3:$G$17,5,FALSE)/100))*X75)</f>
        <v>22.454662015762207</v>
      </c>
      <c r="AA75" s="706">
        <f>IF($C75="other",$C72*X75,(VLOOKUP($C75,'S3 - Screening Tool Metrics'!$C$3:$G$17,5,FALSE)/100)*X75)</f>
        <v>117.88697558275155</v>
      </c>
      <c r="AB75" s="708">
        <f t="shared" si="64"/>
        <v>18.41983993480493</v>
      </c>
      <c r="AC75" s="707">
        <f t="shared" si="65"/>
        <v>118231.90000000001</v>
      </c>
      <c r="AD75" s="706">
        <f>VLOOKUP("*"&amp;$B75&amp;"*",'S4 - Summ PRS Characteristics'!$C$21:$Q$28,14,FALSE)*$J75</f>
        <v>81.649733616768273</v>
      </c>
      <c r="AE75" s="706">
        <f t="shared" ref="AE75:AE86" si="75">$J75-AD75</f>
        <v>558.35026638323177</v>
      </c>
      <c r="AF75" s="706">
        <f>IF($C75="other",(1-$C72)*AD75,(1-(VLOOKUP($C75,'S3 - Screening Tool Metrics'!$C$3:$G$17,5,FALSE)/100))*AD75)</f>
        <v>13.063957378682927</v>
      </c>
      <c r="AG75" s="706">
        <f>IF($C75="other",$C72*AD75,(VLOOKUP($C75,'S3 - Screening Tool Metrics'!$C$3:$G$17,5,FALSE)/100)*AD75)</f>
        <v>68.585776238085344</v>
      </c>
      <c r="AH75" s="708">
        <f t="shared" si="66"/>
        <v>10.716527537200834</v>
      </c>
      <c r="AI75" s="707">
        <f t="shared" si="67"/>
        <v>23646.38</v>
      </c>
      <c r="AJ75" s="706">
        <f>VLOOKUP("*"&amp;$B75&amp;"*",'S4 - Summ PRS Characteristics'!$C$21:$Q$28,15,FALSE)*$J75</f>
        <v>22.031620066378057</v>
      </c>
      <c r="AK75" s="706">
        <f t="shared" si="74"/>
        <v>617.96837993362192</v>
      </c>
      <c r="AL75" s="706">
        <f>IF($C75="other",(1-$C72)*AJ75,(1-(VLOOKUP($C75,'S3 - Screening Tool Metrics'!$C$3:$G$17,5,FALSE)/100))*AJ75)</f>
        <v>3.5250592106204897</v>
      </c>
      <c r="AM75" s="706">
        <f>IF($C75="other",$C72*AJ75,(VLOOKUP($C75,'S3 - Screening Tool Metrics'!$C$3:$G$17,5,FALSE)/100)*AJ75)</f>
        <v>18.506560855757566</v>
      </c>
      <c r="AN75" s="709">
        <f t="shared" si="68"/>
        <v>2.8916501337121194</v>
      </c>
    </row>
    <row r="76" spans="2:40" x14ac:dyDescent="0.15">
      <c r="B76" s="700" t="s">
        <v>13</v>
      </c>
      <c r="C76" s="721" t="str">
        <f>$C73</f>
        <v>MMS (CA-125 + TVU)</v>
      </c>
      <c r="D76" s="552" t="s">
        <v>195</v>
      </c>
      <c r="E76" s="710">
        <f>VLOOKUP($B76&amp;"_"&amp;$D76,'App5 - CRUK Inci Rates'!C:H,6,FALSE)</f>
        <v>0</v>
      </c>
      <c r="F76" s="711">
        <f>VLOOKUP($B76&amp;"_"&amp;$D76,'App5 - CRUK Inci Rates'!C:H,3,FALSE)</f>
        <v>34.799999999999997</v>
      </c>
      <c r="G76" s="712">
        <f>VLOOKUP($B76&amp;"_"&amp;$D76,'App5 - CRUK Inci Rates'!C:J,8,FALSE)</f>
        <v>2119687.3333333335</v>
      </c>
      <c r="H76" s="713">
        <f>VLOOKUP($B76&amp;"_"&amp;$D76,'App5 - CRUK Inci Rates'!C:J,7,FALSE)</f>
        <v>0</v>
      </c>
      <c r="I76" s="713">
        <f>VLOOKUP($B76&amp;"_"&amp;$D76,'App5 - CRUK Inci Rates'!C:J,4,FALSE)</f>
        <v>2119687.3333333335</v>
      </c>
      <c r="J76" s="709">
        <f>VLOOKUP($B76&amp;"_"&amp;$D76,'App5 - CRUK Inci Rates'!C:K,9,FALSE)</f>
        <v>738</v>
      </c>
      <c r="K76" s="706">
        <f t="shared" si="69"/>
        <v>1059843.6666666667</v>
      </c>
      <c r="L76" s="706">
        <f>VLOOKUP("*"&amp;$B76&amp;"*",'S4 - Summ PRS Characteristics'!$C$21:$Q$28,11,FALSE)*$J76</f>
        <v>512.09863465367118</v>
      </c>
      <c r="M76" s="706">
        <f t="shared" si="70"/>
        <v>225.90136534632882</v>
      </c>
      <c r="N76" s="706">
        <f>IF($C76="other",(1-$C$7)*L76,(1-(VLOOKUP($C76,'S3 - Screening Tool Metrics'!$C$3:$G$17,5,FALSE)/100))*L76)</f>
        <v>81.9357815445874</v>
      </c>
      <c r="O76" s="706">
        <f>IF($C76="other",$C$7*L76,(VLOOKUP($C76,'S3 - Screening Tool Metrics'!$C$3:$G$17,5,FALSE)/100)*L76)</f>
        <v>430.16285310908376</v>
      </c>
      <c r="P76" s="706">
        <f t="shared" si="71"/>
        <v>58.28764947277557</v>
      </c>
      <c r="Q76" s="707">
        <f t="shared" si="61"/>
        <v>423937.46666666673</v>
      </c>
      <c r="R76" s="706">
        <f>VLOOKUP("*"&amp;$B76&amp;"*",'S4 - Summ PRS Characteristics'!$C$21:$Q$28,12,FALSE)*$J76</f>
        <v>272.27163611832117</v>
      </c>
      <c r="S76" s="706">
        <f t="shared" si="72"/>
        <v>465.72836388167883</v>
      </c>
      <c r="T76" s="706">
        <f>IF($C76="other",(1-$C72)*R76,(1-(VLOOKUP($C76,'S3 - Screening Tool Metrics'!$C$3:$G$17,5,FALSE)/100))*R76)</f>
        <v>43.563461778931398</v>
      </c>
      <c r="U76" s="706">
        <f>IF($C76="other",$C72*R76,(VLOOKUP($C76,'S3 - Screening Tool Metrics'!$C$3:$G$17,5,FALSE)/100)*R76)</f>
        <v>228.70817433938979</v>
      </c>
      <c r="V76" s="708">
        <f t="shared" si="62"/>
        <v>30.990267525662574</v>
      </c>
      <c r="W76" s="707">
        <f t="shared" si="63"/>
        <v>211968.73333333337</v>
      </c>
      <c r="X76" s="706">
        <f>VLOOKUP("*"&amp;$B76&amp;"*",'S4 - Summ PRS Characteristics'!$C$21:$Q$28,13,FALSE)*$J76</f>
        <v>161.83145085578619</v>
      </c>
      <c r="Y76" s="706">
        <f t="shared" si="73"/>
        <v>576.16854914421378</v>
      </c>
      <c r="Z76" s="706">
        <f>IF($C76="other",(1-$C72)*X76,(1-(VLOOKUP($C76,'S3 - Screening Tool Metrics'!$C$3:$G$17,5,FALSE)/100))*X76)</f>
        <v>25.893032136925793</v>
      </c>
      <c r="AA76" s="706">
        <f>IF($C76="other",$C72*X76,(VLOOKUP($C76,'S3 - Screening Tool Metrics'!$C$3:$G$17,5,FALSE)/100)*X76)</f>
        <v>135.93841871886039</v>
      </c>
      <c r="AB76" s="708">
        <f t="shared" si="64"/>
        <v>18.41983993480493</v>
      </c>
      <c r="AC76" s="707">
        <f t="shared" si="65"/>
        <v>105984.36666666668</v>
      </c>
      <c r="AD76" s="706">
        <f>VLOOKUP("*"&amp;$B76&amp;"*",'S4 - Summ PRS Characteristics'!$C$21:$Q$28,14,FALSE)*$J76</f>
        <v>94.152349076835904</v>
      </c>
      <c r="AE76" s="706">
        <f t="shared" si="75"/>
        <v>643.84765092316411</v>
      </c>
      <c r="AF76" s="706">
        <f>IF($C76="other",(1-$C72)*AD76,(1-(VLOOKUP($C76,'S3 - Screening Tool Metrics'!$C$3:$G$17,5,FALSE)/100))*AD76)</f>
        <v>15.064375852293747</v>
      </c>
      <c r="AG76" s="706">
        <f>IF($C76="other",$C72*AD76,(VLOOKUP($C76,'S3 - Screening Tool Metrics'!$C$3:$G$17,5,FALSE)/100)*AD76)</f>
        <v>79.087973224542154</v>
      </c>
      <c r="AH76" s="708">
        <f t="shared" si="66"/>
        <v>10.716527537200834</v>
      </c>
      <c r="AI76" s="707">
        <f t="shared" si="67"/>
        <v>21196.873333333337</v>
      </c>
      <c r="AJ76" s="706">
        <f>VLOOKUP("*"&amp;$B76&amp;"*",'S4 - Summ PRS Characteristics'!$C$21:$Q$28,15,FALSE)*$J76</f>
        <v>25.405211889042196</v>
      </c>
      <c r="AK76" s="706">
        <f t="shared" si="74"/>
        <v>712.59478811095778</v>
      </c>
      <c r="AL76" s="706">
        <f>IF($C76="other",(1-$C72)*AJ76,(1-(VLOOKUP($C76,'S3 - Screening Tool Metrics'!$C$3:$G$17,5,FALSE)/100))*AJ76)</f>
        <v>4.0648339022467521</v>
      </c>
      <c r="AM76" s="706">
        <f>IF($C76="other",$C72*AJ76,(VLOOKUP($C76,'S3 - Screening Tool Metrics'!$C$3:$G$17,5,FALSE)/100)*AJ76)</f>
        <v>21.340377986795442</v>
      </c>
      <c r="AN76" s="709">
        <f t="shared" si="68"/>
        <v>2.8916501337121194</v>
      </c>
    </row>
    <row r="77" spans="2:40" x14ac:dyDescent="0.15">
      <c r="B77" s="700" t="s">
        <v>13</v>
      </c>
      <c r="C77" s="721" t="str">
        <f>$C73</f>
        <v>MMS (CA-125 + TVU)</v>
      </c>
      <c r="D77" s="552" t="s">
        <v>196</v>
      </c>
      <c r="E77" s="710">
        <f>VLOOKUP($B77&amp;"_"&amp;$D77,'App5 - CRUK Inci Rates'!C:H,6,FALSE)</f>
        <v>0</v>
      </c>
      <c r="F77" s="711">
        <f>VLOOKUP($B77&amp;"_"&amp;$D77,'App5 - CRUK Inci Rates'!C:H,3,FALSE)</f>
        <v>41.6</v>
      </c>
      <c r="G77" s="712">
        <f>VLOOKUP($B77&amp;"_"&amp;$D77,'App5 - CRUK Inci Rates'!C:J,8,FALSE)</f>
        <v>1837174</v>
      </c>
      <c r="H77" s="713">
        <f>VLOOKUP($B77&amp;"_"&amp;$D77,'App5 - CRUK Inci Rates'!C:J,7,FALSE)</f>
        <v>0</v>
      </c>
      <c r="I77" s="713">
        <f>VLOOKUP($B77&amp;"_"&amp;$D77,'App5 - CRUK Inci Rates'!C:J,4,FALSE)</f>
        <v>1837174</v>
      </c>
      <c r="J77" s="709">
        <f>VLOOKUP($B77&amp;"_"&amp;$D77,'App5 - CRUK Inci Rates'!C:K,9,FALSE)</f>
        <v>764</v>
      </c>
      <c r="K77" s="706">
        <f t="shared" si="69"/>
        <v>918587</v>
      </c>
      <c r="L77" s="706">
        <f>VLOOKUP("*"&amp;$B77&amp;"*",'S4 - Summ PRS Characteristics'!$C$21:$Q$28,11,FALSE)*$J77</f>
        <v>530.14004996667313</v>
      </c>
      <c r="M77" s="706">
        <f t="shared" si="70"/>
        <v>233.85995003332687</v>
      </c>
      <c r="N77" s="706">
        <f>IF($C77="other",(1-$C$7)*L77,(1-(VLOOKUP($C77,'S3 - Screening Tool Metrics'!$C$3:$G$17,5,FALSE)/100))*L77)</f>
        <v>84.822407994667714</v>
      </c>
      <c r="O77" s="706">
        <f>IF($C77="other",$C$7*L77,(VLOOKUP($C77,'S3 - Screening Tool Metrics'!$C$3:$G$17,5,FALSE)/100)*L77)</f>
        <v>445.31764197200539</v>
      </c>
      <c r="P77" s="706">
        <f t="shared" si="71"/>
        <v>58.28764947277557</v>
      </c>
      <c r="Q77" s="707">
        <f t="shared" si="61"/>
        <v>367434.80000000005</v>
      </c>
      <c r="R77" s="706">
        <f>VLOOKUP("*"&amp;$B77&amp;"*",'S4 - Summ PRS Characteristics'!$C$21:$Q$28,12,FALSE)*$J77</f>
        <v>281.86386178102623</v>
      </c>
      <c r="S77" s="706">
        <f t="shared" si="72"/>
        <v>482.13613821897377</v>
      </c>
      <c r="T77" s="706">
        <f>IF($C77="other",(1-$C72)*R77,(1-(VLOOKUP($C77,'S3 - Screening Tool Metrics'!$C$3:$G$17,5,FALSE)/100))*R77)</f>
        <v>45.098217884964207</v>
      </c>
      <c r="U77" s="706">
        <f>IF($C77="other",$C72*R77,(VLOOKUP($C77,'S3 - Screening Tool Metrics'!$C$3:$G$17,5,FALSE)/100)*R77)</f>
        <v>236.76564389606202</v>
      </c>
      <c r="V77" s="708">
        <f t="shared" si="62"/>
        <v>30.990267525662567</v>
      </c>
      <c r="W77" s="707">
        <f t="shared" si="63"/>
        <v>183717.40000000002</v>
      </c>
      <c r="X77" s="706">
        <f>VLOOKUP("*"&amp;$B77&amp;"*",'S4 - Summ PRS Characteristics'!$C$21:$Q$28,13,FALSE)*$J77</f>
        <v>167.53282988322579</v>
      </c>
      <c r="Y77" s="706">
        <f t="shared" si="73"/>
        <v>596.46717011677424</v>
      </c>
      <c r="Z77" s="706">
        <f>IF($C77="other",(1-$C72)*X77,(1-(VLOOKUP($C77,'S3 - Screening Tool Metrics'!$C$3:$G$17,5,FALSE)/100))*X77)</f>
        <v>26.805252781316131</v>
      </c>
      <c r="AA77" s="706">
        <f>IF($C77="other",$C72*X77,(VLOOKUP($C77,'S3 - Screening Tool Metrics'!$C$3:$G$17,5,FALSE)/100)*X77)</f>
        <v>140.72757710190965</v>
      </c>
      <c r="AB77" s="708">
        <f t="shared" si="64"/>
        <v>18.419839934804926</v>
      </c>
      <c r="AC77" s="707">
        <f t="shared" si="65"/>
        <v>91858.700000000012</v>
      </c>
      <c r="AD77" s="706">
        <f>VLOOKUP("*"&amp;$B77&amp;"*",'S4 - Summ PRS Characteristics'!$C$21:$Q$28,14,FALSE)*$J77</f>
        <v>97.469369505017127</v>
      </c>
      <c r="AE77" s="706">
        <f t="shared" si="75"/>
        <v>666.53063049498292</v>
      </c>
      <c r="AF77" s="706">
        <f>IF($C77="other",(1-$C72)*AD77,(1-(VLOOKUP($C77,'S3 - Screening Tool Metrics'!$C$3:$G$17,5,FALSE)/100))*AD77)</f>
        <v>15.595099120802743</v>
      </c>
      <c r="AG77" s="706">
        <f>IF($C77="other",$C72*AD77,(VLOOKUP($C77,'S3 - Screening Tool Metrics'!$C$3:$G$17,5,FALSE)/100)*AD77)</f>
        <v>81.874270384214384</v>
      </c>
      <c r="AH77" s="708">
        <f t="shared" si="66"/>
        <v>10.716527537200836</v>
      </c>
      <c r="AI77" s="707">
        <f t="shared" si="67"/>
        <v>18371.740000000002</v>
      </c>
      <c r="AJ77" s="706">
        <f>VLOOKUP("*"&amp;$B77&amp;"*",'S4 - Summ PRS Characteristics'!$C$21:$Q$28,15,FALSE)*$J77</f>
        <v>26.300246454238806</v>
      </c>
      <c r="AK77" s="706">
        <f t="shared" si="74"/>
        <v>737.69975354576115</v>
      </c>
      <c r="AL77" s="706">
        <f>IF($C77="other",(1-$C72)*AJ77,(1-(VLOOKUP($C77,'S3 - Screening Tool Metrics'!$C$3:$G$17,5,FALSE)/100))*AJ77)</f>
        <v>4.20803943267821</v>
      </c>
      <c r="AM77" s="706">
        <f>IF($C77="other",$C72*AJ77,(VLOOKUP($C77,'S3 - Screening Tool Metrics'!$C$3:$G$17,5,FALSE)/100)*AJ77)</f>
        <v>22.092207021560597</v>
      </c>
      <c r="AN77" s="709">
        <f t="shared" si="68"/>
        <v>2.8916501337121199</v>
      </c>
    </row>
    <row r="78" spans="2:40" x14ac:dyDescent="0.15">
      <c r="B78" s="700" t="s">
        <v>13</v>
      </c>
      <c r="C78" s="721" t="str">
        <f>$C73</f>
        <v>MMS (CA-125 + TVU)</v>
      </c>
      <c r="D78" s="552" t="s">
        <v>197</v>
      </c>
      <c r="E78" s="710">
        <f>VLOOKUP($B78&amp;"_"&amp;$D78,'App5 - CRUK Inci Rates'!C:H,6,FALSE)</f>
        <v>0</v>
      </c>
      <c r="F78" s="711">
        <f>VLOOKUP($B78&amp;"_"&amp;$D78,'App5 - CRUK Inci Rates'!C:H,3,FALSE)</f>
        <v>52.3</v>
      </c>
      <c r="G78" s="712">
        <f>VLOOKUP($B78&amp;"_"&amp;$D78,'App5 - CRUK Inci Rates'!C:J,8,FALSE)</f>
        <v>1805190</v>
      </c>
      <c r="H78" s="713">
        <f>VLOOKUP($B78&amp;"_"&amp;$D78,'App5 - CRUK Inci Rates'!C:J,7,FALSE)</f>
        <v>0</v>
      </c>
      <c r="I78" s="713">
        <f>VLOOKUP($B78&amp;"_"&amp;$D78,'App5 - CRUK Inci Rates'!C:J,4,FALSE)</f>
        <v>1805190</v>
      </c>
      <c r="J78" s="709">
        <f>VLOOKUP($B78&amp;"_"&amp;$D78,'App5 - CRUK Inci Rates'!C:K,9,FALSE)</f>
        <v>944</v>
      </c>
      <c r="K78" s="706">
        <f t="shared" si="69"/>
        <v>902595</v>
      </c>
      <c r="L78" s="706">
        <f>VLOOKUP("*"&amp;$B78&amp;"*",'S4 - Summ PRS Characteristics'!$C$21:$Q$28,11,FALSE)*$J78</f>
        <v>655.04215597976372</v>
      </c>
      <c r="M78" s="706">
        <f t="shared" si="70"/>
        <v>288.95784402023628</v>
      </c>
      <c r="N78" s="706">
        <f>IF($C78="other",(1-$C$7)*L78,(1-(VLOOKUP($C78,'S3 - Screening Tool Metrics'!$C$3:$G$17,5,FALSE)/100))*L78)</f>
        <v>104.80674495676222</v>
      </c>
      <c r="O78" s="706">
        <f>IF($C78="other",$C$7*L78,(VLOOKUP($C78,'S3 - Screening Tool Metrics'!$C$3:$G$17,5,FALSE)/100)*L78)</f>
        <v>550.23541102300146</v>
      </c>
      <c r="P78" s="706">
        <f t="shared" si="71"/>
        <v>58.287649472775584</v>
      </c>
      <c r="Q78" s="707">
        <f t="shared" si="61"/>
        <v>361038</v>
      </c>
      <c r="R78" s="706">
        <f>VLOOKUP("*"&amp;$B78&amp;"*",'S4 - Summ PRS Characteristics'!$C$21:$Q$28,12,FALSE)*$J78</f>
        <v>348.27157790744604</v>
      </c>
      <c r="S78" s="706">
        <f t="shared" si="72"/>
        <v>595.72842209255396</v>
      </c>
      <c r="T78" s="706">
        <f>IF($C78="other",(1-$C72)*R78,(1-(VLOOKUP($C78,'S3 - Screening Tool Metrics'!$C$3:$G$17,5,FALSE)/100))*R78)</f>
        <v>55.723452465191379</v>
      </c>
      <c r="U78" s="706">
        <f>IF($C78="other",$C72*R78,(VLOOKUP($C78,'S3 - Screening Tool Metrics'!$C$3:$G$17,5,FALSE)/100)*R78)</f>
        <v>292.54812544225467</v>
      </c>
      <c r="V78" s="708">
        <f t="shared" si="62"/>
        <v>30.990267525662574</v>
      </c>
      <c r="W78" s="707">
        <f t="shared" si="63"/>
        <v>180519</v>
      </c>
      <c r="X78" s="706">
        <f>VLOOKUP("*"&amp;$B78&amp;"*",'S4 - Summ PRS Characteristics'!$C$21:$Q$28,13,FALSE)*$J78</f>
        <v>207.00391545780781</v>
      </c>
      <c r="Y78" s="706">
        <f t="shared" si="73"/>
        <v>736.99608454219219</v>
      </c>
      <c r="Z78" s="706">
        <f>IF($C78="other",(1-$C72)*X78,(1-(VLOOKUP($C78,'S3 - Screening Tool Metrics'!$C$3:$G$17,5,FALSE)/100))*X78)</f>
        <v>33.120626473249253</v>
      </c>
      <c r="AA78" s="706">
        <f>IF($C78="other",$C72*X78,(VLOOKUP($C78,'S3 - Screening Tool Metrics'!$C$3:$G$17,5,FALSE)/100)*X78)</f>
        <v>173.88328898455856</v>
      </c>
      <c r="AB78" s="708">
        <f t="shared" si="64"/>
        <v>18.419839934804934</v>
      </c>
      <c r="AC78" s="707">
        <f t="shared" si="65"/>
        <v>90259.5</v>
      </c>
      <c r="AD78" s="706">
        <f>VLOOKUP("*"&amp;$B78&amp;"*",'S4 - Summ PRS Characteristics'!$C$21:$Q$28,14,FALSE)*$J78</f>
        <v>120.4333570847332</v>
      </c>
      <c r="AE78" s="706">
        <f t="shared" si="75"/>
        <v>823.56664291526681</v>
      </c>
      <c r="AF78" s="706">
        <f>IF($C78="other",(1-$C72)*AD78,(1-(VLOOKUP($C78,'S3 - Screening Tool Metrics'!$C$3:$G$17,5,FALSE)/100))*AD78)</f>
        <v>19.269337133557315</v>
      </c>
      <c r="AG78" s="706">
        <f>IF($C78="other",$C72*AD78,(VLOOKUP($C78,'S3 - Screening Tool Metrics'!$C$3:$G$17,5,FALSE)/100)*AD78)</f>
        <v>101.16401995117589</v>
      </c>
      <c r="AH78" s="708">
        <f t="shared" si="66"/>
        <v>10.716527537200836</v>
      </c>
      <c r="AI78" s="707">
        <f t="shared" si="67"/>
        <v>18051.900000000001</v>
      </c>
      <c r="AJ78" s="706">
        <f>VLOOKUP("*"&amp;$B78&amp;"*",'S4 - Summ PRS Characteristics'!$C$21:$Q$28,15,FALSE)*$J78</f>
        <v>32.496639597907631</v>
      </c>
      <c r="AK78" s="706">
        <f t="shared" si="74"/>
        <v>911.50336040209231</v>
      </c>
      <c r="AL78" s="706">
        <f>IF($C78="other",(1-$C72)*AJ78,(1-(VLOOKUP($C78,'S3 - Screening Tool Metrics'!$C$3:$G$17,5,FALSE)/100))*AJ78)</f>
        <v>5.1994623356652223</v>
      </c>
      <c r="AM78" s="706">
        <f>IF($C78="other",$C72*AJ78,(VLOOKUP($C78,'S3 - Screening Tool Metrics'!$C$3:$G$17,5,FALSE)/100)*AJ78)</f>
        <v>27.29717726224241</v>
      </c>
      <c r="AN78" s="709">
        <f t="shared" si="68"/>
        <v>2.8916501337121194</v>
      </c>
    </row>
    <row r="79" spans="2:40" x14ac:dyDescent="0.15">
      <c r="B79" s="700" t="s">
        <v>13</v>
      </c>
      <c r="C79" s="721" t="str">
        <f>$C73</f>
        <v>MMS (CA-125 + TVU)</v>
      </c>
      <c r="D79" s="552" t="s">
        <v>198</v>
      </c>
      <c r="E79" s="710">
        <f>VLOOKUP($B79&amp;"_"&amp;$D79,'App5 - CRUK Inci Rates'!C:H,6,FALSE)</f>
        <v>0</v>
      </c>
      <c r="F79" s="711">
        <f>VLOOKUP($B79&amp;"_"&amp;$D79,'App5 - CRUK Inci Rates'!C:H,3,FALSE)</f>
        <v>60.8</v>
      </c>
      <c r="G79" s="712">
        <f>VLOOKUP($B79&amp;"_"&amp;$D79,'App5 - CRUK Inci Rates'!C:J,8,FALSE)</f>
        <v>1603609.6666666667</v>
      </c>
      <c r="H79" s="713">
        <f>VLOOKUP($B79&amp;"_"&amp;$D79,'App5 - CRUK Inci Rates'!C:J,7,FALSE)</f>
        <v>0</v>
      </c>
      <c r="I79" s="713">
        <f>VLOOKUP($B79&amp;"_"&amp;$D79,'App5 - CRUK Inci Rates'!C:J,4,FALSE)</f>
        <v>1603609.6666666667</v>
      </c>
      <c r="J79" s="709">
        <f>VLOOKUP($B79&amp;"_"&amp;$D79,'App5 - CRUK Inci Rates'!C:K,9,FALSE)</f>
        <v>975</v>
      </c>
      <c r="K79" s="706">
        <f t="shared" si="69"/>
        <v>801804.83333333337</v>
      </c>
      <c r="L79" s="706">
        <f>VLOOKUP("*"&amp;$B79&amp;"*",'S4 - Summ PRS Characteristics'!$C$21:$Q$28,11,FALSE)*$J79</f>
        <v>676.55307423757381</v>
      </c>
      <c r="M79" s="706">
        <f t="shared" si="70"/>
        <v>298.44692576242619</v>
      </c>
      <c r="N79" s="706">
        <f>IF($C79="other",(1-$C$7)*L79,(1-(VLOOKUP($C79,'S3 - Screening Tool Metrics'!$C$3:$G$17,5,FALSE)/100))*L79)</f>
        <v>108.24849187801183</v>
      </c>
      <c r="O79" s="706">
        <f>IF($C79="other",$C$7*L79,(VLOOKUP($C79,'S3 - Screening Tool Metrics'!$C$3:$G$17,5,FALSE)/100)*L79)</f>
        <v>568.304582359562</v>
      </c>
      <c r="P79" s="706">
        <f t="shared" si="71"/>
        <v>58.287649472775591</v>
      </c>
      <c r="Q79" s="707">
        <f t="shared" si="61"/>
        <v>320721.93333333335</v>
      </c>
      <c r="R79" s="706">
        <f>VLOOKUP("*"&amp;$B79&amp;"*",'S4 - Summ PRS Characteristics'!$C$21:$Q$28,12,FALSE)*$J79</f>
        <v>359.70846235144057</v>
      </c>
      <c r="S79" s="706">
        <f t="shared" si="72"/>
        <v>615.29153764855937</v>
      </c>
      <c r="T79" s="706">
        <f>IF($C79="other",(1-$C72)*R79,(1-(VLOOKUP($C79,'S3 - Screening Tool Metrics'!$C$3:$G$17,5,FALSE)/100))*R79)</f>
        <v>57.553353976230504</v>
      </c>
      <c r="U79" s="706">
        <f>IF($C79="other",$C72*R79,(VLOOKUP($C79,'S3 - Screening Tool Metrics'!$C$3:$G$17,5,FALSE)/100)*R79)</f>
        <v>302.15510837521009</v>
      </c>
      <c r="V79" s="708">
        <f t="shared" si="62"/>
        <v>30.990267525662574</v>
      </c>
      <c r="W79" s="707">
        <f t="shared" si="63"/>
        <v>160360.96666666667</v>
      </c>
      <c r="X79" s="706">
        <f>VLOOKUP("*"&amp;$B79&amp;"*",'S4 - Summ PRS Characteristics'!$C$21:$Q$28,13,FALSE)*$J79</f>
        <v>213.8017135289858</v>
      </c>
      <c r="Y79" s="706">
        <f t="shared" si="73"/>
        <v>761.19828647101417</v>
      </c>
      <c r="Z79" s="706">
        <f>IF($C79="other",(1-$C72)*X79,(1-(VLOOKUP($C79,'S3 - Screening Tool Metrics'!$C$3:$G$17,5,FALSE)/100))*X79)</f>
        <v>34.208274164637736</v>
      </c>
      <c r="AA79" s="706">
        <f>IF($C79="other",$C72*X79,(VLOOKUP($C79,'S3 - Screening Tool Metrics'!$C$3:$G$17,5,FALSE)/100)*X79)</f>
        <v>179.59343936434806</v>
      </c>
      <c r="AB79" s="708">
        <f t="shared" si="64"/>
        <v>18.41983993480493</v>
      </c>
      <c r="AC79" s="707">
        <f t="shared" si="65"/>
        <v>80180.483333333337</v>
      </c>
      <c r="AD79" s="706">
        <f>VLOOKUP("*"&amp;$B79&amp;"*",'S4 - Summ PRS Characteristics'!$C$21:$Q$28,14,FALSE)*$J79</f>
        <v>124.38826605679542</v>
      </c>
      <c r="AE79" s="706">
        <f t="shared" si="75"/>
        <v>850.61173394320463</v>
      </c>
      <c r="AF79" s="706">
        <f>IF($C79="other",(1-$C72)*AD79,(1-(VLOOKUP($C79,'S3 - Screening Tool Metrics'!$C$3:$G$17,5,FALSE)/100))*AD79)</f>
        <v>19.902122569087272</v>
      </c>
      <c r="AG79" s="706">
        <f>IF($C79="other",$C72*AD79,(VLOOKUP($C79,'S3 - Screening Tool Metrics'!$C$3:$G$17,5,FALSE)/100)*AD79)</f>
        <v>104.48614348770815</v>
      </c>
      <c r="AH79" s="708">
        <f t="shared" si="66"/>
        <v>10.716527537200836</v>
      </c>
      <c r="AI79" s="707">
        <f t="shared" si="67"/>
        <v>16036.096666666668</v>
      </c>
      <c r="AJ79" s="706">
        <f>VLOOKUP("*"&amp;$B79&amp;"*",'S4 - Summ PRS Characteristics'!$C$21:$Q$28,15,FALSE)*$J79</f>
        <v>33.563796194872822</v>
      </c>
      <c r="AK79" s="706">
        <f t="shared" si="74"/>
        <v>941.43620380512721</v>
      </c>
      <c r="AL79" s="706">
        <f>IF($C79="other",(1-$C72)*AJ79,(1-(VLOOKUP($C79,'S3 - Screening Tool Metrics'!$C$3:$G$17,5,FALSE)/100))*AJ79)</f>
        <v>5.3702073911796528</v>
      </c>
      <c r="AM79" s="706">
        <f>IF($C79="other",$C72*AJ79,(VLOOKUP($C79,'S3 - Screening Tool Metrics'!$C$3:$G$17,5,FALSE)/100)*AJ79)</f>
        <v>28.193588803693171</v>
      </c>
      <c r="AN79" s="709">
        <f t="shared" si="68"/>
        <v>2.8916501337121199</v>
      </c>
    </row>
    <row r="80" spans="2:40" x14ac:dyDescent="0.15">
      <c r="B80" s="700" t="s">
        <v>13</v>
      </c>
      <c r="C80" s="721" t="str">
        <f>$C73</f>
        <v>MMS (CA-125 + TVU)</v>
      </c>
      <c r="D80" s="552" t="s">
        <v>199</v>
      </c>
      <c r="E80" s="710">
        <f>VLOOKUP($B80&amp;"_"&amp;$D80,'App5 - CRUK Inci Rates'!C:H,6,FALSE)</f>
        <v>0</v>
      </c>
      <c r="F80" s="711">
        <f>VLOOKUP($B80&amp;"_"&amp;$D80,'App5 - CRUK Inci Rates'!C:H,3,FALSE)</f>
        <v>73.8</v>
      </c>
      <c r="G80" s="712">
        <f>VLOOKUP($B80&amp;"_"&amp;$D80,'App5 - CRUK Inci Rates'!C:J,8,FALSE)</f>
        <v>1181645.3333333333</v>
      </c>
      <c r="H80" s="713">
        <f>VLOOKUP($B80&amp;"_"&amp;$D80,'App5 - CRUK Inci Rates'!C:J,7,FALSE)</f>
        <v>0</v>
      </c>
      <c r="I80" s="713">
        <f>VLOOKUP($B80&amp;"_"&amp;$D80,'App5 - CRUK Inci Rates'!C:J,4,FALSE)</f>
        <v>1181645.3333333333</v>
      </c>
      <c r="J80" s="709">
        <f>VLOOKUP($B80&amp;"_"&amp;$D80,'App5 - CRUK Inci Rates'!C:K,9,FALSE)</f>
        <v>872</v>
      </c>
      <c r="K80" s="706">
        <f t="shared" si="69"/>
        <v>590822.66666666663</v>
      </c>
      <c r="L80" s="706">
        <f>VLOOKUP("*"&amp;$B80&amp;"*",'S4 - Summ PRS Characteristics'!$C$21:$Q$28,11,FALSE)*$J80</f>
        <v>605.08131357452748</v>
      </c>
      <c r="M80" s="706">
        <f t="shared" si="70"/>
        <v>266.91868642547252</v>
      </c>
      <c r="N80" s="706">
        <f>IF($C80="other",(1-$C$7)*L80,(1-(VLOOKUP($C80,'S3 - Screening Tool Metrics'!$C$3:$G$17,5,FALSE)/100))*L80)</f>
        <v>96.813010171924418</v>
      </c>
      <c r="O80" s="706">
        <f>IF($C80="other",$C$7*L80,(VLOOKUP($C80,'S3 - Screening Tool Metrics'!$C$3:$G$17,5,FALSE)/100)*L80)</f>
        <v>508.26830340260307</v>
      </c>
      <c r="P80" s="706">
        <f t="shared" si="71"/>
        <v>58.287649472775584</v>
      </c>
      <c r="Q80" s="707">
        <f t="shared" si="61"/>
        <v>236329.06666666665</v>
      </c>
      <c r="R80" s="706">
        <f>VLOOKUP("*"&amp;$B80&amp;"*",'S4 - Summ PRS Characteristics'!$C$21:$Q$28,12,FALSE)*$J80</f>
        <v>321.70849145687811</v>
      </c>
      <c r="S80" s="706">
        <f t="shared" si="72"/>
        <v>550.29150854312184</v>
      </c>
      <c r="T80" s="706">
        <f>IF($C80="other",(1-$C72)*R80,(1-(VLOOKUP($C80,'S3 - Screening Tool Metrics'!$C$3:$G$17,5,FALSE)/100))*R80)</f>
        <v>51.47335863310051</v>
      </c>
      <c r="U80" s="706">
        <f>IF($C80="other",$C72*R80,(VLOOKUP($C80,'S3 - Screening Tool Metrics'!$C$3:$G$17,5,FALSE)/100)*R80)</f>
        <v>270.23513282377758</v>
      </c>
      <c r="V80" s="708">
        <f t="shared" si="62"/>
        <v>30.990267525662567</v>
      </c>
      <c r="W80" s="707">
        <f t="shared" si="63"/>
        <v>118164.53333333333</v>
      </c>
      <c r="X80" s="706">
        <f>VLOOKUP("*"&amp;$B80&amp;"*",'S4 - Summ PRS Characteristics'!$C$21:$Q$28,13,FALSE)*$J80</f>
        <v>191.215481227975</v>
      </c>
      <c r="Y80" s="706">
        <f t="shared" si="73"/>
        <v>680.78451877202497</v>
      </c>
      <c r="Z80" s="706">
        <f>IF($C80="other",(1-$C72)*X80,(1-(VLOOKUP($C80,'S3 - Screening Tool Metrics'!$C$3:$G$17,5,FALSE)/100))*X80)</f>
        <v>30.594476996476008</v>
      </c>
      <c r="AA80" s="706">
        <f>IF($C80="other",$C72*X80,(VLOOKUP($C80,'S3 - Screening Tool Metrics'!$C$3:$G$17,5,FALSE)/100)*X80)</f>
        <v>160.621004231499</v>
      </c>
      <c r="AB80" s="708">
        <f t="shared" si="64"/>
        <v>18.419839934804934</v>
      </c>
      <c r="AC80" s="707">
        <f t="shared" si="65"/>
        <v>59082.266666666663</v>
      </c>
      <c r="AD80" s="706">
        <f>VLOOKUP("*"&amp;$B80&amp;"*",'S4 - Summ PRS Characteristics'!$C$21:$Q$28,14,FALSE)*$J80</f>
        <v>111.24776205284677</v>
      </c>
      <c r="AE80" s="706">
        <f t="shared" si="75"/>
        <v>760.75223794715328</v>
      </c>
      <c r="AF80" s="706">
        <f>IF($C80="other",(1-$C72)*AD80,(1-(VLOOKUP($C80,'S3 - Screening Tool Metrics'!$C$3:$G$17,5,FALSE)/100))*AD80)</f>
        <v>17.799641928455486</v>
      </c>
      <c r="AG80" s="706">
        <f>IF($C80="other",$C72*AD80,(VLOOKUP($C80,'S3 - Screening Tool Metrics'!$C$3:$G$17,5,FALSE)/100)*AD80)</f>
        <v>93.448120124391281</v>
      </c>
      <c r="AH80" s="708">
        <f t="shared" si="66"/>
        <v>10.716527537200834</v>
      </c>
      <c r="AI80" s="707">
        <f t="shared" si="67"/>
        <v>11816.453333333333</v>
      </c>
      <c r="AJ80" s="706">
        <f>VLOOKUP("*"&amp;$B80&amp;"*",'S4 - Summ PRS Characteristics'!$C$21:$Q$28,15,FALSE)*$J80</f>
        <v>30.018082340440102</v>
      </c>
      <c r="AK80" s="706">
        <f t="shared" si="74"/>
        <v>841.98191765955994</v>
      </c>
      <c r="AL80" s="706">
        <f>IF($C80="other",(1-$C72)*AJ80,(1-(VLOOKUP($C80,'S3 - Screening Tool Metrics'!$C$3:$G$17,5,FALSE)/100))*AJ80)</f>
        <v>4.8028931744704177</v>
      </c>
      <c r="AM80" s="706">
        <f>IF($C80="other",$C72*AJ80,(VLOOKUP($C80,'S3 - Screening Tool Metrics'!$C$3:$G$17,5,FALSE)/100)*AJ80)</f>
        <v>25.215189165969687</v>
      </c>
      <c r="AN80" s="709">
        <f t="shared" si="68"/>
        <v>2.8916501337121199</v>
      </c>
    </row>
    <row r="81" spans="2:40" x14ac:dyDescent="0.15">
      <c r="B81" s="700" t="s">
        <v>13</v>
      </c>
      <c r="C81" s="721" t="str">
        <f>$C73</f>
        <v>MMS (CA-125 + TVU)</v>
      </c>
      <c r="D81" s="552" t="s">
        <v>200</v>
      </c>
      <c r="E81" s="710">
        <f>VLOOKUP($B81&amp;"_"&amp;$D81,'App5 - CRUK Inci Rates'!C:H,6,FALSE)</f>
        <v>0</v>
      </c>
      <c r="F81" s="711">
        <f>VLOOKUP($B81&amp;"_"&amp;$D81,'App5 - CRUK Inci Rates'!C:H,3,FALSE)</f>
        <v>30.440786428594748</v>
      </c>
      <c r="G81" s="712">
        <f>VLOOKUP($B81&amp;"_"&amp;$D81,'App5 - CRUK Inci Rates'!C:J,8,FALSE)</f>
        <v>12496392</v>
      </c>
      <c r="H81" s="713">
        <f>VLOOKUP($B81&amp;"_"&amp;$D81,'App5 - CRUK Inci Rates'!C:J,7,FALSE)</f>
        <v>0</v>
      </c>
      <c r="I81" s="713">
        <f>VLOOKUP($B81&amp;"_"&amp;$D81,'App5 - CRUK Inci Rates'!C:J,4,FALSE)</f>
        <v>12496392</v>
      </c>
      <c r="J81" s="709">
        <f>VLOOKUP($B81&amp;"_"&amp;$D81,'App5 - CRUK Inci Rates'!C:K,9,FALSE)</f>
        <v>3804</v>
      </c>
      <c r="K81" s="706">
        <f t="shared" si="69"/>
        <v>6248196</v>
      </c>
      <c r="L81" s="706">
        <f>VLOOKUP("*"&amp;$B81&amp;"*",'S4 - Summ PRS Characteristics'!$C$21:$Q$28,11,FALSE)*$J81</f>
        <v>2639.5978404099801</v>
      </c>
      <c r="M81" s="706">
        <f t="shared" si="70"/>
        <v>1164.4021595900199</v>
      </c>
      <c r="N81" s="706">
        <f>IF($C81="other",(1-$C$7)*L81,(1-(VLOOKUP($C81,'S3 - Screening Tool Metrics'!$C$3:$G$17,5,FALSE)/100))*L81)</f>
        <v>422.33565446559692</v>
      </c>
      <c r="O81" s="706">
        <f>IF($C81="other",$C$7*L81,(VLOOKUP($C81,'S3 - Screening Tool Metrics'!$C$3:$G$17,5,FALSE)/100)*L81)</f>
        <v>2217.2621859443834</v>
      </c>
      <c r="P81" s="706">
        <f t="shared" si="71"/>
        <v>58.287649472775591</v>
      </c>
      <c r="Q81" s="707">
        <f t="shared" si="61"/>
        <v>2499278.4</v>
      </c>
      <c r="R81" s="706">
        <f>VLOOKUP("*"&amp;$B81&amp;"*",'S4 - Summ PRS Characteristics'!$C$21:$Q$28,12,FALSE)*$J81</f>
        <v>1403.416400805005</v>
      </c>
      <c r="S81" s="706">
        <f t="shared" si="72"/>
        <v>2400.5835991949953</v>
      </c>
      <c r="T81" s="706">
        <f>IF($C81="other",(1-$C72)*R81,(1-(VLOOKUP($C81,'S3 - Screening Tool Metrics'!$C$3:$G$17,5,FALSE)/100))*R81)</f>
        <v>224.54662412880083</v>
      </c>
      <c r="U81" s="706">
        <f>IF($C81="other",$C72*R81,(VLOOKUP($C81,'S3 - Screening Tool Metrics'!$C$3:$G$17,5,FALSE)/100)*R81)</f>
        <v>1178.8697766762041</v>
      </c>
      <c r="V81" s="708">
        <f t="shared" si="62"/>
        <v>30.990267525662567</v>
      </c>
      <c r="W81" s="707">
        <f t="shared" si="63"/>
        <v>1249639.2</v>
      </c>
      <c r="X81" s="706">
        <f>VLOOKUP("*"&amp;$B81&amp;"*",'S4 - Summ PRS Characteristics'!$C$21:$Q$28,13,FALSE)*$J81</f>
        <v>834.15560847616621</v>
      </c>
      <c r="Y81" s="706">
        <f t="shared" si="73"/>
        <v>2969.844391523834</v>
      </c>
      <c r="Z81" s="706">
        <f>IF($C81="other",(1-$C72)*X81,(1-(VLOOKUP($C81,'S3 - Screening Tool Metrics'!$C$3:$G$17,5,FALSE)/100))*X81)</f>
        <v>133.46489735618661</v>
      </c>
      <c r="AA81" s="706">
        <f>IF($C81="other",$C72*X81,(VLOOKUP($C81,'S3 - Screening Tool Metrics'!$C$3:$G$17,5,FALSE)/100)*X81)</f>
        <v>700.6907111199796</v>
      </c>
      <c r="AB81" s="708">
        <f t="shared" si="64"/>
        <v>18.419839934804934</v>
      </c>
      <c r="AC81" s="707">
        <f t="shared" si="65"/>
        <v>624819.6</v>
      </c>
      <c r="AD81" s="706">
        <f>VLOOKUP("*"&amp;$B81&amp;"*",'S4 - Summ PRS Characteristics'!$C$21:$Q$28,14,FALSE)*$J81</f>
        <v>485.30560418466638</v>
      </c>
      <c r="AE81" s="706">
        <f t="shared" si="75"/>
        <v>3318.6943958153338</v>
      </c>
      <c r="AF81" s="706">
        <f>IF($C81="other",(1-$C72)*AD81,(1-(VLOOKUP($C81,'S3 - Screening Tool Metrics'!$C$3:$G$17,5,FALSE)/100))*AD81)</f>
        <v>77.64889666954663</v>
      </c>
      <c r="AG81" s="706">
        <f>IF($C81="other",$C72*AD81,(VLOOKUP($C81,'S3 - Screening Tool Metrics'!$C$3:$G$17,5,FALSE)/100)*AD81)</f>
        <v>407.65670751511976</v>
      </c>
      <c r="AH81" s="708">
        <f t="shared" si="66"/>
        <v>10.716527537200834</v>
      </c>
      <c r="AI81" s="707">
        <f t="shared" si="67"/>
        <v>124963.92</v>
      </c>
      <c r="AJ81" s="706">
        <f>VLOOKUP("*"&amp;$B81&amp;"*",'S4 - Summ PRS Characteristics'!$C$21:$Q$28,15,FALSE)*$J81</f>
        <v>130.95044176953456</v>
      </c>
      <c r="AK81" s="706">
        <f t="shared" si="74"/>
        <v>3673.0495582304657</v>
      </c>
      <c r="AL81" s="706">
        <f>IF($C81="other",(1-$C72)*AJ81,(1-(VLOOKUP($C81,'S3 - Screening Tool Metrics'!$C$3:$G$17,5,FALSE)/100))*AJ81)</f>
        <v>20.952070683125534</v>
      </c>
      <c r="AM81" s="706">
        <f>IF($C81="other",$C72*AJ81,(VLOOKUP($C81,'S3 - Screening Tool Metrics'!$C$3:$G$17,5,FALSE)/100)*AJ81)</f>
        <v>109.99837108640902</v>
      </c>
      <c r="AN81" s="709">
        <f t="shared" si="68"/>
        <v>2.8916501337121194</v>
      </c>
    </row>
    <row r="82" spans="2:40" x14ac:dyDescent="0.15">
      <c r="B82" s="700" t="s">
        <v>13</v>
      </c>
      <c r="C82" s="721" t="str">
        <f>$C73</f>
        <v>MMS (CA-125 + TVU)</v>
      </c>
      <c r="D82" s="552" t="s">
        <v>201</v>
      </c>
      <c r="E82" s="710">
        <f>VLOOKUP($B82&amp;"_"&amp;$D82,'App5 - CRUK Inci Rates'!C:H,6,FALSE)</f>
        <v>0</v>
      </c>
      <c r="F82" s="711">
        <f>VLOOKUP($B82&amp;"_"&amp;$D82,'App5 - CRUK Inci Rates'!C:H,3,FALSE)</f>
        <v>16.431323931422334</v>
      </c>
      <c r="G82" s="712">
        <f>VLOOKUP($B82&amp;"_"&amp;$D82,'App5 - CRUK Inci Rates'!C:J,8,FALSE)</f>
        <v>4369702.666666667</v>
      </c>
      <c r="H82" s="713">
        <f>VLOOKUP($B82&amp;"_"&amp;$D82,'App5 - CRUK Inci Rates'!C:J,7,FALSE)</f>
        <v>0</v>
      </c>
      <c r="I82" s="713">
        <f>VLOOKUP($B82&amp;"_"&amp;$D82,'App5 - CRUK Inci Rates'!C:J,4,FALSE)</f>
        <v>4369702.666666667</v>
      </c>
      <c r="J82" s="709">
        <f>VLOOKUP($B82&amp;"_"&amp;$D82,'App5 - CRUK Inci Rates'!C:K,9,FALSE)</f>
        <v>718</v>
      </c>
      <c r="K82" s="706">
        <f t="shared" si="69"/>
        <v>2184851.3333333335</v>
      </c>
      <c r="L82" s="706">
        <f>VLOOKUP("*"&amp;$B82&amp;"*",'S4 - Summ PRS Characteristics'!$C$21:$Q$28,11,FALSE)*$J82</f>
        <v>498.2206228744389</v>
      </c>
      <c r="M82" s="706">
        <f t="shared" si="70"/>
        <v>219.7793771255611</v>
      </c>
      <c r="N82" s="706">
        <f>IF($C82="other",(1-$C$7)*L82,(1-(VLOOKUP($C82,'S3 - Screening Tool Metrics'!$C$3:$G$17,5,FALSE)/100))*L82)</f>
        <v>79.715299659910244</v>
      </c>
      <c r="O82" s="706">
        <f>IF($C82="other",$C$7*L82,(VLOOKUP($C82,'S3 - Screening Tool Metrics'!$C$3:$G$17,5,FALSE)/100)*L82)</f>
        <v>418.50532321452869</v>
      </c>
      <c r="P82" s="706">
        <f t="shared" si="71"/>
        <v>58.287649472775584</v>
      </c>
      <c r="Q82" s="707">
        <f t="shared" si="61"/>
        <v>873940.53333333344</v>
      </c>
      <c r="R82" s="706">
        <f>VLOOKUP("*"&amp;$B82&amp;"*",'S4 - Summ PRS Characteristics'!$C$21:$Q$28,12,FALSE)*$J82</f>
        <v>264.89300099316341</v>
      </c>
      <c r="S82" s="706">
        <f t="shared" si="72"/>
        <v>453.10699900683659</v>
      </c>
      <c r="T82" s="706">
        <f>IF($C82="other",(1-$C72)*R82,(1-(VLOOKUP($C82,'S3 - Screening Tool Metrics'!$C$3:$G$17,5,FALSE)/100))*R82)</f>
        <v>42.382880158906154</v>
      </c>
      <c r="U82" s="706">
        <f>IF($C82="other",$C72*R82,(VLOOKUP($C82,'S3 - Screening Tool Metrics'!$C$3:$G$17,5,FALSE)/100)*R82)</f>
        <v>222.51012083425726</v>
      </c>
      <c r="V82" s="708">
        <f t="shared" si="62"/>
        <v>30.990267525662574</v>
      </c>
      <c r="W82" s="707">
        <f t="shared" si="63"/>
        <v>436970.26666666672</v>
      </c>
      <c r="X82" s="706">
        <f>VLOOKUP("*"&amp;$B82&amp;"*",'S4 - Summ PRS Characteristics'!$C$21:$Q$28,13,FALSE)*$J82</f>
        <v>157.44577468083261</v>
      </c>
      <c r="Y82" s="706">
        <f t="shared" si="73"/>
        <v>560.55422531916736</v>
      </c>
      <c r="Z82" s="706">
        <f>IF($C82="other",(1-$C72)*X82,(1-(VLOOKUP($C82,'S3 - Screening Tool Metrics'!$C$3:$G$17,5,FALSE)/100))*X82)</f>
        <v>25.191323948933224</v>
      </c>
      <c r="AA82" s="706">
        <f>IF($C82="other",$C72*X82,(VLOOKUP($C82,'S3 - Screening Tool Metrics'!$C$3:$G$17,5,FALSE)/100)*X82)</f>
        <v>132.2544507318994</v>
      </c>
      <c r="AB82" s="708">
        <f t="shared" si="64"/>
        <v>18.41983993480493</v>
      </c>
      <c r="AC82" s="707">
        <f t="shared" si="65"/>
        <v>218485.13333333336</v>
      </c>
      <c r="AD82" s="706">
        <f>VLOOKUP("*"&amp;$B82&amp;"*",'S4 - Summ PRS Characteristics'!$C$21:$Q$28,14,FALSE)*$J82</f>
        <v>91.6007949013119</v>
      </c>
      <c r="AE82" s="706">
        <f t="shared" si="75"/>
        <v>626.39920509868807</v>
      </c>
      <c r="AF82" s="706">
        <f>IF($C82="other",(1-$C72)*AD82,(1-(VLOOKUP($C82,'S3 - Screening Tool Metrics'!$C$3:$G$17,5,FALSE)/100))*AD82)</f>
        <v>14.656127184209907</v>
      </c>
      <c r="AG82" s="706">
        <f>IF($C82="other",$C72*AD82,(VLOOKUP($C82,'S3 - Screening Tool Metrics'!$C$3:$G$17,5,FALSE)/100)*AD82)</f>
        <v>76.944667717101993</v>
      </c>
      <c r="AH82" s="708">
        <f t="shared" si="66"/>
        <v>10.716527537200834</v>
      </c>
      <c r="AI82" s="707">
        <f t="shared" si="67"/>
        <v>43697.026666666672</v>
      </c>
      <c r="AJ82" s="706">
        <f>VLOOKUP("*"&amp;$B82&amp;"*",'S4 - Summ PRS Characteristics'!$C$21:$Q$28,15,FALSE)*$J82</f>
        <v>24.716723761967884</v>
      </c>
      <c r="AK82" s="706">
        <f t="shared" si="74"/>
        <v>693.28327623803216</v>
      </c>
      <c r="AL82" s="706">
        <f>IF($C82="other",(1-$C72)*AJ82,(1-(VLOOKUP($C82,'S3 - Screening Tool Metrics'!$C$3:$G$17,5,FALSE)/100))*AJ82)</f>
        <v>3.9546758019148625</v>
      </c>
      <c r="AM82" s="706">
        <f>IF($C82="other",$C72*AJ82,(VLOOKUP($C82,'S3 - Screening Tool Metrics'!$C$3:$G$17,5,FALSE)/100)*AJ82)</f>
        <v>20.762047960053021</v>
      </c>
      <c r="AN82" s="709">
        <f t="shared" si="68"/>
        <v>2.8916501337121199</v>
      </c>
    </row>
    <row r="83" spans="2:40" x14ac:dyDescent="0.15">
      <c r="B83" s="700" t="s">
        <v>13</v>
      </c>
      <c r="C83" s="721" t="str">
        <f>$C73</f>
        <v>MMS (CA-125 + TVU)</v>
      </c>
      <c r="D83" s="552" t="s">
        <v>202</v>
      </c>
      <c r="E83" s="710">
        <f>VLOOKUP($B83&amp;"_"&amp;$D83,'App5 - CRUK Inci Rates'!C:H,6,FALSE)</f>
        <v>0</v>
      </c>
      <c r="F83" s="711">
        <f>VLOOKUP($B83&amp;"_"&amp;$D83,'App5 - CRUK Inci Rates'!C:H,3,FALSE)</f>
        <v>30.729260202352247</v>
      </c>
      <c r="G83" s="712">
        <f>VLOOKUP($B83&amp;"_"&amp;$D83,'App5 - CRUK Inci Rates'!C:J,8,FALSE)</f>
        <v>4484325.333333334</v>
      </c>
      <c r="H83" s="713">
        <f>VLOOKUP($B83&amp;"_"&amp;$D83,'App5 - CRUK Inci Rates'!C:J,7,FALSE)</f>
        <v>0</v>
      </c>
      <c r="I83" s="713">
        <f>VLOOKUP($B83&amp;"_"&amp;$D83,'App5 - CRUK Inci Rates'!C:J,4,FALSE)</f>
        <v>4484325.333333334</v>
      </c>
      <c r="J83" s="709">
        <f>VLOOKUP($B83&amp;"_"&amp;$D83,'App5 - CRUK Inci Rates'!C:K,9,FALSE)</f>
        <v>1378</v>
      </c>
      <c r="K83" s="706">
        <f t="shared" si="69"/>
        <v>2242162.666666667</v>
      </c>
      <c r="L83" s="706">
        <f>VLOOKUP("*"&amp;$B83&amp;"*",'S4 - Summ PRS Characteristics'!$C$21:$Q$28,11,FALSE)*$J83</f>
        <v>956.19501158910418</v>
      </c>
      <c r="M83" s="706">
        <f t="shared" si="70"/>
        <v>421.80498841089582</v>
      </c>
      <c r="N83" s="706">
        <f>IF($C83="other",(1-$C$7)*L83,(1-(VLOOKUP($C83,'S3 - Screening Tool Metrics'!$C$3:$G$17,5,FALSE)/100))*L83)</f>
        <v>152.9912018542567</v>
      </c>
      <c r="O83" s="706">
        <f>IF($C83="other",$C$7*L83,(VLOOKUP($C83,'S3 - Screening Tool Metrics'!$C$3:$G$17,5,FALSE)/100)*L83)</f>
        <v>803.20380973484748</v>
      </c>
      <c r="P83" s="706">
        <f t="shared" si="71"/>
        <v>58.287649472775584</v>
      </c>
      <c r="Q83" s="707">
        <f t="shared" si="61"/>
        <v>896865.06666666688</v>
      </c>
      <c r="R83" s="706">
        <f>VLOOKUP("*"&amp;$B83&amp;"*",'S4 - Summ PRS Characteristics'!$C$21:$Q$28,12,FALSE)*$J83</f>
        <v>508.38796012336934</v>
      </c>
      <c r="S83" s="706">
        <f t="shared" si="72"/>
        <v>869.61203987663066</v>
      </c>
      <c r="T83" s="706">
        <f>IF($C83="other",(1-$C72)*R83,(1-(VLOOKUP($C83,'S3 - Screening Tool Metrics'!$C$3:$G$17,5,FALSE)/100))*R83)</f>
        <v>81.342073619739111</v>
      </c>
      <c r="U83" s="706">
        <f>IF($C83="other",$C72*R83,(VLOOKUP($C83,'S3 - Screening Tool Metrics'!$C$3:$G$17,5,FALSE)/100)*R83)</f>
        <v>427.04588650363024</v>
      </c>
      <c r="V83" s="708">
        <f t="shared" si="62"/>
        <v>30.990267525662574</v>
      </c>
      <c r="W83" s="707">
        <f t="shared" si="63"/>
        <v>448432.53333333344</v>
      </c>
      <c r="X83" s="706">
        <f>VLOOKUP("*"&amp;$B83&amp;"*",'S4 - Summ PRS Characteristics'!$C$21:$Q$28,13,FALSE)*$J83</f>
        <v>302.17308845429994</v>
      </c>
      <c r="Y83" s="706">
        <f t="shared" si="73"/>
        <v>1075.8269115457001</v>
      </c>
      <c r="Z83" s="706">
        <f>IF($C83="other",(1-$C72)*X83,(1-(VLOOKUP($C83,'S3 - Screening Tool Metrics'!$C$3:$G$17,5,FALSE)/100))*X83)</f>
        <v>48.347694152688</v>
      </c>
      <c r="AA83" s="706">
        <f>IF($C83="other",$C72*X83,(VLOOKUP($C83,'S3 - Screening Tool Metrics'!$C$3:$G$17,5,FALSE)/100)*X83)</f>
        <v>253.82539430161194</v>
      </c>
      <c r="AB83" s="708">
        <f t="shared" si="64"/>
        <v>18.41983993480493</v>
      </c>
      <c r="AC83" s="707">
        <f t="shared" si="65"/>
        <v>224216.26666666672</v>
      </c>
      <c r="AD83" s="706">
        <f>VLOOKUP("*"&amp;$B83&amp;"*",'S4 - Summ PRS Characteristics'!$C$21:$Q$28,14,FALSE)*$J83</f>
        <v>175.80208269360418</v>
      </c>
      <c r="AE83" s="706">
        <f t="shared" si="75"/>
        <v>1202.1979173063958</v>
      </c>
      <c r="AF83" s="706">
        <f>IF($C83="other",(1-$C72)*AD83,(1-(VLOOKUP($C83,'S3 - Screening Tool Metrics'!$C$3:$G$17,5,FALSE)/100))*AD83)</f>
        <v>28.128333230976672</v>
      </c>
      <c r="AG83" s="706">
        <f>IF($C83="other",$C72*AD83,(VLOOKUP($C83,'S3 - Screening Tool Metrics'!$C$3:$G$17,5,FALSE)/100)*AD83)</f>
        <v>147.67374946262751</v>
      </c>
      <c r="AH83" s="708">
        <f t="shared" si="66"/>
        <v>10.716527537200836</v>
      </c>
      <c r="AI83" s="707">
        <f t="shared" si="67"/>
        <v>44843.253333333341</v>
      </c>
      <c r="AJ83" s="706">
        <f>VLOOKUP("*"&amp;$B83&amp;"*",'S4 - Summ PRS Characteristics'!$C$21:$Q$28,15,FALSE)*$J83</f>
        <v>47.436831955420253</v>
      </c>
      <c r="AK83" s="706">
        <f t="shared" si="74"/>
        <v>1330.5631680445797</v>
      </c>
      <c r="AL83" s="706">
        <f>IF($C83="other",(1-$C72)*AJ83,(1-(VLOOKUP($C83,'S3 - Screening Tool Metrics'!$C$3:$G$17,5,FALSE)/100))*AJ83)</f>
        <v>7.5898931128672418</v>
      </c>
      <c r="AM83" s="706">
        <f>IF($C83="other",$C72*AJ83,(VLOOKUP($C83,'S3 - Screening Tool Metrics'!$C$3:$G$17,5,FALSE)/100)*AJ83)</f>
        <v>39.846938842553008</v>
      </c>
      <c r="AN83" s="709">
        <f t="shared" si="68"/>
        <v>2.8916501337121194</v>
      </c>
    </row>
    <row r="84" spans="2:40" x14ac:dyDescent="0.15">
      <c r="B84" s="700" t="s">
        <v>13</v>
      </c>
      <c r="C84" s="721" t="str">
        <f>$C73</f>
        <v>MMS (CA-125 + TVU)</v>
      </c>
      <c r="D84" s="552" t="s">
        <v>203</v>
      </c>
      <c r="E84" s="710">
        <f>VLOOKUP($B84&amp;"_"&amp;$D84,'App5 - CRUK Inci Rates'!C:H,6,FALSE)</f>
        <v>0</v>
      </c>
      <c r="F84" s="711">
        <f>VLOOKUP($B84&amp;"_"&amp;$D84,'App5 - CRUK Inci Rates'!C:H,3,FALSE)</f>
        <v>37.973643059568168</v>
      </c>
      <c r="G84" s="712">
        <f>VLOOKUP($B84&amp;"_"&amp;$D84,'App5 - CRUK Inci Rates'!C:J,8,FALSE)</f>
        <v>8126689.333333334</v>
      </c>
      <c r="H84" s="713">
        <f>VLOOKUP($B84&amp;"_"&amp;$D84,'App5 - CRUK Inci Rates'!C:J,7,FALSE)</f>
        <v>0</v>
      </c>
      <c r="I84" s="713">
        <f>VLOOKUP($B84&amp;"_"&amp;$D84,'App5 - CRUK Inci Rates'!C:J,4,FALSE)</f>
        <v>8126689.333333334</v>
      </c>
      <c r="J84" s="709">
        <f>VLOOKUP($B84&amp;"_"&amp;$D84,'App5 - CRUK Inci Rates'!C:K,9,FALSE)</f>
        <v>3086</v>
      </c>
      <c r="K84" s="706">
        <f t="shared" si="69"/>
        <v>4063344.666666667</v>
      </c>
      <c r="L84" s="706">
        <f>VLOOKUP("*"&amp;$B84&amp;"*",'S4 - Summ PRS Characteristics'!$C$21:$Q$28,11,FALSE)*$J84</f>
        <v>2141.3772175355411</v>
      </c>
      <c r="M84" s="706">
        <f t="shared" si="70"/>
        <v>944.62278246445885</v>
      </c>
      <c r="N84" s="706">
        <f>IF($C84="other",(1-$C$7)*L84,(1-(VLOOKUP($C84,'S3 - Screening Tool Metrics'!$C$3:$G$17,5,FALSE)/100))*L84)</f>
        <v>342.62035480568665</v>
      </c>
      <c r="O84" s="706">
        <f>IF($C84="other",$C$7*L84,(VLOOKUP($C84,'S3 - Screening Tool Metrics'!$C$3:$G$17,5,FALSE)/100)*L84)</f>
        <v>1798.7568627298544</v>
      </c>
      <c r="P84" s="706">
        <f t="shared" si="71"/>
        <v>58.287649472775584</v>
      </c>
      <c r="Q84" s="707">
        <f t="shared" si="61"/>
        <v>1625337.8666666669</v>
      </c>
      <c r="R84" s="706">
        <f>VLOOKUP("*"&amp;$B84&amp;"*",'S4 - Summ PRS Characteristics'!$C$21:$Q$28,12,FALSE)*$J84</f>
        <v>1138.5233998118417</v>
      </c>
      <c r="S84" s="706">
        <f t="shared" si="72"/>
        <v>1947.4766001881583</v>
      </c>
      <c r="T84" s="706">
        <f>IF($C84="other",(1-$C72)*R84,(1-(VLOOKUP($C84,'S3 - Screening Tool Metrics'!$C$3:$G$17,5,FALSE)/100))*R84)</f>
        <v>182.16374396989471</v>
      </c>
      <c r="U84" s="706">
        <f>IF($C84="other",$C72*R84,(VLOOKUP($C84,'S3 - Screening Tool Metrics'!$C$3:$G$17,5,FALSE)/100)*R84)</f>
        <v>956.35965584194696</v>
      </c>
      <c r="V84" s="708">
        <f t="shared" si="62"/>
        <v>30.990267525662574</v>
      </c>
      <c r="W84" s="707">
        <f t="shared" si="63"/>
        <v>812668.93333333347</v>
      </c>
      <c r="X84" s="706">
        <f>VLOOKUP("*"&amp;$B84&amp;"*",'S4 - Summ PRS Characteristics'!$C$21:$Q$28,13,FALSE)*$J84</f>
        <v>676.70983379533357</v>
      </c>
      <c r="Y84" s="706">
        <f t="shared" si="73"/>
        <v>2409.2901662046665</v>
      </c>
      <c r="Z84" s="706">
        <f>IF($C84="other",(1-$C72)*X84,(1-(VLOOKUP($C84,'S3 - Screening Tool Metrics'!$C$3:$G$17,5,FALSE)/100))*X84)</f>
        <v>108.27357340725339</v>
      </c>
      <c r="AA84" s="706">
        <f>IF($C84="other",$C72*X84,(VLOOKUP($C84,'S3 - Screening Tool Metrics'!$C$3:$G$17,5,FALSE)/100)*X84)</f>
        <v>568.4362603880802</v>
      </c>
      <c r="AB84" s="708">
        <f t="shared" si="64"/>
        <v>18.419839934804934</v>
      </c>
      <c r="AC84" s="707">
        <f t="shared" si="65"/>
        <v>406334.46666666673</v>
      </c>
      <c r="AD84" s="706">
        <f>VLOOKUP("*"&amp;$B84&amp;"*",'S4 - Summ PRS Characteristics'!$C$21:$Q$28,14,FALSE)*$J84</f>
        <v>393.70480928335451</v>
      </c>
      <c r="AE84" s="706">
        <f t="shared" si="75"/>
        <v>2692.2951907166453</v>
      </c>
      <c r="AF84" s="706">
        <f>IF($C84="other",(1-$C72)*AD84,(1-(VLOOKUP($C84,'S3 - Screening Tool Metrics'!$C$3:$G$17,5,FALSE)/100))*AD84)</f>
        <v>62.99276948533673</v>
      </c>
      <c r="AG84" s="706">
        <f>IF($C84="other",$C72*AD84,(VLOOKUP($C84,'S3 - Screening Tool Metrics'!$C$3:$G$17,5,FALSE)/100)*AD84)</f>
        <v>330.71203979801777</v>
      </c>
      <c r="AH84" s="708">
        <f t="shared" si="66"/>
        <v>10.716527537200834</v>
      </c>
      <c r="AI84" s="707">
        <f t="shared" si="67"/>
        <v>81266.893333333341</v>
      </c>
      <c r="AJ84" s="706">
        <f>VLOOKUP("*"&amp;$B84&amp;"*",'S4 - Summ PRS Characteristics'!$C$21:$Q$28,15,FALSE)*$J84</f>
        <v>106.23371800756669</v>
      </c>
      <c r="AK84" s="706">
        <f t="shared" si="74"/>
        <v>2979.7662819924335</v>
      </c>
      <c r="AL84" s="706">
        <f>IF($C84="other",(1-$C72)*AJ84,(1-(VLOOKUP($C84,'S3 - Screening Tool Metrics'!$C$3:$G$17,5,FALSE)/100))*AJ84)</f>
        <v>16.997394881210674</v>
      </c>
      <c r="AM84" s="706">
        <f>IF($C84="other",$C72*AJ84,(VLOOKUP($C84,'S3 - Screening Tool Metrics'!$C$3:$G$17,5,FALSE)/100)*AJ84)</f>
        <v>89.236323126356012</v>
      </c>
      <c r="AN84" s="709">
        <f t="shared" si="68"/>
        <v>2.8916501337121194</v>
      </c>
    </row>
    <row r="85" spans="2:40" x14ac:dyDescent="0.15">
      <c r="B85" s="700" t="s">
        <v>13</v>
      </c>
      <c r="C85" s="721" t="str">
        <f>$C74</f>
        <v>MMS (CA-125 + TVU)</v>
      </c>
      <c r="D85" s="552" t="s">
        <v>292</v>
      </c>
      <c r="E85" s="710">
        <f>VLOOKUP($B85&amp;"_"&amp;$D85,'App5 - CRUK Inci Rates'!C:H,6,FALSE)</f>
        <v>0</v>
      </c>
      <c r="F85" s="711">
        <f>VLOOKUP($B85&amp;"_"&amp;$D85,'App5 - CRUK Inci Rates'!C:H,3,FALSE)</f>
        <v>51.143985282427074</v>
      </c>
      <c r="G85" s="712">
        <f>VLOOKUP($B85&amp;"_"&amp;$D85,'App5 - CRUK Inci Rates'!C:J,8,FALSE)</f>
        <v>5245973.666666667</v>
      </c>
      <c r="H85" s="713">
        <f>VLOOKUP($B85&amp;"_"&amp;$D85,'App5 - CRUK Inci Rates'!C:J,7,FALSE)</f>
        <v>0</v>
      </c>
      <c r="I85" s="713">
        <f>VLOOKUP($B85&amp;"_"&amp;$D85,'App5 - CRUK Inci Rates'!C:J,4,FALSE)</f>
        <v>5245973.666666667</v>
      </c>
      <c r="J85" s="709">
        <f>VLOOKUP($B85&amp;"_"&amp;$D85,'App5 - CRUK Inci Rates'!C:K,9,FALSE)</f>
        <v>2683</v>
      </c>
      <c r="K85" s="706">
        <f t="shared" si="69"/>
        <v>2622986.8333333335</v>
      </c>
      <c r="L85" s="706">
        <f>VLOOKUP("*"&amp;$B85&amp;"*",'S4 - Summ PRS Characteristics'!$C$21:$Q$28,11,FALSE)*$J85</f>
        <v>1861.7352801840107</v>
      </c>
      <c r="M85" s="706">
        <f t="shared" si="70"/>
        <v>821.26471981598934</v>
      </c>
      <c r="N85" s="706">
        <f>IF($C85="other",(1-$C$7)*L85,(1-(VLOOKUP($C85,'S3 - Screening Tool Metrics'!$C$3:$G$17,5,FALSE)/100))*L85)</f>
        <v>297.87764482944175</v>
      </c>
      <c r="O85" s="706">
        <f>IF($C85="other",$C$7*L85,(VLOOKUP($C85,'S3 - Screening Tool Metrics'!$C$3:$G$17,5,FALSE)/100)*L85)</f>
        <v>1563.8576353545689</v>
      </c>
      <c r="P85" s="706">
        <f t="shared" si="71"/>
        <v>58.287649472775584</v>
      </c>
      <c r="Q85" s="707">
        <f>$G85*Q$3</f>
        <v>1049194.7333333334</v>
      </c>
      <c r="R85" s="706">
        <f>VLOOKUP("*"&amp;$B85&amp;"*",'S4 - Summ PRS Characteristics'!$C$21:$Q$28,12,FALSE)*$J85</f>
        <v>989.8439020399129</v>
      </c>
      <c r="S85" s="706">
        <f t="shared" si="72"/>
        <v>1693.1560979600872</v>
      </c>
      <c r="T85" s="706">
        <f>IF($C85="other",(1-$C72)*R85,(1-(VLOOKUP($C85,'S3 - Screening Tool Metrics'!$C$3:$G$17,5,FALSE)/100))*R85)</f>
        <v>158.3750243263861</v>
      </c>
      <c r="U85" s="706">
        <f>IF($C85="other",$C72*R85,(VLOOKUP($C85,'S3 - Screening Tool Metrics'!$C$3:$G$17,5,FALSE)/100)*R85)</f>
        <v>831.46887771352681</v>
      </c>
      <c r="V85" s="708">
        <f t="shared" si="62"/>
        <v>30.990267525662574</v>
      </c>
      <c r="W85" s="707">
        <f t="shared" si="63"/>
        <v>524597.3666666667</v>
      </c>
      <c r="X85" s="706">
        <f>VLOOKUP("*"&amp;$B85&amp;"*",'S4 - Summ PRS Characteristics'!$C$21:$Q$28,13,FALSE)*$J85</f>
        <v>588.33845887001939</v>
      </c>
      <c r="Y85" s="706">
        <f t="shared" si="73"/>
        <v>2094.6615411299808</v>
      </c>
      <c r="Z85" s="706">
        <f>IF($C85="other",(1-$C72)*X85,(1-(VLOOKUP($C85,'S3 - Screening Tool Metrics'!$C$3:$G$17,5,FALSE)/100))*X85)</f>
        <v>94.134153419203116</v>
      </c>
      <c r="AA85" s="706">
        <f>IF($C85="other",$C72*X85,(VLOOKUP($C85,'S3 - Screening Tool Metrics'!$C$3:$G$17,5,FALSE)/100)*X85)</f>
        <v>494.20430545081626</v>
      </c>
      <c r="AB85" s="708">
        <f t="shared" si="64"/>
        <v>18.41983993480493</v>
      </c>
      <c r="AC85" s="707">
        <f t="shared" si="65"/>
        <v>262298.68333333335</v>
      </c>
      <c r="AD85" s="706">
        <f>VLOOKUP("*"&amp;$B85&amp;"*",'S4 - Summ PRS Characteristics'!$C$21:$Q$28,14,FALSE)*$J85</f>
        <v>342.2909926465457</v>
      </c>
      <c r="AE85" s="706">
        <f t="shared" si="75"/>
        <v>2340.7090073534541</v>
      </c>
      <c r="AF85" s="706">
        <f>IF($C85="other",(1-$C72)*AD85,(1-(VLOOKUP($C85,'S3 - Screening Tool Metrics'!$C$3:$G$17,5,FALSE)/100))*AD85)</f>
        <v>54.766558823447326</v>
      </c>
      <c r="AG85" s="706">
        <f>IF($C85="other",$C72*AD85,(VLOOKUP($C85,'S3 - Screening Tool Metrics'!$C$3:$G$17,5,FALSE)/100)*AD85)</f>
        <v>287.52443382309838</v>
      </c>
      <c r="AH85" s="708">
        <f t="shared" si="66"/>
        <v>10.716527537200834</v>
      </c>
      <c r="AI85" s="707">
        <f t="shared" si="67"/>
        <v>52459.736666666671</v>
      </c>
      <c r="AJ85" s="706">
        <f>VLOOKUP("*"&amp;$B85&amp;"*",'S4 - Summ PRS Characteristics'!$C$21:$Q$28,15,FALSE)*$J85</f>
        <v>92.360682247019255</v>
      </c>
      <c r="AK85" s="706">
        <f t="shared" si="74"/>
        <v>2590.6393177529808</v>
      </c>
      <c r="AL85" s="706">
        <f>IF($C85="other",(1-$C72)*AJ85,(1-(VLOOKUP($C85,'S3 - Screening Tool Metrics'!$C$3:$G$17,5,FALSE)/100))*AJ85)</f>
        <v>14.777709159523084</v>
      </c>
      <c r="AM85" s="706">
        <f>IF($C85="other",$C72*AJ85,(VLOOKUP($C85,'S3 - Screening Tool Metrics'!$C$3:$G$17,5,FALSE)/100)*AJ85)</f>
        <v>77.582973087496171</v>
      </c>
      <c r="AN85" s="709">
        <f t="shared" si="68"/>
        <v>2.8916501337121194</v>
      </c>
    </row>
    <row r="86" spans="2:40" x14ac:dyDescent="0.15">
      <c r="B86" s="700" t="s">
        <v>13</v>
      </c>
      <c r="C86" s="721" t="str">
        <f>$C73</f>
        <v>MMS (CA-125 + TVU)</v>
      </c>
      <c r="D86" s="552" t="s">
        <v>204</v>
      </c>
      <c r="E86" s="710">
        <f>VLOOKUP($B86&amp;"_"&amp;$D86,'App5 - CRUK Inci Rates'!C:H,6,FALSE)</f>
        <v>0</v>
      </c>
      <c r="F86" s="711">
        <f>VLOOKUP($B86&amp;"_"&amp;$D86,'App5 - CRUK Inci Rates'!C:H,3,FALSE)</f>
        <v>36.978998402462771</v>
      </c>
      <c r="G86" s="712">
        <f>VLOOKUP($B86&amp;"_"&amp;$D86,'App5 - CRUK Inci Rates'!C:J,8,FALSE)</f>
        <v>15281647</v>
      </c>
      <c r="H86" s="713">
        <f>VLOOKUP($B86&amp;"_"&amp;$D86,'App5 - CRUK Inci Rates'!C:J,7,FALSE)</f>
        <v>0</v>
      </c>
      <c r="I86" s="713">
        <f>VLOOKUP($B86&amp;"_"&amp;$D86,'App5 - CRUK Inci Rates'!C:J,4,FALSE)</f>
        <v>15281647</v>
      </c>
      <c r="J86" s="709">
        <f>VLOOKUP($B86&amp;"_"&amp;$D86,'App5 - CRUK Inci Rates'!C:K,9,FALSE)</f>
        <v>5651</v>
      </c>
      <c r="K86" s="706">
        <f t="shared" si="69"/>
        <v>7640823.5</v>
      </c>
      <c r="L86" s="706">
        <f>VLOOKUP("*"&amp;$B86&amp;"*",'S4 - Summ PRS Characteristics'!$C$21:$Q$28,11,FALSE)*$J86</f>
        <v>3921.2322282220812</v>
      </c>
      <c r="M86" s="706">
        <f t="shared" si="70"/>
        <v>1729.7677717779188</v>
      </c>
      <c r="N86" s="706">
        <f>IF($C86="other",(1-$C$7)*L86,(1-(VLOOKUP($C86,'S3 - Screening Tool Metrics'!$C$3:$G$17,5,FALSE)/100))*L86)</f>
        <v>627.39715651553308</v>
      </c>
      <c r="O86" s="706">
        <f>IF($C86="other",$C$7*L86,(VLOOKUP($C86,'S3 - Screening Tool Metrics'!$C$3:$G$17,5,FALSE)/100)*L86)</f>
        <v>3293.8350717065482</v>
      </c>
      <c r="P86" s="706">
        <f t="shared" si="71"/>
        <v>58.287649472775584</v>
      </c>
      <c r="Q86" s="707">
        <f t="shared" si="61"/>
        <v>3056329.4000000004</v>
      </c>
      <c r="R86" s="706">
        <f>VLOOKUP("*"&amp;$B86&amp;"*",'S4 - Summ PRS Characteristics'!$C$21:$Q$28,12,FALSE)*$J86</f>
        <v>2084.833354613324</v>
      </c>
      <c r="S86" s="706">
        <f t="shared" si="72"/>
        <v>3566.166645386676</v>
      </c>
      <c r="T86" s="706">
        <f>IF($C86="other",(1-$C72)*R86,(1-(VLOOKUP($C86,'S3 - Screening Tool Metrics'!$C$3:$G$17,5,FALSE)/100))*R86)</f>
        <v>333.5733367381319</v>
      </c>
      <c r="U86" s="706">
        <f>IF($C86="other",$C72*R86,(VLOOKUP($C86,'S3 - Screening Tool Metrics'!$C$3:$G$17,5,FALSE)/100)*R86)</f>
        <v>1751.260017875192</v>
      </c>
      <c r="V86" s="708">
        <f t="shared" si="62"/>
        <v>30.990267525662574</v>
      </c>
      <c r="W86" s="707">
        <f t="shared" si="63"/>
        <v>1528164.7000000002</v>
      </c>
      <c r="X86" s="706">
        <f>VLOOKUP("*"&amp;$B86&amp;"*",'S4 - Summ PRS Characteristics'!$C$21:$Q$28,13,FALSE)*$J86</f>
        <v>1239.1728032331271</v>
      </c>
      <c r="Y86" s="706">
        <f t="shared" si="73"/>
        <v>4411.8271967668734</v>
      </c>
      <c r="Z86" s="706">
        <f>IF($C86="other",(1-$C72)*X86,(1-(VLOOKUP($C86,'S3 - Screening Tool Metrics'!$C$3:$G$17,5,FALSE)/100))*X86)</f>
        <v>198.26764851730036</v>
      </c>
      <c r="AA86" s="706">
        <f>IF($C86="other",$C72*X86,(VLOOKUP($C86,'S3 - Screening Tool Metrics'!$C$3:$G$17,5,FALSE)/100)*X86)</f>
        <v>1040.9051547158267</v>
      </c>
      <c r="AB86" s="708">
        <f t="shared" si="64"/>
        <v>18.419839934804934</v>
      </c>
      <c r="AC86" s="707">
        <f t="shared" si="65"/>
        <v>764082.35000000009</v>
      </c>
      <c r="AD86" s="706">
        <f>VLOOKUP("*"&amp;$B86&amp;"*",'S4 - Summ PRS Characteristics'!$C$21:$Q$28,14,FALSE)*$J86</f>
        <v>720.94163229430853</v>
      </c>
      <c r="AE86" s="706">
        <f t="shared" si="75"/>
        <v>4930.0583677056911</v>
      </c>
      <c r="AF86" s="706">
        <f>IF($C86="other",(1-$C72)*AD86,(1-(VLOOKUP($C86,'S3 - Screening Tool Metrics'!$C$3:$G$17,5,FALSE)/100))*AD86)</f>
        <v>115.35066116708938</v>
      </c>
      <c r="AG86" s="706">
        <f>IF($C86="other",$C72*AD86,(VLOOKUP($C86,'S3 - Screening Tool Metrics'!$C$3:$G$17,5,FALSE)/100)*AD86)</f>
        <v>605.59097112721918</v>
      </c>
      <c r="AH86" s="708">
        <f t="shared" si="66"/>
        <v>10.716527537200834</v>
      </c>
      <c r="AI86" s="707">
        <f t="shared" si="67"/>
        <v>152816.47</v>
      </c>
      <c r="AJ86" s="706">
        <f>VLOOKUP("*"&amp;$B86&amp;"*",'S4 - Summ PRS Characteristics'!$C$21:$Q$28,15,FALSE)*$J86</f>
        <v>194.5323203048475</v>
      </c>
      <c r="AK86" s="706">
        <f t="shared" si="74"/>
        <v>5456.4676796951526</v>
      </c>
      <c r="AL86" s="706">
        <f>IF($C86="other",(1-$C72)*AJ86,(1-(VLOOKUP($C86,'S3 - Screening Tool Metrics'!$C$3:$G$17,5,FALSE)/100))*AJ86)</f>
        <v>31.125171248775608</v>
      </c>
      <c r="AM86" s="706">
        <f>IF($C86="other",$C72*AJ86,(VLOOKUP($C86,'S3 - Screening Tool Metrics'!$C$3:$G$17,5,FALSE)/100)*AJ86)</f>
        <v>163.40714905607189</v>
      </c>
      <c r="AN86" s="709">
        <f t="shared" si="68"/>
        <v>2.8916501337121194</v>
      </c>
    </row>
    <row r="87" spans="2:40" ht="14" thickBot="1" x14ac:dyDescent="0.2">
      <c r="B87" s="700" t="s">
        <v>13</v>
      </c>
      <c r="C87" s="721" t="str">
        <f>$C74</f>
        <v>MMS (CA-125 + TVU)</v>
      </c>
      <c r="D87" s="552" t="s">
        <v>205</v>
      </c>
      <c r="E87" s="710">
        <f>VLOOKUP($B87&amp;"_"&amp;$D87,'App5 - CRUK Inci Rates'!C:H,6,FALSE)</f>
        <v>0</v>
      </c>
      <c r="F87" s="711">
        <f>VLOOKUP($B87&amp;"_"&amp;$D87,'App5 - CRUK Inci Rates'!C:H,3,FALSE)</f>
        <v>22.8</v>
      </c>
      <c r="G87" s="712">
        <f>VLOOKUP($B87&amp;"_"&amp;$D87,'App5 - CRUK Inci Rates'!C:J,8,FALSE)</f>
        <v>33458051.999999996</v>
      </c>
      <c r="H87" s="713">
        <f>VLOOKUP($B87&amp;"_"&amp;$D87,'App5 - CRUK Inci Rates'!C:J,7,FALSE)</f>
        <v>0</v>
      </c>
      <c r="I87" s="713">
        <f>VLOOKUP($B87&amp;"_"&amp;$D87,'App5 - CRUK Inci Rates'!C:J,4,FALSE)</f>
        <v>33458051.999999996</v>
      </c>
      <c r="J87" s="709">
        <f>VLOOKUP($B87&amp;"_"&amp;$D87,'App5 - CRUK Inci Rates'!C:K,9,FALSE)</f>
        <v>7495</v>
      </c>
      <c r="K87" s="716"/>
      <c r="L87" s="716"/>
      <c r="M87" s="716"/>
      <c r="N87" s="716"/>
      <c r="O87" s="716"/>
      <c r="P87" s="716"/>
      <c r="Q87" s="715"/>
      <c r="R87" s="716"/>
      <c r="S87" s="716"/>
      <c r="T87" s="716"/>
      <c r="U87" s="716"/>
      <c r="V87" s="717"/>
      <c r="W87" s="715"/>
      <c r="X87" s="716"/>
      <c r="Y87" s="716"/>
      <c r="Z87" s="716"/>
      <c r="AA87" s="716"/>
      <c r="AB87" s="717"/>
      <c r="AC87" s="716"/>
      <c r="AD87" s="716"/>
      <c r="AE87" s="716"/>
      <c r="AF87" s="716"/>
      <c r="AG87" s="716"/>
      <c r="AH87" s="717"/>
      <c r="AI87" s="734"/>
      <c r="AJ87" s="735"/>
      <c r="AK87" s="735"/>
      <c r="AL87" s="735"/>
      <c r="AM87" s="735"/>
      <c r="AN87" s="736"/>
    </row>
    <row r="88" spans="2:40" ht="21" customHeight="1" thickBot="1" x14ac:dyDescent="0.2">
      <c r="B88" s="686" t="s">
        <v>14</v>
      </c>
      <c r="C88" s="687"/>
      <c r="D88" s="688"/>
      <c r="E88" s="689"/>
      <c r="F88" s="690"/>
      <c r="G88" s="691"/>
      <c r="H88" s="692"/>
      <c r="I88" s="692"/>
      <c r="J88" s="693"/>
      <c r="K88" s="694"/>
      <c r="L88" s="694"/>
      <c r="M88" s="694"/>
      <c r="N88" s="694"/>
      <c r="O88" s="694"/>
      <c r="P88" s="694"/>
      <c r="Q88" s="695"/>
      <c r="R88" s="696"/>
      <c r="S88" s="696"/>
      <c r="T88" s="696"/>
      <c r="U88" s="696"/>
      <c r="V88" s="697"/>
      <c r="W88" s="695"/>
      <c r="X88" s="696"/>
      <c r="Y88" s="696"/>
      <c r="Z88" s="696"/>
      <c r="AA88" s="696"/>
      <c r="AB88" s="697"/>
      <c r="AC88" s="695"/>
      <c r="AD88" s="696"/>
      <c r="AE88" s="696"/>
      <c r="AF88" s="696"/>
      <c r="AG88" s="696"/>
      <c r="AH88" s="697"/>
      <c r="AI88" s="695"/>
      <c r="AJ88" s="696"/>
      <c r="AK88" s="696"/>
      <c r="AL88" s="696"/>
      <c r="AM88" s="696"/>
      <c r="AN88" s="699"/>
    </row>
    <row r="89" spans="2:40" x14ac:dyDescent="0.15">
      <c r="B89" s="700" t="s">
        <v>14</v>
      </c>
      <c r="C89" s="720" t="s">
        <v>166</v>
      </c>
      <c r="D89" s="593" t="s">
        <v>192</v>
      </c>
      <c r="E89" s="701">
        <f>VLOOKUP($B89&amp;"_"&amp;$D89,'App5 - CRUK Inci Rates'!C:H,6,FALSE)</f>
        <v>10.1</v>
      </c>
      <c r="F89" s="702">
        <f>VLOOKUP($B89&amp;"_"&amp;$D89,'App5 - CRUK Inci Rates'!C:H,3,FALSE)</f>
        <v>5</v>
      </c>
      <c r="G89" s="703">
        <f>VLOOKUP($B89&amp;"_"&amp;$D89,'App5 - CRUK Inci Rates'!C:J,8,FALSE)</f>
        <v>4075608</v>
      </c>
      <c r="H89" s="704">
        <f>VLOOKUP($B89&amp;"_"&amp;$D89,'App5 - CRUK Inci Rates'!C:J,7,FALSE)</f>
        <v>2021384.6666666667</v>
      </c>
      <c r="I89" s="704">
        <f>VLOOKUP($B89&amp;"_"&amp;$D89,'App5 - CRUK Inci Rates'!C:J,4,FALSE)</f>
        <v>2054223.3333333333</v>
      </c>
      <c r="J89" s="705">
        <f>VLOOKUP($B89&amp;"_"&amp;$D89,'App5 - CRUK Inci Rates'!C:K,9,FALSE)</f>
        <v>307</v>
      </c>
      <c r="K89" s="706">
        <f t="shared" si="69"/>
        <v>2037804</v>
      </c>
      <c r="L89" s="706">
        <f>VLOOKUP("*"&amp;$B89&amp;"*",'S4 - Summ PRS Characteristics'!$C$21:$Q$28,11,FALSE)*$J89</f>
        <v>236.64771935857385</v>
      </c>
      <c r="M89" s="706">
        <f t="shared" si="70"/>
        <v>70.352280641426148</v>
      </c>
      <c r="N89" s="706">
        <f>IF($C89="other",(1-$C$7)*L89,(1-(VLOOKUP($C89,'S3 - Screening Tool Metrics'!$C$3:$G$17,5,FALSE)/100))*L89)</f>
        <v>64.131531946173496</v>
      </c>
      <c r="O89" s="706">
        <f>IF($C89="other",$C$7*L89,(VLOOKUP($C89,'S3 - Screening Tool Metrics'!$C$3:$G$17,5,FALSE)/100)*L89)</f>
        <v>172.51618741240037</v>
      </c>
      <c r="P89" s="706">
        <f t="shared" si="71"/>
        <v>56.194197854202073</v>
      </c>
      <c r="Q89" s="707">
        <f t="shared" ref="Q89:Q102" si="76">$G89*Q$3</f>
        <v>815121.60000000009</v>
      </c>
      <c r="R89" s="706">
        <f>VLOOKUP("*"&amp;$B89&amp;"*",'S4 - Summ PRS Characteristics'!$C$21:$Q$28,12,FALSE)*$J89</f>
        <v>141.27201109481621</v>
      </c>
      <c r="S89" s="706">
        <f>$J89-R89</f>
        <v>165.72798890518379</v>
      </c>
      <c r="T89" s="706">
        <f>IF($C89="other",(1-$C88)*R89,(1-(VLOOKUP($C89,'S3 - Screening Tool Metrics'!$C$3:$G$17,5,FALSE)/100))*R89)</f>
        <v>38.28471500669518</v>
      </c>
      <c r="U89" s="706">
        <f>IF($C89="other",$C88*R89,(VLOOKUP($C89,'S3 - Screening Tool Metrics'!$C$3:$G$17,5,FALSE)/100)*R89)</f>
        <v>102.98729608812103</v>
      </c>
      <c r="V89" s="708">
        <f t="shared" ref="V89:V102" si="77">U89/J89*100</f>
        <v>33.546350517303267</v>
      </c>
      <c r="W89" s="707">
        <f t="shared" ref="W89:W102" si="78">$G89*W$3</f>
        <v>407560.80000000005</v>
      </c>
      <c r="X89" s="706">
        <f>VLOOKUP("*"&amp;$B89&amp;"*",'S4 - Summ PRS Characteristics'!$C$21:$Q$28,13,FALSE)*$J89</f>
        <v>90.448387424824816</v>
      </c>
      <c r="Y89" s="706">
        <f>$J89-X89</f>
        <v>216.55161257517517</v>
      </c>
      <c r="Z89" s="706">
        <f>IF($C89="other",(1-$C88)*X89,(1-(VLOOKUP($C89,'S3 - Screening Tool Metrics'!$C$3:$G$17,5,FALSE)/100))*X89)</f>
        <v>24.511512992127518</v>
      </c>
      <c r="AA89" s="706">
        <f>IF($C89="other",$C88*X89,(VLOOKUP($C89,'S3 - Screening Tool Metrics'!$C$3:$G$17,5,FALSE)/100)*X89)</f>
        <v>65.936874432697294</v>
      </c>
      <c r="AB89" s="708">
        <f t="shared" ref="AB89:AB102" si="79">$AA89/$J89*100</f>
        <v>21.477809261464916</v>
      </c>
      <c r="AC89" s="707">
        <f t="shared" ref="AC89:AC102" si="80">$G89*AC$3</f>
        <v>203780.40000000002</v>
      </c>
      <c r="AD89" s="706">
        <f>VLOOKUP("*"&amp;$B89&amp;"*",'S4 - Summ PRS Characteristics'!$C$21:$Q$28,14,FALSE)*$J89</f>
        <v>56.242231000351254</v>
      </c>
      <c r="AE89" s="706">
        <f>$J89-AD89</f>
        <v>250.75776899964876</v>
      </c>
      <c r="AF89" s="706">
        <f>IF($C89="other",(1-$C88)*AD89,(1-(VLOOKUP($C89,'S3 - Screening Tool Metrics'!$C$3:$G$17,5,FALSE)/100))*AD89)</f>
        <v>15.241644601095185</v>
      </c>
      <c r="AG89" s="706">
        <f>IF($C89="other",$C88*AD89,(VLOOKUP($C89,'S3 - Screening Tool Metrics'!$C$3:$G$17,5,FALSE)/100)*AD89)</f>
        <v>41.000586399256072</v>
      </c>
      <c r="AH89" s="708">
        <f t="shared" ref="AH89:AH102" si="81">$AG89/$J89*100</f>
        <v>13.355239869464519</v>
      </c>
      <c r="AI89" s="707">
        <f t="shared" ref="AI89:AI102" si="82">$G89*AI$3</f>
        <v>40756.080000000002</v>
      </c>
      <c r="AJ89" s="706">
        <f>VLOOKUP("*"&amp;$B89&amp;"*",'S4 - Summ PRS Characteristics'!$C$21:$Q$28,15,FALSE)*$J89</f>
        <v>17.349626723264048</v>
      </c>
      <c r="AK89" s="706">
        <f>$J89-AJ89</f>
        <v>289.65037327673593</v>
      </c>
      <c r="AL89" s="706">
        <f>IF($C89="other",(1-$C88)*AJ89,(1-(VLOOKUP($C89,'S3 - Screening Tool Metrics'!$C$3:$G$17,5,FALSE)/100))*AJ89)</f>
        <v>4.7017488420045552</v>
      </c>
      <c r="AM89" s="706">
        <f>IF($C89="other",$C88*AJ89,(VLOOKUP($C89,'S3 - Screening Tool Metrics'!$C$3:$G$17,5,FALSE)/100)*AJ89)</f>
        <v>12.647877881259493</v>
      </c>
      <c r="AN89" s="709">
        <f t="shared" ref="AN89:AN102" si="83">$AM89/$J89*100</f>
        <v>4.119829928749021</v>
      </c>
    </row>
    <row r="90" spans="2:40" x14ac:dyDescent="0.15">
      <c r="B90" s="700" t="s">
        <v>14</v>
      </c>
      <c r="C90" s="721" t="str">
        <f>$C89</f>
        <v>USS</v>
      </c>
      <c r="D90" s="552" t="s">
        <v>193</v>
      </c>
      <c r="E90" s="710">
        <f>VLOOKUP($B90&amp;"_"&amp;$D90,'App5 - CRUK Inci Rates'!C:H,6,FALSE)</f>
        <v>17.7</v>
      </c>
      <c r="F90" s="711">
        <f>VLOOKUP($B90&amp;"_"&amp;$D90,'App5 - CRUK Inci Rates'!C:H,3,FALSE)</f>
        <v>7.8</v>
      </c>
      <c r="G90" s="712">
        <f>VLOOKUP($B90&amp;"_"&amp;$D90,'App5 - CRUK Inci Rates'!C:J,8,FALSE)</f>
        <v>4567159.333333334</v>
      </c>
      <c r="H90" s="713">
        <f>VLOOKUP($B90&amp;"_"&amp;$D90,'App5 - CRUK Inci Rates'!C:J,7,FALSE)</f>
        <v>2251680</v>
      </c>
      <c r="I90" s="713">
        <f>VLOOKUP($B90&amp;"_"&amp;$D90,'App5 - CRUK Inci Rates'!C:J,4,FALSE)</f>
        <v>2315479.3333333335</v>
      </c>
      <c r="J90" s="709">
        <f>VLOOKUP($B90&amp;"_"&amp;$D90,'App5 - CRUK Inci Rates'!C:K,9,FALSE)</f>
        <v>580</v>
      </c>
      <c r="K90" s="706">
        <f t="shared" si="69"/>
        <v>2283579.666666667</v>
      </c>
      <c r="L90" s="706">
        <f>VLOOKUP("*"&amp;$B90&amp;"*",'S4 - Summ PRS Characteristics'!$C$21:$Q$28,11,FALSE)*$J90</f>
        <v>447.08689650805479</v>
      </c>
      <c r="M90" s="706">
        <f t="shared" si="70"/>
        <v>132.91310349194521</v>
      </c>
      <c r="N90" s="706">
        <f>IF($C90="other",(1-$C$7)*L90,(1-(VLOOKUP($C90,'S3 - Screening Tool Metrics'!$C$3:$G$17,5,FALSE)/100))*L90)</f>
        <v>121.16054895368281</v>
      </c>
      <c r="O90" s="706">
        <f>IF($C90="other",$C$7*L90,(VLOOKUP($C90,'S3 - Screening Tool Metrics'!$C$3:$G$17,5,FALSE)/100)*L90)</f>
        <v>325.926347554372</v>
      </c>
      <c r="P90" s="706">
        <f t="shared" si="71"/>
        <v>56.194197854202066</v>
      </c>
      <c r="Q90" s="707">
        <f t="shared" si="76"/>
        <v>913431.86666666681</v>
      </c>
      <c r="R90" s="706">
        <f>VLOOKUP("*"&amp;$B90&amp;"*",'S4 - Summ PRS Characteristics'!$C$21:$Q$28,12,FALSE)*$J90</f>
        <v>266.89826200323586</v>
      </c>
      <c r="S90" s="706">
        <f t="shared" ref="S90:S102" si="84">$J90-R90</f>
        <v>313.10173799676414</v>
      </c>
      <c r="T90" s="706">
        <f>IF($C90="other",(1-$C88)*R90,(1-(VLOOKUP($C90,'S3 - Screening Tool Metrics'!$C$3:$G$17,5,FALSE)/100))*R90)</f>
        <v>72.329429002876893</v>
      </c>
      <c r="U90" s="706">
        <f>IF($C90="other",$C88*R90,(VLOOKUP($C90,'S3 - Screening Tool Metrics'!$C$3:$G$17,5,FALSE)/100)*R90)</f>
        <v>194.56883300035898</v>
      </c>
      <c r="V90" s="708">
        <f t="shared" si="77"/>
        <v>33.546350517303267</v>
      </c>
      <c r="W90" s="707">
        <f t="shared" si="78"/>
        <v>456715.93333333341</v>
      </c>
      <c r="X90" s="706">
        <f>VLOOKUP("*"&amp;$B90&amp;"*",'S4 - Summ PRS Characteristics'!$C$21:$Q$28,13,FALSE)*$J90</f>
        <v>170.8796895973889</v>
      </c>
      <c r="Y90" s="706">
        <f t="shared" ref="Y90:Y102" si="85">$J90-X90</f>
        <v>409.1203104026111</v>
      </c>
      <c r="Z90" s="706">
        <f>IF($C90="other",(1-$C88)*X90,(1-(VLOOKUP($C90,'S3 - Screening Tool Metrics'!$C$3:$G$17,5,FALSE)/100))*X90)</f>
        <v>46.308395880892377</v>
      </c>
      <c r="AA90" s="706">
        <f>IF($C90="other",$C88*X90,(VLOOKUP($C90,'S3 - Screening Tool Metrics'!$C$3:$G$17,5,FALSE)/100)*X90)</f>
        <v>124.57129371649653</v>
      </c>
      <c r="AB90" s="708">
        <f t="shared" si="79"/>
        <v>21.47780926146492</v>
      </c>
      <c r="AC90" s="707">
        <f t="shared" si="80"/>
        <v>228357.9666666667</v>
      </c>
      <c r="AD90" s="706">
        <f>VLOOKUP("*"&amp;$B90&amp;"*",'S4 - Summ PRS Characteristics'!$C$21:$Q$28,14,FALSE)*$J90</f>
        <v>106.25568071727598</v>
      </c>
      <c r="AE90" s="706">
        <f>$J90-AD90</f>
        <v>473.74431928272401</v>
      </c>
      <c r="AF90" s="706">
        <f>IF($C90="other",(1-$C88)*AD90,(1-(VLOOKUP($C90,'S3 - Screening Tool Metrics'!$C$3:$G$17,5,FALSE)/100))*AD90)</f>
        <v>28.795289474381782</v>
      </c>
      <c r="AG90" s="706">
        <f>IF($C90="other",$C88*AD90,(VLOOKUP($C90,'S3 - Screening Tool Metrics'!$C$3:$G$17,5,FALSE)/100)*AD90)</f>
        <v>77.460391242894204</v>
      </c>
      <c r="AH90" s="708">
        <f t="shared" si="81"/>
        <v>13.355239869464519</v>
      </c>
      <c r="AI90" s="707">
        <f t="shared" si="82"/>
        <v>45671.593333333338</v>
      </c>
      <c r="AJ90" s="706">
        <f>VLOOKUP("*"&amp;$B90&amp;"*",'S4 - Summ PRS Characteristics'!$C$21:$Q$28,15,FALSE)*$J90</f>
        <v>32.777796415287128</v>
      </c>
      <c r="AK90" s="706">
        <f t="shared" ref="AK90:AK102" si="86">$J90-AJ90</f>
        <v>547.22220358471282</v>
      </c>
      <c r="AL90" s="706">
        <f>IF($C90="other",(1-$C88)*AJ90,(1-(VLOOKUP($C90,'S3 - Screening Tool Metrics'!$C$3:$G$17,5,FALSE)/100))*AJ90)</f>
        <v>8.8827828285428083</v>
      </c>
      <c r="AM90" s="706">
        <f>IF($C90="other",$C88*AJ90,(VLOOKUP($C90,'S3 - Screening Tool Metrics'!$C$3:$G$17,5,FALSE)/100)*AJ90)</f>
        <v>23.895013586744319</v>
      </c>
      <c r="AN90" s="709">
        <f t="shared" si="83"/>
        <v>4.119829928749021</v>
      </c>
    </row>
    <row r="91" spans="2:40" x14ac:dyDescent="0.15">
      <c r="B91" s="700" t="s">
        <v>14</v>
      </c>
      <c r="C91" s="721" t="str">
        <f>$C89</f>
        <v>USS</v>
      </c>
      <c r="D91" s="552" t="s">
        <v>194</v>
      </c>
      <c r="E91" s="710">
        <f>VLOOKUP($B91&amp;"_"&amp;$D91,'App5 - CRUK Inci Rates'!C:H,6,FALSE)</f>
        <v>26.8</v>
      </c>
      <c r="F91" s="711">
        <f>VLOOKUP($B91&amp;"_"&amp;$D91,'App5 - CRUK Inci Rates'!C:H,3,FALSE)</f>
        <v>12.7</v>
      </c>
      <c r="G91" s="712">
        <f>VLOOKUP($B91&amp;"_"&amp;$D91,'App5 - CRUK Inci Rates'!C:J,8,FALSE)</f>
        <v>4658110.666666666</v>
      </c>
      <c r="H91" s="713">
        <f>VLOOKUP($B91&amp;"_"&amp;$D91,'App5 - CRUK Inci Rates'!C:J,7,FALSE)</f>
        <v>2293472.6666666665</v>
      </c>
      <c r="I91" s="713">
        <f>VLOOKUP($B91&amp;"_"&amp;$D91,'App5 - CRUK Inci Rates'!C:J,4,FALSE)</f>
        <v>2364638</v>
      </c>
      <c r="J91" s="709">
        <f>VLOOKUP($B91&amp;"_"&amp;$D91,'App5 - CRUK Inci Rates'!C:K,9,FALSE)</f>
        <v>915</v>
      </c>
      <c r="K91" s="706">
        <f t="shared" si="69"/>
        <v>2329055.333333333</v>
      </c>
      <c r="L91" s="706">
        <f>VLOOKUP("*"&amp;$B91&amp;"*",'S4 - Summ PRS Characteristics'!$C$21:$Q$28,11,FALSE)*$J91</f>
        <v>705.31812121529333</v>
      </c>
      <c r="M91" s="706">
        <f t="shared" si="70"/>
        <v>209.68187878470667</v>
      </c>
      <c r="N91" s="706">
        <f>IF($C91="other",(1-$C$7)*L91,(1-(VLOOKUP($C91,'S3 - Screening Tool Metrics'!$C$3:$G$17,5,FALSE)/100))*L91)</f>
        <v>191.14121084934442</v>
      </c>
      <c r="O91" s="706">
        <f>IF($C91="other",$C$7*L91,(VLOOKUP($C91,'S3 - Screening Tool Metrics'!$C$3:$G$17,5,FALSE)/100)*L91)</f>
        <v>514.17691036594886</v>
      </c>
      <c r="P91" s="706">
        <f t="shared" si="71"/>
        <v>56.194197854202066</v>
      </c>
      <c r="Q91" s="707">
        <f t="shared" si="76"/>
        <v>931622.1333333333</v>
      </c>
      <c r="R91" s="706">
        <f>VLOOKUP("*"&amp;$B91&amp;"*",'S4 - Summ PRS Characteristics'!$C$21:$Q$28,12,FALSE)*$J91</f>
        <v>421.05501678096692</v>
      </c>
      <c r="S91" s="706">
        <f t="shared" si="84"/>
        <v>493.94498321903308</v>
      </c>
      <c r="T91" s="706">
        <f>IF($C91="other",(1-$C88)*R91,(1-(VLOOKUP($C91,'S3 - Screening Tool Metrics'!$C$3:$G$17,5,FALSE)/100))*R91)</f>
        <v>114.105909547642</v>
      </c>
      <c r="U91" s="706">
        <f>IF($C91="other",$C88*R91,(VLOOKUP($C91,'S3 - Screening Tool Metrics'!$C$3:$G$17,5,FALSE)/100)*R91)</f>
        <v>306.94910723332492</v>
      </c>
      <c r="V91" s="708">
        <f t="shared" si="77"/>
        <v>33.546350517303267</v>
      </c>
      <c r="W91" s="707">
        <f t="shared" si="78"/>
        <v>465811.06666666665</v>
      </c>
      <c r="X91" s="706">
        <f>VLOOKUP("*"&amp;$B91&amp;"*",'S4 - Summ PRS Characteristics'!$C$21:$Q$28,13,FALSE)*$J91</f>
        <v>269.57744134760492</v>
      </c>
      <c r="Y91" s="706">
        <f t="shared" si="85"/>
        <v>645.42255865239508</v>
      </c>
      <c r="Z91" s="706">
        <f>IF($C91="other",(1-$C88)*X91,(1-(VLOOKUP($C91,'S3 - Screening Tool Metrics'!$C$3:$G$17,5,FALSE)/100))*X91)</f>
        <v>73.055486605200912</v>
      </c>
      <c r="AA91" s="706">
        <f>IF($C91="other",$C88*X91,(VLOOKUP($C91,'S3 - Screening Tool Metrics'!$C$3:$G$17,5,FALSE)/100)*X91)</f>
        <v>196.52195474240401</v>
      </c>
      <c r="AB91" s="708">
        <f t="shared" si="79"/>
        <v>21.47780926146492</v>
      </c>
      <c r="AC91" s="707">
        <f t="shared" si="80"/>
        <v>232905.53333333333</v>
      </c>
      <c r="AD91" s="706">
        <f>VLOOKUP("*"&amp;$B91&amp;"*",'S4 - Summ PRS Characteristics'!$C$21:$Q$28,14,FALSE)*$J91</f>
        <v>167.62749630397849</v>
      </c>
      <c r="AE91" s="706">
        <f t="shared" ref="AE91:AE102" si="87">$J91-AD91</f>
        <v>747.37250369602157</v>
      </c>
      <c r="AF91" s="706">
        <f>IF($C91="other",(1-$C88)*AD91,(1-(VLOOKUP($C91,'S3 - Screening Tool Metrics'!$C$3:$G$17,5,FALSE)/100))*AD91)</f>
        <v>45.427051498378155</v>
      </c>
      <c r="AG91" s="706">
        <f>IF($C91="other",$C88*AD91,(VLOOKUP($C91,'S3 - Screening Tool Metrics'!$C$3:$G$17,5,FALSE)/100)*AD91)</f>
        <v>122.20044480560034</v>
      </c>
      <c r="AH91" s="708">
        <f t="shared" si="81"/>
        <v>13.355239869464519</v>
      </c>
      <c r="AI91" s="707">
        <f t="shared" si="82"/>
        <v>46581.106666666659</v>
      </c>
      <c r="AJ91" s="706">
        <f>VLOOKUP("*"&amp;$B91&amp;"*",'S4 - Summ PRS Characteristics'!$C$21:$Q$28,15,FALSE)*$J91</f>
        <v>51.709799517220212</v>
      </c>
      <c r="AK91" s="706">
        <f t="shared" si="86"/>
        <v>863.29020048277982</v>
      </c>
      <c r="AL91" s="706">
        <f>IF($C91="other",(1-$C88)*AJ91,(1-(VLOOKUP($C91,'S3 - Screening Tool Metrics'!$C$3:$G$17,5,FALSE)/100))*AJ91)</f>
        <v>14.013355669166673</v>
      </c>
      <c r="AM91" s="706">
        <f>IF($C91="other",$C88*AJ91,(VLOOKUP($C91,'S3 - Screening Tool Metrics'!$C$3:$G$17,5,FALSE)/100)*AJ91)</f>
        <v>37.696443848053541</v>
      </c>
      <c r="AN91" s="709">
        <f t="shared" si="83"/>
        <v>4.119829928749021</v>
      </c>
    </row>
    <row r="92" spans="2:40" x14ac:dyDescent="0.15">
      <c r="B92" s="700" t="s">
        <v>14</v>
      </c>
      <c r="C92" s="721" t="str">
        <f>$C89</f>
        <v>USS</v>
      </c>
      <c r="D92" s="552" t="s">
        <v>195</v>
      </c>
      <c r="E92" s="710">
        <f>VLOOKUP($B92&amp;"_"&amp;$D92,'App5 - CRUK Inci Rates'!C:H,6,FALSE)</f>
        <v>37.1</v>
      </c>
      <c r="F92" s="711">
        <f>VLOOKUP($B92&amp;"_"&amp;$D92,'App5 - CRUK Inci Rates'!C:H,3,FALSE)</f>
        <v>18.600000000000001</v>
      </c>
      <c r="G92" s="712">
        <f>VLOOKUP($B92&amp;"_"&amp;$D92,'App5 - CRUK Inci Rates'!C:J,8,FALSE)</f>
        <v>4181606</v>
      </c>
      <c r="H92" s="713">
        <f>VLOOKUP($B92&amp;"_"&amp;$D92,'App5 - CRUK Inci Rates'!C:J,7,FALSE)</f>
        <v>2061918.6666666667</v>
      </c>
      <c r="I92" s="713">
        <f>VLOOKUP($B92&amp;"_"&amp;$D92,'App5 - CRUK Inci Rates'!C:J,4,FALSE)</f>
        <v>2119687.3333333335</v>
      </c>
      <c r="J92" s="709">
        <f>VLOOKUP($B92&amp;"_"&amp;$D92,'App5 - CRUK Inci Rates'!C:K,9,FALSE)</f>
        <v>1160</v>
      </c>
      <c r="K92" s="706">
        <f t="shared" si="69"/>
        <v>2090803</v>
      </c>
      <c r="L92" s="706">
        <f>VLOOKUP("*"&amp;$B92&amp;"*",'S4 - Summ PRS Characteristics'!$C$21:$Q$28,11,FALSE)*$J92</f>
        <v>894.17379301610958</v>
      </c>
      <c r="M92" s="706">
        <f t="shared" si="70"/>
        <v>265.82620698389042</v>
      </c>
      <c r="N92" s="706">
        <f>IF($C92="other",(1-$C$7)*L92,(1-(VLOOKUP($C92,'S3 - Screening Tool Metrics'!$C$3:$G$17,5,FALSE)/100))*L92)</f>
        <v>242.32109790736561</v>
      </c>
      <c r="O92" s="706">
        <f>IF($C92="other",$C$7*L92,(VLOOKUP($C92,'S3 - Screening Tool Metrics'!$C$3:$G$17,5,FALSE)/100)*L92)</f>
        <v>651.852695108744</v>
      </c>
      <c r="P92" s="706">
        <f t="shared" si="71"/>
        <v>56.194197854202066</v>
      </c>
      <c r="Q92" s="707">
        <f t="shared" si="76"/>
        <v>836321.20000000007</v>
      </c>
      <c r="R92" s="706">
        <f>VLOOKUP("*"&amp;$B92&amp;"*",'S4 - Summ PRS Characteristics'!$C$21:$Q$28,12,FALSE)*$J92</f>
        <v>533.79652400647171</v>
      </c>
      <c r="S92" s="706">
        <f t="shared" si="84"/>
        <v>626.20347599352829</v>
      </c>
      <c r="T92" s="706">
        <f>IF($C92="other",(1-$C88)*R92,(1-(VLOOKUP($C92,'S3 - Screening Tool Metrics'!$C$3:$G$17,5,FALSE)/100))*R92)</f>
        <v>144.65885800575379</v>
      </c>
      <c r="U92" s="706">
        <f>IF($C92="other",$C88*R92,(VLOOKUP($C92,'S3 - Screening Tool Metrics'!$C$3:$G$17,5,FALSE)/100)*R92)</f>
        <v>389.13766600071796</v>
      </c>
      <c r="V92" s="708">
        <f t="shared" si="77"/>
        <v>33.546350517303267</v>
      </c>
      <c r="W92" s="707">
        <f t="shared" si="78"/>
        <v>418160.60000000003</v>
      </c>
      <c r="X92" s="706">
        <f>VLOOKUP("*"&amp;$B92&amp;"*",'S4 - Summ PRS Characteristics'!$C$21:$Q$28,13,FALSE)*$J92</f>
        <v>341.75937919477781</v>
      </c>
      <c r="Y92" s="706">
        <f t="shared" si="85"/>
        <v>818.24062080522219</v>
      </c>
      <c r="Z92" s="706">
        <f>IF($C92="other",(1-$C88)*X92,(1-(VLOOKUP($C92,'S3 - Screening Tool Metrics'!$C$3:$G$17,5,FALSE)/100))*X92)</f>
        <v>92.616791761784754</v>
      </c>
      <c r="AA92" s="706">
        <f>IF($C92="other",$C88*X92,(VLOOKUP($C92,'S3 - Screening Tool Metrics'!$C$3:$G$17,5,FALSE)/100)*X92)</f>
        <v>249.14258743299305</v>
      </c>
      <c r="AB92" s="708">
        <f t="shared" si="79"/>
        <v>21.47780926146492</v>
      </c>
      <c r="AC92" s="707">
        <f t="shared" si="80"/>
        <v>209080.30000000002</v>
      </c>
      <c r="AD92" s="706">
        <f>VLOOKUP("*"&amp;$B92&amp;"*",'S4 - Summ PRS Characteristics'!$C$21:$Q$28,14,FALSE)*$J92</f>
        <v>212.51136143455196</v>
      </c>
      <c r="AE92" s="706">
        <f t="shared" si="87"/>
        <v>947.48863856544801</v>
      </c>
      <c r="AF92" s="706">
        <f>IF($C92="other",(1-$C88)*AD92,(1-(VLOOKUP($C92,'S3 - Screening Tool Metrics'!$C$3:$G$17,5,FALSE)/100))*AD92)</f>
        <v>57.590578948763564</v>
      </c>
      <c r="AG92" s="706">
        <f>IF($C92="other",$C88*AD92,(VLOOKUP($C92,'S3 - Screening Tool Metrics'!$C$3:$G$17,5,FALSE)/100)*AD92)</f>
        <v>154.92078248578841</v>
      </c>
      <c r="AH92" s="708">
        <f t="shared" si="81"/>
        <v>13.355239869464519</v>
      </c>
      <c r="AI92" s="707">
        <f t="shared" si="82"/>
        <v>41816.06</v>
      </c>
      <c r="AJ92" s="706">
        <f>VLOOKUP("*"&amp;$B92&amp;"*",'S4 - Summ PRS Characteristics'!$C$21:$Q$28,15,FALSE)*$J92</f>
        <v>65.555592830574255</v>
      </c>
      <c r="AK92" s="706">
        <f t="shared" si="86"/>
        <v>1094.4444071694256</v>
      </c>
      <c r="AL92" s="706">
        <f>IF($C92="other",(1-$C88)*AJ92,(1-(VLOOKUP($C92,'S3 - Screening Tool Metrics'!$C$3:$G$17,5,FALSE)/100))*AJ92)</f>
        <v>17.765565657085617</v>
      </c>
      <c r="AM92" s="706">
        <f>IF($C92="other",$C88*AJ92,(VLOOKUP($C92,'S3 - Screening Tool Metrics'!$C$3:$G$17,5,FALSE)/100)*AJ92)</f>
        <v>47.790027173488639</v>
      </c>
      <c r="AN92" s="709">
        <f t="shared" si="83"/>
        <v>4.119829928749021</v>
      </c>
    </row>
    <row r="93" spans="2:40" x14ac:dyDescent="0.15">
      <c r="B93" s="700" t="s">
        <v>14</v>
      </c>
      <c r="C93" s="721" t="str">
        <f>$C89</f>
        <v>USS</v>
      </c>
      <c r="D93" s="552" t="s">
        <v>196</v>
      </c>
      <c r="E93" s="710">
        <f>VLOOKUP($B93&amp;"_"&amp;$D93,'App5 - CRUK Inci Rates'!C:H,6,FALSE)</f>
        <v>53.7</v>
      </c>
      <c r="F93" s="711">
        <f>VLOOKUP($B93&amp;"_"&amp;$D93,'App5 - CRUK Inci Rates'!C:H,3,FALSE)</f>
        <v>26.2</v>
      </c>
      <c r="G93" s="712">
        <f>VLOOKUP($B93&amp;"_"&amp;$D93,'App5 - CRUK Inci Rates'!C:J,8,FALSE)</f>
        <v>3602002</v>
      </c>
      <c r="H93" s="713">
        <f>VLOOKUP($B93&amp;"_"&amp;$D93,'App5 - CRUK Inci Rates'!C:J,7,FALSE)</f>
        <v>1764828</v>
      </c>
      <c r="I93" s="713">
        <f>VLOOKUP($B93&amp;"_"&amp;$D93,'App5 - CRUK Inci Rates'!C:J,4,FALSE)</f>
        <v>1837174</v>
      </c>
      <c r="J93" s="709">
        <f>VLOOKUP($B93&amp;"_"&amp;$D93,'App5 - CRUK Inci Rates'!C:K,9,FALSE)</f>
        <v>1429</v>
      </c>
      <c r="K93" s="706">
        <f t="shared" si="69"/>
        <v>1801001</v>
      </c>
      <c r="L93" s="706">
        <f>VLOOKUP("*"&amp;$B93&amp;"*",'S4 - Summ PRS Characteristics'!$C$21:$Q$28,11,FALSE)*$J93</f>
        <v>1101.5296122586385</v>
      </c>
      <c r="M93" s="706">
        <f t="shared" si="70"/>
        <v>327.47038774136149</v>
      </c>
      <c r="N93" s="706">
        <f>IF($C93="other",(1-$C$7)*L93,(1-(VLOOKUP($C93,'S3 - Screening Tool Metrics'!$C$3:$G$17,5,FALSE)/100))*L93)</f>
        <v>298.51452492209091</v>
      </c>
      <c r="O93" s="706">
        <f>IF($C93="other",$C$7*L93,(VLOOKUP($C93,'S3 - Screening Tool Metrics'!$C$3:$G$17,5,FALSE)/100)*L93)</f>
        <v>803.01508733654759</v>
      </c>
      <c r="P93" s="706">
        <f t="shared" si="71"/>
        <v>56.194197854202066</v>
      </c>
      <c r="Q93" s="707">
        <f t="shared" si="76"/>
        <v>720400.4</v>
      </c>
      <c r="R93" s="706">
        <f>VLOOKUP("*"&amp;$B93&amp;"*",'S4 - Summ PRS Characteristics'!$C$21:$Q$28,12,FALSE)*$J93</f>
        <v>657.58209724590347</v>
      </c>
      <c r="S93" s="706">
        <f t="shared" si="84"/>
        <v>771.41790275409653</v>
      </c>
      <c r="T93" s="706">
        <f>IF($C93="other",(1-$C88)*R93,(1-(VLOOKUP($C93,'S3 - Screening Tool Metrics'!$C$3:$G$17,5,FALSE)/100))*R93)</f>
        <v>178.20474835363979</v>
      </c>
      <c r="U93" s="706">
        <f>IF($C93="other",$C88*R93,(VLOOKUP($C93,'S3 - Screening Tool Metrics'!$C$3:$G$17,5,FALSE)/100)*R93)</f>
        <v>479.37734889226368</v>
      </c>
      <c r="V93" s="708">
        <f t="shared" si="77"/>
        <v>33.546350517303267</v>
      </c>
      <c r="W93" s="707">
        <f t="shared" si="78"/>
        <v>360200.2</v>
      </c>
      <c r="X93" s="706">
        <f>VLOOKUP("*"&amp;$B93&amp;"*",'S4 - Summ PRS Characteristics'!$C$21:$Q$28,13,FALSE)*$J93</f>
        <v>421.01220074942887</v>
      </c>
      <c r="Y93" s="706">
        <f t="shared" si="85"/>
        <v>1007.9877992505711</v>
      </c>
      <c r="Z93" s="706">
        <f>IF($C93="other",(1-$C88)*X93,(1-(VLOOKUP($C93,'S3 - Screening Tool Metrics'!$C$3:$G$17,5,FALSE)/100))*X93)</f>
        <v>114.09430640309519</v>
      </c>
      <c r="AA93" s="706">
        <f>IF($C93="other",$C88*X93,(VLOOKUP($C93,'S3 - Screening Tool Metrics'!$C$3:$G$17,5,FALSE)/100)*X93)</f>
        <v>306.9178943463337</v>
      </c>
      <c r="AB93" s="708">
        <f t="shared" si="79"/>
        <v>21.47780926146492</v>
      </c>
      <c r="AC93" s="707">
        <f t="shared" si="80"/>
        <v>180100.1</v>
      </c>
      <c r="AD93" s="706">
        <f>VLOOKUP("*"&amp;$B93&amp;"*",'S4 - Summ PRS Characteristics'!$C$21:$Q$28,14,FALSE)*$J93</f>
        <v>261.79201335342651</v>
      </c>
      <c r="AE93" s="706">
        <f t="shared" si="87"/>
        <v>1167.2079866465735</v>
      </c>
      <c r="AF93" s="706">
        <f>IF($C93="other",(1-$C88)*AD93,(1-(VLOOKUP($C93,'S3 - Screening Tool Metrics'!$C$3:$G$17,5,FALSE)/100))*AD93)</f>
        <v>70.945635618778567</v>
      </c>
      <c r="AG93" s="706">
        <f>IF($C93="other",$C88*AD93,(VLOOKUP($C93,'S3 - Screening Tool Metrics'!$C$3:$G$17,5,FALSE)/100)*AD93)</f>
        <v>190.84637773464794</v>
      </c>
      <c r="AH93" s="708">
        <f t="shared" si="81"/>
        <v>13.355239869464516</v>
      </c>
      <c r="AI93" s="707">
        <f t="shared" si="82"/>
        <v>36020.020000000004</v>
      </c>
      <c r="AJ93" s="706">
        <f>VLOOKUP("*"&amp;$B93&amp;"*",'S4 - Summ PRS Characteristics'!$C$21:$Q$28,15,FALSE)*$J93</f>
        <v>80.75770875421604</v>
      </c>
      <c r="AK93" s="706">
        <f t="shared" si="86"/>
        <v>1348.2422912457839</v>
      </c>
      <c r="AL93" s="706">
        <f>IF($C93="other",(1-$C88)*AJ93,(1-(VLOOKUP($C93,'S3 - Screening Tool Metrics'!$C$3:$G$17,5,FALSE)/100))*AJ93)</f>
        <v>21.88533907239254</v>
      </c>
      <c r="AM93" s="706">
        <f>IF($C93="other",$C88*AJ93,(VLOOKUP($C93,'S3 - Screening Tool Metrics'!$C$3:$G$17,5,FALSE)/100)*AJ93)</f>
        <v>58.8723696818235</v>
      </c>
      <c r="AN93" s="709">
        <f t="shared" si="83"/>
        <v>4.119829928749021</v>
      </c>
    </row>
    <row r="94" spans="2:40" x14ac:dyDescent="0.15">
      <c r="B94" s="700" t="s">
        <v>14</v>
      </c>
      <c r="C94" s="721" t="str">
        <f>$C89</f>
        <v>USS</v>
      </c>
      <c r="D94" s="552" t="s">
        <v>197</v>
      </c>
      <c r="E94" s="710">
        <f>VLOOKUP($B94&amp;"_"&amp;$D94,'App5 - CRUK Inci Rates'!C:H,6,FALSE)</f>
        <v>73.900000000000006</v>
      </c>
      <c r="F94" s="711">
        <f>VLOOKUP($B94&amp;"_"&amp;$D94,'App5 - CRUK Inci Rates'!C:H,3,FALSE)</f>
        <v>36.4</v>
      </c>
      <c r="G94" s="712">
        <f>VLOOKUP($B94&amp;"_"&amp;$D94,'App5 - CRUK Inci Rates'!C:J,8,FALSE)</f>
        <v>3502183.333333333</v>
      </c>
      <c r="H94" s="713">
        <f>VLOOKUP($B94&amp;"_"&amp;$D94,'App5 - CRUK Inci Rates'!C:J,7,FALSE)</f>
        <v>1696993.3333333333</v>
      </c>
      <c r="I94" s="713">
        <f>VLOOKUP($B94&amp;"_"&amp;$D94,'App5 - CRUK Inci Rates'!C:J,4,FALSE)</f>
        <v>1805190</v>
      </c>
      <c r="J94" s="709">
        <f>VLOOKUP($B94&amp;"_"&amp;$D94,'App5 - CRUK Inci Rates'!C:K,9,FALSE)</f>
        <v>1911</v>
      </c>
      <c r="K94" s="706">
        <f t="shared" si="69"/>
        <v>1751091.6666666665</v>
      </c>
      <c r="L94" s="706">
        <f>VLOOKUP("*"&amp;$B94&amp;"*",'S4 - Summ PRS Characteristics'!$C$21:$Q$28,11,FALSE)*$J94</f>
        <v>1473.0742400463669</v>
      </c>
      <c r="M94" s="706">
        <f t="shared" si="70"/>
        <v>437.92575995363313</v>
      </c>
      <c r="N94" s="706">
        <f>IF($C94="other",(1-$C$7)*L94,(1-(VLOOKUP($C94,'S3 - Screening Tool Metrics'!$C$3:$G$17,5,FALSE)/100))*L94)</f>
        <v>399.20311905256528</v>
      </c>
      <c r="O94" s="706">
        <f>IF($C94="other",$C$7*L94,(VLOOKUP($C94,'S3 - Screening Tool Metrics'!$C$3:$G$17,5,FALSE)/100)*L94)</f>
        <v>1073.8711209938015</v>
      </c>
      <c r="P94" s="706">
        <f t="shared" si="71"/>
        <v>56.194197854202066</v>
      </c>
      <c r="Q94" s="707">
        <f t="shared" si="76"/>
        <v>700436.66666666663</v>
      </c>
      <c r="R94" s="706">
        <f>VLOOKUP("*"&amp;$B94&amp;"*",'S4 - Summ PRS Characteristics'!$C$21:$Q$28,12,FALSE)*$J94</f>
        <v>879.38375635893749</v>
      </c>
      <c r="S94" s="706">
        <f t="shared" si="84"/>
        <v>1031.6162436410625</v>
      </c>
      <c r="T94" s="706">
        <f>IF($C94="other",(1-$C88)*R94,(1-(VLOOKUP($C94,'S3 - Screening Tool Metrics'!$C$3:$G$17,5,FALSE)/100))*R94)</f>
        <v>238.31299797327199</v>
      </c>
      <c r="U94" s="706">
        <f>IF($C94="other",$C88*R94,(VLOOKUP($C94,'S3 - Screening Tool Metrics'!$C$3:$G$17,5,FALSE)/100)*R94)</f>
        <v>641.0707583856655</v>
      </c>
      <c r="V94" s="708">
        <f t="shared" si="77"/>
        <v>33.546350517303267</v>
      </c>
      <c r="W94" s="707">
        <f t="shared" si="78"/>
        <v>350218.33333333331</v>
      </c>
      <c r="X94" s="706">
        <f>VLOOKUP("*"&amp;$B94&amp;"*",'S4 - Summ PRS Characteristics'!$C$21:$Q$28,13,FALSE)*$J94</f>
        <v>563.01911520794863</v>
      </c>
      <c r="Y94" s="706">
        <f t="shared" si="85"/>
        <v>1347.9808847920513</v>
      </c>
      <c r="Z94" s="706">
        <f>IF($C94="other",(1-$C88)*X94,(1-(VLOOKUP($C94,'S3 - Screening Tool Metrics'!$C$3:$G$17,5,FALSE)/100))*X94)</f>
        <v>152.57818022135402</v>
      </c>
      <c r="AA94" s="706">
        <f>IF($C94="other",$C88*X94,(VLOOKUP($C94,'S3 - Screening Tool Metrics'!$C$3:$G$17,5,FALSE)/100)*X94)</f>
        <v>410.44093498659458</v>
      </c>
      <c r="AB94" s="708">
        <f t="shared" si="79"/>
        <v>21.477809261464916</v>
      </c>
      <c r="AC94" s="707">
        <f t="shared" si="80"/>
        <v>175109.16666666666</v>
      </c>
      <c r="AD94" s="706">
        <f>VLOOKUP("*"&amp;$B94&amp;"*",'S4 - Summ PRS Characteristics'!$C$21:$Q$28,14,FALSE)*$J94</f>
        <v>350.09414801847311</v>
      </c>
      <c r="AE94" s="706">
        <f t="shared" si="87"/>
        <v>1560.9058519815269</v>
      </c>
      <c r="AF94" s="706">
        <f>IF($C94="other",(1-$C88)*AD94,(1-(VLOOKUP($C94,'S3 - Screening Tool Metrics'!$C$3:$G$17,5,FALSE)/100))*AD94)</f>
        <v>94.875514113006176</v>
      </c>
      <c r="AG94" s="706">
        <f>IF($C94="other",$C88*AD94,(VLOOKUP($C94,'S3 - Screening Tool Metrics'!$C$3:$G$17,5,FALSE)/100)*AD94)</f>
        <v>255.21863390546693</v>
      </c>
      <c r="AH94" s="708">
        <f t="shared" si="81"/>
        <v>13.355239869464516</v>
      </c>
      <c r="AI94" s="707">
        <f t="shared" si="82"/>
        <v>35021.833333333328</v>
      </c>
      <c r="AJ94" s="706">
        <f>VLOOKUP("*"&amp;$B94&amp;"*",'S4 - Summ PRS Characteristics'!$C$21:$Q$28,15,FALSE)*$J94</f>
        <v>107.99718784416156</v>
      </c>
      <c r="AK94" s="706">
        <f t="shared" si="86"/>
        <v>1803.0028121558385</v>
      </c>
      <c r="AL94" s="706">
        <f>IF($C94="other",(1-$C88)*AJ94,(1-(VLOOKUP($C94,'S3 - Screening Tool Metrics'!$C$3:$G$17,5,FALSE)/100))*AJ94)</f>
        <v>29.267237905767772</v>
      </c>
      <c r="AM94" s="706">
        <f>IF($C94="other",$C88*AJ94,(VLOOKUP($C94,'S3 - Screening Tool Metrics'!$C$3:$G$17,5,FALSE)/100)*AJ94)</f>
        <v>78.729949938393787</v>
      </c>
      <c r="AN94" s="709">
        <f t="shared" si="83"/>
        <v>4.119829928749021</v>
      </c>
    </row>
    <row r="95" spans="2:40" x14ac:dyDescent="0.15">
      <c r="B95" s="700" t="s">
        <v>14</v>
      </c>
      <c r="C95" s="721" t="str">
        <f>$C89</f>
        <v>USS</v>
      </c>
      <c r="D95" s="552" t="s">
        <v>198</v>
      </c>
      <c r="E95" s="710">
        <f>VLOOKUP($B95&amp;"_"&amp;$D95,'App5 - CRUK Inci Rates'!C:H,6,FALSE)</f>
        <v>91.2</v>
      </c>
      <c r="F95" s="711">
        <f>VLOOKUP($B95&amp;"_"&amp;$D95,'App5 - CRUK Inci Rates'!C:H,3,FALSE)</f>
        <v>45.1</v>
      </c>
      <c r="G95" s="712">
        <f>VLOOKUP($B95&amp;"_"&amp;$D95,'App5 - CRUK Inci Rates'!C:J,8,FALSE)</f>
        <v>3071574.666666667</v>
      </c>
      <c r="H95" s="713">
        <f>VLOOKUP($B95&amp;"_"&amp;$D95,'App5 - CRUK Inci Rates'!C:J,7,FALSE)</f>
        <v>1467965</v>
      </c>
      <c r="I95" s="713">
        <f>VLOOKUP($B95&amp;"_"&amp;$D95,'App5 - CRUK Inci Rates'!C:J,4,FALSE)</f>
        <v>1603609.6666666667</v>
      </c>
      <c r="J95" s="709">
        <f>VLOOKUP($B95&amp;"_"&amp;$D95,'App5 - CRUK Inci Rates'!C:K,9,FALSE)</f>
        <v>2063</v>
      </c>
      <c r="K95" s="706">
        <f t="shared" si="69"/>
        <v>1535787.3333333335</v>
      </c>
      <c r="L95" s="706">
        <f>VLOOKUP("*"&amp;$B95&amp;"*",'S4 - Summ PRS Characteristics'!$C$21:$Q$28,11,FALSE)*$J95</f>
        <v>1590.2418405105468</v>
      </c>
      <c r="M95" s="706">
        <f t="shared" si="70"/>
        <v>472.75815948945319</v>
      </c>
      <c r="N95" s="706">
        <f>IF($C95="other",(1-$C$7)*L95,(1-(VLOOKUP($C95,'S3 - Screening Tool Metrics'!$C$3:$G$17,5,FALSE)/100))*L95)</f>
        <v>430.95553877835806</v>
      </c>
      <c r="O95" s="706">
        <f>IF($C95="other",$C$7*L95,(VLOOKUP($C95,'S3 - Screening Tool Metrics'!$C$3:$G$17,5,FALSE)/100)*L95)</f>
        <v>1159.2863017321888</v>
      </c>
      <c r="P95" s="706">
        <f t="shared" si="71"/>
        <v>56.194197854202073</v>
      </c>
      <c r="Q95" s="707">
        <f t="shared" si="76"/>
        <v>614314.93333333347</v>
      </c>
      <c r="R95" s="706">
        <f>VLOOKUP("*"&amp;$B95&amp;"*",'S4 - Summ PRS Characteristics'!$C$21:$Q$28,12,FALSE)*$J95</f>
        <v>949.32950778047507</v>
      </c>
      <c r="S95" s="706">
        <f t="shared" si="84"/>
        <v>1113.6704922195249</v>
      </c>
      <c r="T95" s="706">
        <f>IF($C95="other",(1-$C88)*R95,(1-(VLOOKUP($C95,'S3 - Screening Tool Metrics'!$C$3:$G$17,5,FALSE)/100))*R95)</f>
        <v>257.26829660850865</v>
      </c>
      <c r="U95" s="706">
        <f>IF($C95="other",$C88*R95,(VLOOKUP($C95,'S3 - Screening Tool Metrics'!$C$3:$G$17,5,FALSE)/100)*R95)</f>
        <v>692.06121117196642</v>
      </c>
      <c r="V95" s="708">
        <f t="shared" si="77"/>
        <v>33.546350517303267</v>
      </c>
      <c r="W95" s="707">
        <f t="shared" si="78"/>
        <v>307157.46666666673</v>
      </c>
      <c r="X95" s="706">
        <f>VLOOKUP("*"&amp;$B95&amp;"*",'S4 - Summ PRS Characteristics'!$C$21:$Q$28,13,FALSE)*$J95</f>
        <v>607.80137868864369</v>
      </c>
      <c r="Y95" s="706">
        <f t="shared" si="85"/>
        <v>1455.1986213113564</v>
      </c>
      <c r="Z95" s="706">
        <f>IF($C95="other",(1-$C88)*X95,(1-(VLOOKUP($C95,'S3 - Screening Tool Metrics'!$C$3:$G$17,5,FALSE)/100))*X95)</f>
        <v>164.71417362462239</v>
      </c>
      <c r="AA95" s="706">
        <f>IF($C95="other",$C88*X95,(VLOOKUP($C95,'S3 - Screening Tool Metrics'!$C$3:$G$17,5,FALSE)/100)*X95)</f>
        <v>443.0872050640213</v>
      </c>
      <c r="AB95" s="708">
        <f t="shared" si="79"/>
        <v>21.47780926146492</v>
      </c>
      <c r="AC95" s="707">
        <f t="shared" si="80"/>
        <v>153578.73333333337</v>
      </c>
      <c r="AD95" s="706">
        <f>VLOOKUP("*"&amp;$B95&amp;"*",'S4 - Summ PRS Characteristics'!$C$21:$Q$28,14,FALSE)*$J95</f>
        <v>377.9404643443799</v>
      </c>
      <c r="AE95" s="706">
        <f t="shared" si="87"/>
        <v>1685.05953565562</v>
      </c>
      <c r="AF95" s="706">
        <f>IF($C95="other",(1-$C88)*AD95,(1-(VLOOKUP($C95,'S3 - Screening Tool Metrics'!$C$3:$G$17,5,FALSE)/100))*AD95)</f>
        <v>102.42186583732692</v>
      </c>
      <c r="AG95" s="706">
        <f>IF($C95="other",$C88*AD95,(VLOOKUP($C95,'S3 - Screening Tool Metrics'!$C$3:$G$17,5,FALSE)/100)*AD95)</f>
        <v>275.51859850705301</v>
      </c>
      <c r="AH95" s="708">
        <f t="shared" si="81"/>
        <v>13.355239869464519</v>
      </c>
      <c r="AI95" s="707">
        <f t="shared" si="82"/>
        <v>30715.74666666667</v>
      </c>
      <c r="AJ95" s="706">
        <f>VLOOKUP("*"&amp;$B95&amp;"*",'S4 - Summ PRS Characteristics'!$C$21:$Q$28,15,FALSE)*$J95</f>
        <v>116.5872310426506</v>
      </c>
      <c r="AK95" s="706">
        <f t="shared" si="86"/>
        <v>1946.4127689573495</v>
      </c>
      <c r="AL95" s="706">
        <f>IF($C95="other",(1-$C88)*AJ95,(1-(VLOOKUP($C95,'S3 - Screening Tool Metrics'!$C$3:$G$17,5,FALSE)/100))*AJ95)</f>
        <v>31.595139612558302</v>
      </c>
      <c r="AM95" s="706">
        <f>IF($C95="other",$C88*AJ95,(VLOOKUP($C95,'S3 - Screening Tool Metrics'!$C$3:$G$17,5,FALSE)/100)*AJ95)</f>
        <v>84.992091430092302</v>
      </c>
      <c r="AN95" s="709">
        <f t="shared" si="83"/>
        <v>4.119829928749021</v>
      </c>
    </row>
    <row r="96" spans="2:40" x14ac:dyDescent="0.15">
      <c r="B96" s="700" t="s">
        <v>14</v>
      </c>
      <c r="C96" s="721" t="str">
        <f>$C89</f>
        <v>USS</v>
      </c>
      <c r="D96" s="552" t="s">
        <v>199</v>
      </c>
      <c r="E96" s="710">
        <f>VLOOKUP($B96&amp;"_"&amp;$D96,'App5 - CRUK Inci Rates'!C:H,6,FALSE)</f>
        <v>110.1</v>
      </c>
      <c r="F96" s="711">
        <f>VLOOKUP($B96&amp;"_"&amp;$D96,'App5 - CRUK Inci Rates'!C:H,3,FALSE)</f>
        <v>57.2</v>
      </c>
      <c r="G96" s="712">
        <f>VLOOKUP($B96&amp;"_"&amp;$D96,'App5 - CRUK Inci Rates'!C:J,8,FALSE)</f>
        <v>2189010.6666666665</v>
      </c>
      <c r="H96" s="713">
        <f>VLOOKUP($B96&amp;"_"&amp;$D96,'App5 - CRUK Inci Rates'!C:J,7,FALSE)</f>
        <v>1007365.3333333334</v>
      </c>
      <c r="I96" s="713">
        <f>VLOOKUP($B96&amp;"_"&amp;$D96,'App5 - CRUK Inci Rates'!C:J,4,FALSE)</f>
        <v>1181645.3333333333</v>
      </c>
      <c r="J96" s="709">
        <f>VLOOKUP($B96&amp;"_"&amp;$D96,'App5 - CRUK Inci Rates'!C:K,9,FALSE)</f>
        <v>1785</v>
      </c>
      <c r="K96" s="706">
        <f t="shared" si="69"/>
        <v>1094505.3333333333</v>
      </c>
      <c r="L96" s="706">
        <f>VLOOKUP("*"&amp;$B96&amp;"*",'S4 - Summ PRS Characteristics'!$C$21:$Q$28,11,FALSE)*$J96</f>
        <v>1375.9484659773757</v>
      </c>
      <c r="M96" s="706">
        <f t="shared" si="70"/>
        <v>409.05153402262431</v>
      </c>
      <c r="N96" s="706">
        <f>IF($C96="other",(1-$C$7)*L96,(1-(VLOOKUP($C96,'S3 - Screening Tool Metrics'!$C$3:$G$17,5,FALSE)/100))*L96)</f>
        <v>372.88203427986866</v>
      </c>
      <c r="O96" s="706">
        <f>IF($C96="other",$C$7*L96,(VLOOKUP($C96,'S3 - Screening Tool Metrics'!$C$3:$G$17,5,FALSE)/100)*L96)</f>
        <v>1003.066431697507</v>
      </c>
      <c r="P96" s="706">
        <f t="shared" si="71"/>
        <v>56.194197854202073</v>
      </c>
      <c r="Q96" s="707">
        <f t="shared" si="76"/>
        <v>437802.1333333333</v>
      </c>
      <c r="R96" s="706">
        <f>VLOOKUP("*"&amp;$B96&amp;"*",'S4 - Summ PRS Characteristics'!$C$21:$Q$28,12,FALSE)*$J96</f>
        <v>821.40240978582074</v>
      </c>
      <c r="S96" s="706">
        <f t="shared" si="84"/>
        <v>963.59759021417926</v>
      </c>
      <c r="T96" s="706">
        <f>IF($C96="other",(1-$C88)*R96,(1-(VLOOKUP($C96,'S3 - Screening Tool Metrics'!$C$3:$G$17,5,FALSE)/100))*R96)</f>
        <v>222.60005305195733</v>
      </c>
      <c r="U96" s="706">
        <f>IF($C96="other",$C88*R96,(VLOOKUP($C96,'S3 - Screening Tool Metrics'!$C$3:$G$17,5,FALSE)/100)*R96)</f>
        <v>598.80235673386335</v>
      </c>
      <c r="V96" s="708">
        <f t="shared" si="77"/>
        <v>33.546350517303267</v>
      </c>
      <c r="W96" s="707">
        <f t="shared" si="78"/>
        <v>218901.06666666665</v>
      </c>
      <c r="X96" s="706">
        <f>VLOOKUP("*"&amp;$B96&amp;"*",'S4 - Summ PRS Characteristics'!$C$21:$Q$28,13,FALSE)*$J96</f>
        <v>525.89697574368824</v>
      </c>
      <c r="Y96" s="706">
        <f t="shared" si="85"/>
        <v>1259.1030242563118</v>
      </c>
      <c r="Z96" s="706">
        <f>IF($C96="other",(1-$C88)*X96,(1-(VLOOKUP($C96,'S3 - Screening Tool Metrics'!$C$3:$G$17,5,FALSE)/100))*X96)</f>
        <v>142.51808042653946</v>
      </c>
      <c r="AA96" s="706">
        <f>IF($C96="other",$C88*X96,(VLOOKUP($C96,'S3 - Screening Tool Metrics'!$C$3:$G$17,5,FALSE)/100)*X96)</f>
        <v>383.37889531714876</v>
      </c>
      <c r="AB96" s="708">
        <f t="shared" si="79"/>
        <v>21.477809261464916</v>
      </c>
      <c r="AC96" s="707">
        <f t="shared" si="80"/>
        <v>109450.53333333333</v>
      </c>
      <c r="AD96" s="706">
        <f>VLOOKUP("*"&amp;$B96&amp;"*",'S4 - Summ PRS Characteristics'!$C$21:$Q$28,14,FALSE)*$J96</f>
        <v>327.01101737989245</v>
      </c>
      <c r="AE96" s="706">
        <f t="shared" si="87"/>
        <v>1457.9889826201074</v>
      </c>
      <c r="AF96" s="706">
        <f>IF($C96="other",(1-$C88)*AD96,(1-(VLOOKUP($C96,'S3 - Screening Tool Metrics'!$C$3:$G$17,5,FALSE)/100))*AD96)</f>
        <v>88.619985709950825</v>
      </c>
      <c r="AG96" s="706">
        <f>IF($C96="other",$C88*AD96,(VLOOKUP($C96,'S3 - Screening Tool Metrics'!$C$3:$G$17,5,FALSE)/100)*AD96)</f>
        <v>238.39103166994164</v>
      </c>
      <c r="AH96" s="708">
        <f t="shared" si="81"/>
        <v>13.355239869464516</v>
      </c>
      <c r="AI96" s="707">
        <f t="shared" si="82"/>
        <v>21890.106666666667</v>
      </c>
      <c r="AJ96" s="706">
        <f>VLOOKUP("*"&amp;$B96&amp;"*",'S4 - Summ PRS Characteristics'!$C$21:$Q$28,15,FALSE)*$J96</f>
        <v>100.87649414015091</v>
      </c>
      <c r="AK96" s="706">
        <f t="shared" si="86"/>
        <v>1684.123505859849</v>
      </c>
      <c r="AL96" s="706">
        <f>IF($C96="other",(1-$C88)*AJ96,(1-(VLOOKUP($C96,'S3 - Screening Tool Metrics'!$C$3:$G$17,5,FALSE)/100))*AJ96)</f>
        <v>27.337529911980887</v>
      </c>
      <c r="AM96" s="706">
        <f>IF($C96="other",$C88*AJ96,(VLOOKUP($C96,'S3 - Screening Tool Metrics'!$C$3:$G$17,5,FALSE)/100)*AJ96)</f>
        <v>73.538964228170016</v>
      </c>
      <c r="AN96" s="709">
        <f t="shared" si="83"/>
        <v>4.119829928749021</v>
      </c>
    </row>
    <row r="97" spans="2:40" x14ac:dyDescent="0.15">
      <c r="B97" s="700" t="s">
        <v>14</v>
      </c>
      <c r="C97" s="721" t="str">
        <f>$C89</f>
        <v>USS</v>
      </c>
      <c r="D97" s="552" t="s">
        <v>200</v>
      </c>
      <c r="E97" s="710">
        <f>VLOOKUP($B97&amp;"_"&amp;$D97,'App5 - CRUK Inci Rates'!C:H,6,FALSE)</f>
        <v>34.622861697796182</v>
      </c>
      <c r="F97" s="711">
        <f>VLOOKUP($B97&amp;"_"&amp;$D97,'App5 - CRUK Inci Rates'!C:H,3,FALSE)</f>
        <v>16.932887508650499</v>
      </c>
      <c r="G97" s="712">
        <f>VLOOKUP($B97&amp;"_"&amp;$D97,'App5 - CRUK Inci Rates'!C:J,8,FALSE)</f>
        <v>24586669.333333336</v>
      </c>
      <c r="H97" s="713">
        <f>VLOOKUP($B97&amp;"_"&amp;$D97,'App5 - CRUK Inci Rates'!C:J,7,FALSE)</f>
        <v>12090277.333333334</v>
      </c>
      <c r="I97" s="713">
        <f>VLOOKUP($B97&amp;"_"&amp;$D97,'App5 - CRUK Inci Rates'!C:J,4,FALSE)</f>
        <v>12496392</v>
      </c>
      <c r="J97" s="709">
        <f>VLOOKUP($B97&amp;"_"&amp;$D97,'App5 - CRUK Inci Rates'!C:K,9,FALSE)</f>
        <v>6302</v>
      </c>
      <c r="K97" s="706">
        <f t="shared" si="69"/>
        <v>12293334.666666668</v>
      </c>
      <c r="L97" s="706">
        <f>VLOOKUP("*"&amp;$B97&amp;"*",'S4 - Summ PRS Characteristics'!$C$21:$Q$28,11,FALSE)*$J97</f>
        <v>4857.8303824030372</v>
      </c>
      <c r="M97" s="706">
        <f t="shared" si="70"/>
        <v>1444.1696175969628</v>
      </c>
      <c r="N97" s="706">
        <f>IF($C97="other",(1-$C$7)*L97,(1-(VLOOKUP($C97,'S3 - Screening Tool Metrics'!$C$3:$G$17,5,FALSE)/100))*L97)</f>
        <v>1316.4720336312225</v>
      </c>
      <c r="O97" s="706">
        <f>IF($C97="other",$C$7*L97,(VLOOKUP($C97,'S3 - Screening Tool Metrics'!$C$3:$G$17,5,FALSE)/100)*L97)</f>
        <v>3541.3583487718147</v>
      </c>
      <c r="P97" s="706">
        <f t="shared" si="71"/>
        <v>56.194197854202073</v>
      </c>
      <c r="Q97" s="707">
        <f t="shared" si="76"/>
        <v>4917333.8666666672</v>
      </c>
      <c r="R97" s="706">
        <f>VLOOKUP("*"&amp;$B97&amp;"*",'S4 - Summ PRS Characteristics'!$C$21:$Q$28,12,FALSE)*$J97</f>
        <v>2899.9876674903317</v>
      </c>
      <c r="S97" s="706">
        <f t="shared" si="84"/>
        <v>3402.0123325096683</v>
      </c>
      <c r="T97" s="706">
        <f>IF($C97="other",(1-$C88)*R97,(1-(VLOOKUP($C97,'S3 - Screening Tool Metrics'!$C$3:$G$17,5,FALSE)/100))*R97)</f>
        <v>785.89665788987963</v>
      </c>
      <c r="U97" s="706">
        <f>IF($C97="other",$C88*R97,(VLOOKUP($C97,'S3 - Screening Tool Metrics'!$C$3:$G$17,5,FALSE)/100)*R97)</f>
        <v>2114.0910096004523</v>
      </c>
      <c r="V97" s="708">
        <f t="shared" si="77"/>
        <v>33.546350517303274</v>
      </c>
      <c r="W97" s="707">
        <f t="shared" si="78"/>
        <v>2458666.9333333336</v>
      </c>
      <c r="X97" s="706">
        <f>VLOOKUP("*"&amp;$B97&amp;"*",'S4 - Summ PRS Characteristics'!$C$21:$Q$28,13,FALSE)*$J97</f>
        <v>1856.696213521974</v>
      </c>
      <c r="Y97" s="706">
        <f t="shared" si="85"/>
        <v>4445.3037864780263</v>
      </c>
      <c r="Z97" s="706">
        <f>IF($C97="other",(1-$C88)*X97,(1-(VLOOKUP($C97,'S3 - Screening Tool Metrics'!$C$3:$G$17,5,FALSE)/100))*X97)</f>
        <v>503.16467386445476</v>
      </c>
      <c r="AA97" s="706">
        <f>IF($C97="other",$C88*X97,(VLOOKUP($C97,'S3 - Screening Tool Metrics'!$C$3:$G$17,5,FALSE)/100)*X97)</f>
        <v>1353.5315396575193</v>
      </c>
      <c r="AB97" s="708">
        <f t="shared" si="79"/>
        <v>21.47780926146492</v>
      </c>
      <c r="AC97" s="707">
        <f t="shared" si="80"/>
        <v>1229333.4666666668</v>
      </c>
      <c r="AD97" s="706">
        <f>VLOOKUP("*"&amp;$B97&amp;"*",'S4 - Summ PRS Characteristics'!$C$21:$Q$28,14,FALSE)*$J97</f>
        <v>1154.5229308280573</v>
      </c>
      <c r="AE97" s="706">
        <f t="shared" si="87"/>
        <v>5147.4770691719423</v>
      </c>
      <c r="AF97" s="706">
        <f>IF($C97="other",(1-$C88)*AD97,(1-(VLOOKUP($C97,'S3 - Screening Tool Metrics'!$C$3:$G$17,5,FALSE)/100))*AD97)</f>
        <v>312.87571425440342</v>
      </c>
      <c r="AG97" s="706">
        <f>IF($C97="other",$C88*AD97,(VLOOKUP($C97,'S3 - Screening Tool Metrics'!$C$3:$G$17,5,FALSE)/100)*AD97)</f>
        <v>841.64721657365385</v>
      </c>
      <c r="AH97" s="708">
        <f t="shared" si="81"/>
        <v>13.355239869464516</v>
      </c>
      <c r="AI97" s="707">
        <f t="shared" si="82"/>
        <v>245866.69333333336</v>
      </c>
      <c r="AJ97" s="706">
        <f>VLOOKUP("*"&amp;$B97&amp;"*",'S4 - Summ PRS Characteristics'!$C$21:$Q$28,15,FALSE)*$J97</f>
        <v>356.14771208472325</v>
      </c>
      <c r="AK97" s="706">
        <f t="shared" si="86"/>
        <v>5945.852287915277</v>
      </c>
      <c r="AL97" s="706">
        <f>IF($C97="other",(1-$C88)*AJ97,(1-(VLOOKUP($C97,'S3 - Screening Tool Metrics'!$C$3:$G$17,5,FALSE)/100))*AJ97)</f>
        <v>96.516029974959963</v>
      </c>
      <c r="AM97" s="706">
        <f>IF($C97="other",$C88*AJ97,(VLOOKUP($C97,'S3 - Screening Tool Metrics'!$C$3:$G$17,5,FALSE)/100)*AJ97)</f>
        <v>259.63168210976329</v>
      </c>
      <c r="AN97" s="709">
        <f t="shared" si="83"/>
        <v>4.119829928749021</v>
      </c>
    </row>
    <row r="98" spans="2:40" x14ac:dyDescent="0.15">
      <c r="B98" s="700" t="s">
        <v>14</v>
      </c>
      <c r="C98" s="721" t="str">
        <f>$C89</f>
        <v>USS</v>
      </c>
      <c r="D98" s="552" t="s">
        <v>201</v>
      </c>
      <c r="E98" s="710">
        <f>VLOOKUP($B98&amp;"_"&amp;$D98,'App5 - CRUK Inci Rates'!C:H,6,FALSE)</f>
        <v>14.135054044739473</v>
      </c>
      <c r="F98" s="711">
        <f>VLOOKUP($B98&amp;"_"&amp;$D98,'App5 - CRUK Inci Rates'!C:H,3,FALSE)</f>
        <v>6.4764131930257953</v>
      </c>
      <c r="G98" s="712">
        <f>VLOOKUP($B98&amp;"_"&amp;$D98,'App5 - CRUK Inci Rates'!C:J,8,FALSE)</f>
        <v>8642767.333333334</v>
      </c>
      <c r="H98" s="713">
        <f>VLOOKUP($B98&amp;"_"&amp;$D98,'App5 - CRUK Inci Rates'!C:J,7,FALSE)</f>
        <v>4273064.666666667</v>
      </c>
      <c r="I98" s="713">
        <f>VLOOKUP($B98&amp;"_"&amp;$D98,'App5 - CRUK Inci Rates'!C:J,4,FALSE)</f>
        <v>4369702.666666667</v>
      </c>
      <c r="J98" s="709">
        <f>VLOOKUP($B98&amp;"_"&amp;$D98,'App5 - CRUK Inci Rates'!C:K,9,FALSE)</f>
        <v>887</v>
      </c>
      <c r="K98" s="706">
        <f t="shared" si="69"/>
        <v>4321383.666666667</v>
      </c>
      <c r="L98" s="706">
        <f>VLOOKUP("*"&amp;$B98&amp;"*",'S4 - Summ PRS Characteristics'!$C$21:$Q$28,11,FALSE)*$J98</f>
        <v>683.7346158666287</v>
      </c>
      <c r="M98" s="706">
        <f t="shared" si="70"/>
        <v>203.2653841333713</v>
      </c>
      <c r="N98" s="706">
        <f>IF($C98="other",(1-$C$7)*L98,(1-(VLOOKUP($C98,'S3 - Screening Tool Metrics'!$C$3:$G$17,5,FALSE)/100))*L98)</f>
        <v>185.2920808998563</v>
      </c>
      <c r="O98" s="706">
        <f>IF($C98="other",$C$7*L98,(VLOOKUP($C98,'S3 - Screening Tool Metrics'!$C$3:$G$17,5,FALSE)/100)*L98)</f>
        <v>498.44253496677237</v>
      </c>
      <c r="P98" s="706">
        <f t="shared" si="71"/>
        <v>56.194197854202066</v>
      </c>
      <c r="Q98" s="707">
        <f t="shared" si="76"/>
        <v>1728553.4666666668</v>
      </c>
      <c r="R98" s="706">
        <f>VLOOKUP("*"&amp;$B98&amp;"*",'S4 - Summ PRS Characteristics'!$C$21:$Q$28,12,FALSE)*$J98</f>
        <v>408.17027309805206</v>
      </c>
      <c r="S98" s="706">
        <f t="shared" si="84"/>
        <v>478.82972690194794</v>
      </c>
      <c r="T98" s="706">
        <f>IF($C98="other",(1-$C88)*R98,(1-(VLOOKUP($C98,'S3 - Screening Tool Metrics'!$C$3:$G$17,5,FALSE)/100))*R98)</f>
        <v>110.61414400957207</v>
      </c>
      <c r="U98" s="706">
        <f>IF($C98="other",$C88*R98,(VLOOKUP($C98,'S3 - Screening Tool Metrics'!$C$3:$G$17,5,FALSE)/100)*R98)</f>
        <v>297.55612908848002</v>
      </c>
      <c r="V98" s="708">
        <f t="shared" si="77"/>
        <v>33.546350517303267</v>
      </c>
      <c r="W98" s="707">
        <f t="shared" si="78"/>
        <v>864276.7333333334</v>
      </c>
      <c r="X98" s="706">
        <f>VLOOKUP("*"&amp;$B98&amp;"*",'S4 - Summ PRS Characteristics'!$C$21:$Q$28,13,FALSE)*$J98</f>
        <v>261.32807702221373</v>
      </c>
      <c r="Y98" s="706">
        <f t="shared" si="85"/>
        <v>625.67192297778627</v>
      </c>
      <c r="Z98" s="706">
        <f>IF($C98="other",(1-$C88)*X98,(1-(VLOOKUP($C98,'S3 - Screening Tool Metrics'!$C$3:$G$17,5,FALSE)/100))*X98)</f>
        <v>70.819908873019898</v>
      </c>
      <c r="AA98" s="706">
        <f>IF($C98="other",$C88*X98,(VLOOKUP($C98,'S3 - Screening Tool Metrics'!$C$3:$G$17,5,FALSE)/100)*X98)</f>
        <v>190.50816814919384</v>
      </c>
      <c r="AB98" s="708">
        <f t="shared" si="79"/>
        <v>21.47780926146492</v>
      </c>
      <c r="AC98" s="707">
        <f t="shared" si="80"/>
        <v>432138.3666666667</v>
      </c>
      <c r="AD98" s="706">
        <f>VLOOKUP("*"&amp;$B98&amp;"*",'S4 - Summ PRS Characteristics'!$C$21:$Q$28,14,FALSE)*$J98</f>
        <v>162.49791171762723</v>
      </c>
      <c r="AE98" s="706">
        <f t="shared" si="87"/>
        <v>724.50208828237282</v>
      </c>
      <c r="AF98" s="706">
        <f>IF($C98="other",(1-$C88)*AD98,(1-(VLOOKUP($C98,'S3 - Screening Tool Metrics'!$C$3:$G$17,5,FALSE)/100))*AD98)</f>
        <v>44.036934075476964</v>
      </c>
      <c r="AG98" s="706">
        <f>IF($C98="other",$C88*AD98,(VLOOKUP($C98,'S3 - Screening Tool Metrics'!$C$3:$G$17,5,FALSE)/100)*AD98)</f>
        <v>118.46097764215027</v>
      </c>
      <c r="AH98" s="708">
        <f t="shared" si="81"/>
        <v>13.355239869464516</v>
      </c>
      <c r="AI98" s="707">
        <f t="shared" si="82"/>
        <v>86427.67333333334</v>
      </c>
      <c r="AJ98" s="706">
        <f>VLOOKUP("*"&amp;$B98&amp;"*",'S4 - Summ PRS Characteristics'!$C$21:$Q$28,15,FALSE)*$J98</f>
        <v>50.12742313855118</v>
      </c>
      <c r="AK98" s="706">
        <f t="shared" si="86"/>
        <v>836.87257686144881</v>
      </c>
      <c r="AL98" s="706">
        <f>IF($C98="other",(1-$C88)*AJ98,(1-(VLOOKUP($C98,'S3 - Screening Tool Metrics'!$C$3:$G$17,5,FALSE)/100))*AJ98)</f>
        <v>13.584531670547365</v>
      </c>
      <c r="AM98" s="706">
        <f>IF($C98="other",$C88*AJ98,(VLOOKUP($C98,'S3 - Screening Tool Metrics'!$C$3:$G$17,5,FALSE)/100)*AJ98)</f>
        <v>36.542891468003816</v>
      </c>
      <c r="AN98" s="709">
        <f t="shared" si="83"/>
        <v>4.119829928749021</v>
      </c>
    </row>
    <row r="99" spans="2:40" x14ac:dyDescent="0.15">
      <c r="B99" s="700" t="s">
        <v>14</v>
      </c>
      <c r="C99" s="721" t="str">
        <f>$C89</f>
        <v>USS</v>
      </c>
      <c r="D99" s="552" t="s">
        <v>202</v>
      </c>
      <c r="E99" s="710">
        <f>VLOOKUP($B99&amp;"_"&amp;$D99,'App5 - CRUK Inci Rates'!C:H,6,FALSE)</f>
        <v>31.661908068880759</v>
      </c>
      <c r="F99" s="711">
        <f>VLOOKUP($B99&amp;"_"&amp;$D99,'App5 - CRUK Inci Rates'!C:H,3,FALSE)</f>
        <v>15.520729391028421</v>
      </c>
      <c r="G99" s="712">
        <f>VLOOKUP($B99&amp;"_"&amp;$D99,'App5 - CRUK Inci Rates'!C:J,8,FALSE)</f>
        <v>8839716.6666666679</v>
      </c>
      <c r="H99" s="713">
        <f>VLOOKUP($B99&amp;"_"&amp;$D99,'App5 - CRUK Inci Rates'!C:J,7,FALSE)</f>
        <v>4355391.333333333</v>
      </c>
      <c r="I99" s="713">
        <f>VLOOKUP($B99&amp;"_"&amp;$D99,'App5 - CRUK Inci Rates'!C:J,4,FALSE)</f>
        <v>4484325.333333334</v>
      </c>
      <c r="J99" s="709">
        <f>VLOOKUP($B99&amp;"_"&amp;$D99,'App5 - CRUK Inci Rates'!C:K,9,FALSE)</f>
        <v>2075</v>
      </c>
      <c r="K99" s="706">
        <f t="shared" si="69"/>
        <v>4419858.333333334</v>
      </c>
      <c r="L99" s="706">
        <f>VLOOKUP("*"&amp;$B99&amp;"*",'S4 - Summ PRS Characteristics'!$C$21:$Q$28,11,FALSE)*$J99</f>
        <v>1599.4919142314029</v>
      </c>
      <c r="M99" s="706">
        <f t="shared" si="70"/>
        <v>475.50808576859708</v>
      </c>
      <c r="N99" s="706">
        <f>IF($C99="other",(1-$C$7)*L99,(1-(VLOOKUP($C99,'S3 - Screening Tool Metrics'!$C$3:$G$17,5,FALSE)/100))*L99)</f>
        <v>433.46230875671006</v>
      </c>
      <c r="O99" s="706">
        <f>IF($C99="other",$C$7*L99,(VLOOKUP($C99,'S3 - Screening Tool Metrics'!$C$3:$G$17,5,FALSE)/100)*L99)</f>
        <v>1166.029605474693</v>
      </c>
      <c r="P99" s="706">
        <f t="shared" si="71"/>
        <v>56.194197854202066</v>
      </c>
      <c r="Q99" s="707">
        <f t="shared" si="76"/>
        <v>1767943.3333333337</v>
      </c>
      <c r="R99" s="706">
        <f>VLOOKUP("*"&amp;$B99&amp;"*",'S4 - Summ PRS Characteristics'!$C$21:$Q$28,12,FALSE)*$J99</f>
        <v>954.85154078743858</v>
      </c>
      <c r="S99" s="706">
        <f t="shared" si="84"/>
        <v>1120.1484592125614</v>
      </c>
      <c r="T99" s="706">
        <f>IF($C99="other",(1-$C88)*R99,(1-(VLOOKUP($C99,'S3 - Screening Tool Metrics'!$C$3:$G$17,5,FALSE)/100))*R99)</f>
        <v>258.76476755339576</v>
      </c>
      <c r="U99" s="706">
        <f>IF($C99="other",$C88*R99,(VLOOKUP($C99,'S3 - Screening Tool Metrics'!$C$3:$G$17,5,FALSE)/100)*R99)</f>
        <v>696.08677323404277</v>
      </c>
      <c r="V99" s="708">
        <f t="shared" si="77"/>
        <v>33.546350517303267</v>
      </c>
      <c r="W99" s="707">
        <f t="shared" si="78"/>
        <v>883971.66666666686</v>
      </c>
      <c r="X99" s="706">
        <f>VLOOKUP("*"&amp;$B99&amp;"*",'S4 - Summ PRS Characteristics'!$C$21:$Q$28,13,FALSE)*$J99</f>
        <v>611.33682054238272</v>
      </c>
      <c r="Y99" s="706">
        <f t="shared" si="85"/>
        <v>1463.6631794576174</v>
      </c>
      <c r="Z99" s="706">
        <f>IF($C99="other",(1-$C88)*X99,(1-(VLOOKUP($C99,'S3 - Screening Tool Metrics'!$C$3:$G$17,5,FALSE)/100))*X99)</f>
        <v>165.67227836698567</v>
      </c>
      <c r="AA99" s="706">
        <f>IF($C99="other",$C88*X99,(VLOOKUP($C99,'S3 - Screening Tool Metrics'!$C$3:$G$17,5,FALSE)/100)*X99)</f>
        <v>445.66454217539706</v>
      </c>
      <c r="AB99" s="708">
        <f t="shared" si="79"/>
        <v>21.47780926146492</v>
      </c>
      <c r="AC99" s="707">
        <f t="shared" si="80"/>
        <v>441985.83333333343</v>
      </c>
      <c r="AD99" s="706">
        <f>VLOOKUP("*"&amp;$B99&amp;"*",'S4 - Summ PRS Characteristics'!$C$21:$Q$28,14,FALSE)*$J99</f>
        <v>380.13885773853048</v>
      </c>
      <c r="AE99" s="706">
        <f t="shared" si="87"/>
        <v>1694.8611422614695</v>
      </c>
      <c r="AF99" s="706">
        <f>IF($C99="other",(1-$C88)*AD99,(1-(VLOOKUP($C99,'S3 - Screening Tool Metrics'!$C$3:$G$17,5,FALSE)/100))*AD99)</f>
        <v>103.01763044714173</v>
      </c>
      <c r="AG99" s="706">
        <f>IF($C99="other",$C88*AD99,(VLOOKUP($C99,'S3 - Screening Tool Metrics'!$C$3:$G$17,5,FALSE)/100)*AD99)</f>
        <v>277.12122729138878</v>
      </c>
      <c r="AH99" s="708">
        <f t="shared" si="81"/>
        <v>13.355239869464519</v>
      </c>
      <c r="AI99" s="707">
        <f t="shared" si="82"/>
        <v>88397.166666666686</v>
      </c>
      <c r="AJ99" s="706">
        <f>VLOOKUP("*"&amp;$B99&amp;"*",'S4 - Summ PRS Characteristics'!$C$21:$Q$28,15,FALSE)*$J99</f>
        <v>117.26539234779447</v>
      </c>
      <c r="AK99" s="706">
        <f t="shared" si="86"/>
        <v>1957.7346076522056</v>
      </c>
      <c r="AL99" s="706">
        <f>IF($C99="other",(1-$C88)*AJ99,(1-(VLOOKUP($C99,'S3 - Screening Tool Metrics'!$C$3:$G$17,5,FALSE)/100))*AJ99)</f>
        <v>31.778921326252291</v>
      </c>
      <c r="AM99" s="706">
        <f>IF($C99="other",$C88*AJ99,(VLOOKUP($C99,'S3 - Screening Tool Metrics'!$C$3:$G$17,5,FALSE)/100)*AJ99)</f>
        <v>85.486471021542187</v>
      </c>
      <c r="AN99" s="709">
        <f t="shared" si="83"/>
        <v>4.119829928749021</v>
      </c>
    </row>
    <row r="100" spans="2:40" x14ac:dyDescent="0.15">
      <c r="B100" s="700" t="s">
        <v>14</v>
      </c>
      <c r="C100" s="721" t="str">
        <f>$C89</f>
        <v>USS</v>
      </c>
      <c r="D100" s="552" t="s">
        <v>203</v>
      </c>
      <c r="E100" s="710">
        <f>VLOOKUP($B100&amp;"_"&amp;$D100,'App5 - CRUK Inci Rates'!C:H,6,FALSE)</f>
        <v>45.821959216665384</v>
      </c>
      <c r="F100" s="711">
        <f>VLOOKUP($B100&amp;"_"&amp;$D100,'App5 - CRUK Inci Rates'!C:H,3,FALSE)</f>
        <v>22.555310346140132</v>
      </c>
      <c r="G100" s="712">
        <f>VLOOKUP($B100&amp;"_"&amp;$D100,'App5 - CRUK Inci Rates'!C:J,8,FALSE)</f>
        <v>15943902</v>
      </c>
      <c r="H100" s="713">
        <f>VLOOKUP($B100&amp;"_"&amp;$D100,'App5 - CRUK Inci Rates'!C:J,7,FALSE)</f>
        <v>7817212.666666666</v>
      </c>
      <c r="I100" s="713">
        <f>VLOOKUP($B100&amp;"_"&amp;$D100,'App5 - CRUK Inci Rates'!C:J,4,FALSE)</f>
        <v>8126689.333333334</v>
      </c>
      <c r="J100" s="709">
        <f>VLOOKUP($B100&amp;"_"&amp;$D100,'App5 - CRUK Inci Rates'!C:K,9,FALSE)</f>
        <v>5415</v>
      </c>
      <c r="K100" s="706">
        <f t="shared" si="69"/>
        <v>7971951</v>
      </c>
      <c r="L100" s="706">
        <f>VLOOKUP("*"&amp;$B100&amp;"*",'S4 - Summ PRS Characteristics'!$C$21:$Q$28,11,FALSE)*$J100</f>
        <v>4174.0957665364085</v>
      </c>
      <c r="M100" s="706">
        <f t="shared" si="70"/>
        <v>1240.9042334635915</v>
      </c>
      <c r="N100" s="706">
        <f>IF($C100="other",(1-$C$7)*L100,(1-(VLOOKUP($C100,'S3 - Screening Tool Metrics'!$C$3:$G$17,5,FALSE)/100))*L100)</f>
        <v>1131.1799527313663</v>
      </c>
      <c r="O100" s="706">
        <f>IF($C100="other",$C$7*L100,(VLOOKUP($C100,'S3 - Screening Tool Metrics'!$C$3:$G$17,5,FALSE)/100)*L100)</f>
        <v>3042.915813805042</v>
      </c>
      <c r="P100" s="706">
        <f t="shared" si="71"/>
        <v>56.194197854202066</v>
      </c>
      <c r="Q100" s="707">
        <f t="shared" si="76"/>
        <v>3188780.4000000004</v>
      </c>
      <c r="R100" s="706">
        <f>VLOOKUP("*"&amp;$B100&amp;"*",'S4 - Summ PRS Characteristics'!$C$21:$Q$28,12,FALSE)*$J100</f>
        <v>2491.8173943922798</v>
      </c>
      <c r="S100" s="706">
        <f t="shared" si="84"/>
        <v>2923.1826056077202</v>
      </c>
      <c r="T100" s="706">
        <f>IF($C100="other",(1-$C88)*R100,(1-(VLOOKUP($C100,'S3 - Screening Tool Metrics'!$C$3:$G$17,5,FALSE)/100))*R100)</f>
        <v>675.28251388030753</v>
      </c>
      <c r="U100" s="706">
        <f>IF($C100="other",$C88*R100,(VLOOKUP($C100,'S3 - Screening Tool Metrics'!$C$3:$G$17,5,FALSE)/100)*R100)</f>
        <v>1816.5348805119722</v>
      </c>
      <c r="V100" s="708">
        <f t="shared" si="77"/>
        <v>33.546350517303274</v>
      </c>
      <c r="W100" s="707">
        <f t="shared" si="78"/>
        <v>1594390.2000000002</v>
      </c>
      <c r="X100" s="706">
        <f>VLOOKUP("*"&amp;$B100&amp;"*",'S4 - Summ PRS Characteristics'!$C$21:$Q$28,13,FALSE)*$J100</f>
        <v>1595.3681364997601</v>
      </c>
      <c r="Y100" s="706">
        <f t="shared" si="85"/>
        <v>3819.6318635002399</v>
      </c>
      <c r="Z100" s="706">
        <f>IF($C100="other",(1-$C88)*X100,(1-(VLOOKUP($C100,'S3 - Screening Tool Metrics'!$C$3:$G$17,5,FALSE)/100))*X100)</f>
        <v>432.34476499143483</v>
      </c>
      <c r="AA100" s="706">
        <f>IF($C100="other",$C88*X100,(VLOOKUP($C100,'S3 - Screening Tool Metrics'!$C$3:$G$17,5,FALSE)/100)*X100)</f>
        <v>1163.0233715083252</v>
      </c>
      <c r="AB100" s="708">
        <f t="shared" si="79"/>
        <v>21.477809261464916</v>
      </c>
      <c r="AC100" s="707">
        <f t="shared" si="80"/>
        <v>797195.10000000009</v>
      </c>
      <c r="AD100" s="706">
        <f>VLOOKUP("*"&amp;$B100&amp;"*",'S4 - Summ PRS Characteristics'!$C$21:$Q$28,14,FALSE)*$J100</f>
        <v>992.02501911043009</v>
      </c>
      <c r="AE100" s="706">
        <f t="shared" si="87"/>
        <v>4422.9749808895704</v>
      </c>
      <c r="AF100" s="706">
        <f>IF($C100="other",(1-$C88)*AD100,(1-(VLOOKUP($C100,'S3 - Screening Tool Metrics'!$C$3:$G$17,5,FALSE)/100))*AD100)</f>
        <v>268.83878017892647</v>
      </c>
      <c r="AG100" s="706">
        <f>IF($C100="other",$C88*AD100,(VLOOKUP($C100,'S3 - Screening Tool Metrics'!$C$3:$G$17,5,FALSE)/100)*AD100)</f>
        <v>723.18623893150368</v>
      </c>
      <c r="AH100" s="708">
        <f t="shared" si="81"/>
        <v>13.355239869464519</v>
      </c>
      <c r="AI100" s="707">
        <f t="shared" si="82"/>
        <v>159439.01999999999</v>
      </c>
      <c r="AJ100" s="706">
        <f>VLOOKUP("*"&amp;$B100&amp;"*",'S4 - Summ PRS Characteristics'!$C$21:$Q$28,15,FALSE)*$J100</f>
        <v>306.02028894617206</v>
      </c>
      <c r="AK100" s="706">
        <f t="shared" si="86"/>
        <v>5108.9797110538275</v>
      </c>
      <c r="AL100" s="706">
        <f>IF($C100="other",(1-$C88)*AJ100,(1-(VLOOKUP($C100,'S3 - Screening Tool Metrics'!$C$3:$G$17,5,FALSE)/100))*AJ100)</f>
        <v>82.9314983044126</v>
      </c>
      <c r="AM100" s="706">
        <f>IF($C100="other",$C88*AJ100,(VLOOKUP($C100,'S3 - Screening Tool Metrics'!$C$3:$G$17,5,FALSE)/100)*AJ100)</f>
        <v>223.08879064175946</v>
      </c>
      <c r="AN100" s="709">
        <f t="shared" si="83"/>
        <v>4.119829928749021</v>
      </c>
    </row>
    <row r="101" spans="2:40" x14ac:dyDescent="0.15">
      <c r="B101" s="700" t="s">
        <v>14</v>
      </c>
      <c r="C101" s="721" t="str">
        <f>$C90</f>
        <v>USS</v>
      </c>
      <c r="D101" s="552" t="s">
        <v>292</v>
      </c>
      <c r="E101" s="710">
        <f>VLOOKUP($B101&amp;"_"&amp;$D101,'App5 - CRUK Inci Rates'!C:H,6,FALSE)</f>
        <v>71.848955725532122</v>
      </c>
      <c r="F101" s="711">
        <f>VLOOKUP($B101&amp;"_"&amp;$D101,'App5 - CRUK Inci Rates'!C:H,3,FALSE)</f>
        <v>35.474825423256348</v>
      </c>
      <c r="G101" s="712">
        <f>VLOOKUP($B101&amp;"_"&amp;$D101,'App5 - CRUK Inci Rates'!C:J,8,FALSE)</f>
        <v>8881256.9603638444</v>
      </c>
      <c r="H101" s="713">
        <f>VLOOKUP($B101&amp;"_"&amp;$D101,'App5 - CRUK Inci Rates'!C:J,7,FALSE)</f>
        <v>4929786.333333333</v>
      </c>
      <c r="I101" s="713">
        <f>VLOOKUP($B101&amp;"_"&amp;$D101,'App5 - CRUK Inci Rates'!C:J,4,FALSE)</f>
        <v>5245973.666666667</v>
      </c>
      <c r="J101" s="709">
        <f>VLOOKUP($B101&amp;"_"&amp;$D101,'App5 - CRUK Inci Rates'!C:K,9,FALSE)</f>
        <v>5403</v>
      </c>
      <c r="K101" s="706">
        <f t="shared" si="69"/>
        <v>4440628.4801819222</v>
      </c>
      <c r="L101" s="706">
        <f>VLOOKUP("*"&amp;$B101&amp;"*",'S4 - Summ PRS Characteristics'!$C$21:$Q$28,11,FALSE)*$J101</f>
        <v>4164.845692815552</v>
      </c>
      <c r="M101" s="706">
        <f t="shared" si="70"/>
        <v>1238.154307184448</v>
      </c>
      <c r="N101" s="706">
        <f>IF($C101="other",(1-$C$7)*L101,(1-(VLOOKUP($C101,'S3 - Screening Tool Metrics'!$C$3:$G$17,5,FALSE)/100))*L101)</f>
        <v>1128.6731827530141</v>
      </c>
      <c r="O101" s="706">
        <f>IF($C101="other",$C$7*L101,(VLOOKUP($C101,'S3 - Screening Tool Metrics'!$C$3:$G$17,5,FALSE)/100)*L101)</f>
        <v>3036.1725100625376</v>
      </c>
      <c r="P101" s="706">
        <f t="shared" si="71"/>
        <v>56.194197854202066</v>
      </c>
      <c r="Q101" s="707">
        <f>$G101*Q$3</f>
        <v>1776251.3920727689</v>
      </c>
      <c r="R101" s="706">
        <f>VLOOKUP("*"&amp;$B101&amp;"*",'S4 - Summ PRS Characteristics'!$C$21:$Q$28,12,FALSE)*$J101</f>
        <v>2486.295361385316</v>
      </c>
      <c r="S101" s="706">
        <f t="shared" si="84"/>
        <v>2916.704638614684</v>
      </c>
      <c r="T101" s="706">
        <f>IF($C101="other",(1-$C88)*R101,(1-(VLOOKUP($C101,'S3 - Screening Tool Metrics'!$C$3:$G$17,5,FALSE)/100))*R101)</f>
        <v>673.78604293542037</v>
      </c>
      <c r="U101" s="706">
        <f>IF($C101="other",$C88*R101,(VLOOKUP($C101,'S3 - Screening Tool Metrics'!$C$3:$G$17,5,FALSE)/100)*R101)</f>
        <v>1812.5093184498955</v>
      </c>
      <c r="V101" s="708">
        <f t="shared" si="77"/>
        <v>33.546350517303267</v>
      </c>
      <c r="W101" s="707">
        <f t="shared" si="78"/>
        <v>888125.69603638444</v>
      </c>
      <c r="X101" s="706">
        <f>VLOOKUP("*"&amp;$B101&amp;"*",'S4 - Summ PRS Characteristics'!$C$21:$Q$28,13,FALSE)*$J101</f>
        <v>1591.8326946460211</v>
      </c>
      <c r="Y101" s="706">
        <f t="shared" si="85"/>
        <v>3811.1673053539789</v>
      </c>
      <c r="Z101" s="706">
        <f>IF($C101="other",(1-$C88)*X101,(1-(VLOOKUP($C101,'S3 - Screening Tool Metrics'!$C$3:$G$17,5,FALSE)/100))*X101)</f>
        <v>431.38666024907155</v>
      </c>
      <c r="AA101" s="706">
        <f>IF($C101="other",$C88*X101,(VLOOKUP($C101,'S3 - Screening Tool Metrics'!$C$3:$G$17,5,FALSE)/100)*X101)</f>
        <v>1160.4460343969495</v>
      </c>
      <c r="AB101" s="708">
        <f t="shared" si="79"/>
        <v>21.477809261464916</v>
      </c>
      <c r="AC101" s="707">
        <f t="shared" si="80"/>
        <v>444062.84801819222</v>
      </c>
      <c r="AD101" s="706">
        <f>VLOOKUP("*"&amp;$B101&amp;"*",'S4 - Summ PRS Characteristics'!$C$21:$Q$28,14,FALSE)*$J101</f>
        <v>989.82662571627952</v>
      </c>
      <c r="AE101" s="706">
        <f t="shared" si="87"/>
        <v>4413.1733742837205</v>
      </c>
      <c r="AF101" s="706">
        <f>IF($C101="other",(1-$C88)*AD101,(1-(VLOOKUP($C101,'S3 - Screening Tool Metrics'!$C$3:$G$17,5,FALSE)/100))*AD101)</f>
        <v>268.24301556911166</v>
      </c>
      <c r="AG101" s="706">
        <f>IF($C101="other",$C88*AD101,(VLOOKUP($C101,'S3 - Screening Tool Metrics'!$C$3:$G$17,5,FALSE)/100)*AD101)</f>
        <v>721.58361014716786</v>
      </c>
      <c r="AH101" s="708">
        <f t="shared" si="81"/>
        <v>13.355239869464516</v>
      </c>
      <c r="AI101" s="707">
        <f t="shared" si="82"/>
        <v>88812.569603638447</v>
      </c>
      <c r="AJ101" s="706">
        <f>VLOOKUP("*"&amp;$B101&amp;"*",'S4 - Summ PRS Characteristics'!$C$21:$Q$28,15,FALSE)*$J101</f>
        <v>305.34212764102818</v>
      </c>
      <c r="AK101" s="706">
        <f t="shared" si="86"/>
        <v>5097.6578723589719</v>
      </c>
      <c r="AL101" s="706">
        <f>IF($C101="other",(1-$C88)*AJ101,(1-(VLOOKUP($C101,'S3 - Screening Tool Metrics'!$C$3:$G$17,5,FALSE)/100))*AJ101)</f>
        <v>82.747716590718611</v>
      </c>
      <c r="AM101" s="706">
        <f>IF($C101="other",$C88*AJ101,(VLOOKUP($C101,'S3 - Screening Tool Metrics'!$C$3:$G$17,5,FALSE)/100)*AJ101)</f>
        <v>222.59441105030959</v>
      </c>
      <c r="AN101" s="709">
        <f t="shared" si="83"/>
        <v>4.119829928749021</v>
      </c>
    </row>
    <row r="102" spans="2:40" x14ac:dyDescent="0.15">
      <c r="B102" s="700" t="s">
        <v>14</v>
      </c>
      <c r="C102" s="721" t="str">
        <f>$C89</f>
        <v>USS</v>
      </c>
      <c r="D102" s="552" t="s">
        <v>204</v>
      </c>
      <c r="E102" s="710">
        <f>VLOOKUP($B102&amp;"_"&amp;$D102,'App5 - CRUK Inci Rates'!C:H,6,FALSE)</f>
        <v>45.545645274943674</v>
      </c>
      <c r="F102" s="711">
        <f>VLOOKUP($B102&amp;"_"&amp;$D102,'App5 - CRUK Inci Rates'!C:H,3,FALSE)</f>
        <v>23.007991219794569</v>
      </c>
      <c r="G102" s="712">
        <f>VLOOKUP($B102&amp;"_"&amp;$D102,'App5 - CRUK Inci Rates'!C:J,8,FALSE)</f>
        <v>29847254.666666668</v>
      </c>
      <c r="H102" s="713">
        <f>VLOOKUP($B102&amp;"_"&amp;$D102,'App5 - CRUK Inci Rates'!C:J,7,FALSE)</f>
        <v>14565607.666666668</v>
      </c>
      <c r="I102" s="713">
        <f>VLOOKUP($B102&amp;"_"&amp;$D102,'App5 - CRUK Inci Rates'!C:J,4,FALSE)</f>
        <v>15281647</v>
      </c>
      <c r="J102" s="709">
        <f>VLOOKUP($B102&amp;"_"&amp;$D102,'App5 - CRUK Inci Rates'!C:K,9,FALSE)</f>
        <v>10150</v>
      </c>
      <c r="K102" s="706">
        <f t="shared" si="69"/>
        <v>14923627.333333334</v>
      </c>
      <c r="L102" s="706">
        <f>VLOOKUP("*"&amp;$B102&amp;"*",'S4 - Summ PRS Characteristics'!$C$21:$Q$28,11,FALSE)*$J102</f>
        <v>7824.0206888909597</v>
      </c>
      <c r="M102" s="706">
        <f t="shared" si="70"/>
        <v>2325.9793111090403</v>
      </c>
      <c r="N102" s="706">
        <f>IF($C102="other",(1-$C$7)*L102,(1-(VLOOKUP($C102,'S3 - Screening Tool Metrics'!$C$3:$G$17,5,FALSE)/100))*L102)</f>
        <v>2120.3096066894495</v>
      </c>
      <c r="O102" s="706">
        <f>IF($C102="other",$C$7*L102,(VLOOKUP($C102,'S3 - Screening Tool Metrics'!$C$3:$G$17,5,FALSE)/100)*L102)</f>
        <v>5703.7110822015102</v>
      </c>
      <c r="P102" s="706">
        <f t="shared" si="71"/>
        <v>56.194197854202066</v>
      </c>
      <c r="Q102" s="707">
        <f t="shared" si="76"/>
        <v>5969450.9333333336</v>
      </c>
      <c r="R102" s="706">
        <f>VLOOKUP("*"&amp;$B102&amp;"*",'S4 - Summ PRS Characteristics'!$C$21:$Q$28,12,FALSE)*$J102</f>
        <v>4670.7195850566277</v>
      </c>
      <c r="S102" s="706">
        <f t="shared" si="84"/>
        <v>5479.2804149433723</v>
      </c>
      <c r="T102" s="706">
        <f>IF($C102="other",(1-$C88)*R102,(1-(VLOOKUP($C102,'S3 - Screening Tool Metrics'!$C$3:$G$17,5,FALSE)/100))*R102)</f>
        <v>1265.7650075503457</v>
      </c>
      <c r="U102" s="706">
        <f>IF($C102="other",$C88*R102,(VLOOKUP($C102,'S3 - Screening Tool Metrics'!$C$3:$G$17,5,FALSE)/100)*R102)</f>
        <v>3404.954577506282</v>
      </c>
      <c r="V102" s="708">
        <f t="shared" si="77"/>
        <v>33.546350517303267</v>
      </c>
      <c r="W102" s="707">
        <f t="shared" si="78"/>
        <v>2984725.4666666668</v>
      </c>
      <c r="X102" s="706">
        <f>VLOOKUP("*"&amp;$B102&amp;"*",'S4 - Summ PRS Characteristics'!$C$21:$Q$28,13,FALSE)*$J102</f>
        <v>2990.3945679543058</v>
      </c>
      <c r="Y102" s="706">
        <f t="shared" si="85"/>
        <v>7159.6054320456942</v>
      </c>
      <c r="Z102" s="706">
        <f>IF($C102="other",(1-$C88)*X102,(1-(VLOOKUP($C102,'S3 - Screening Tool Metrics'!$C$3:$G$17,5,FALSE)/100))*X102)</f>
        <v>810.39692791561663</v>
      </c>
      <c r="AA102" s="706">
        <f>IF($C102="other",$C88*X102,(VLOOKUP($C102,'S3 - Screening Tool Metrics'!$C$3:$G$17,5,FALSE)/100)*X102)</f>
        <v>2179.997640038689</v>
      </c>
      <c r="AB102" s="708">
        <f t="shared" si="79"/>
        <v>21.477809261464916</v>
      </c>
      <c r="AC102" s="707">
        <f t="shared" si="80"/>
        <v>1492362.7333333334</v>
      </c>
      <c r="AD102" s="706">
        <f>VLOOKUP("*"&amp;$B102&amp;"*",'S4 - Summ PRS Characteristics'!$C$21:$Q$28,14,FALSE)*$J102</f>
        <v>1859.4744125523298</v>
      </c>
      <c r="AE102" s="706">
        <f t="shared" si="87"/>
        <v>8290.5255874476697</v>
      </c>
      <c r="AF102" s="706">
        <f>IF($C102="other",(1-$C88)*AD102,(1-(VLOOKUP($C102,'S3 - Screening Tool Metrics'!$C$3:$G$17,5,FALSE)/100))*AD102)</f>
        <v>503.91756580168118</v>
      </c>
      <c r="AG102" s="706">
        <f>IF($C102="other",$C88*AD102,(VLOOKUP($C102,'S3 - Screening Tool Metrics'!$C$3:$G$17,5,FALSE)/100)*AD102)</f>
        <v>1355.5568467506487</v>
      </c>
      <c r="AH102" s="708">
        <f t="shared" si="81"/>
        <v>13.355239869464519</v>
      </c>
      <c r="AI102" s="707">
        <f t="shared" si="82"/>
        <v>298472.54666666669</v>
      </c>
      <c r="AJ102" s="706">
        <f>VLOOKUP("*"&amp;$B102&amp;"*",'S4 - Summ PRS Characteristics'!$C$21:$Q$28,15,FALSE)*$J102</f>
        <v>573.61143726752471</v>
      </c>
      <c r="AK102" s="706">
        <f t="shared" si="86"/>
        <v>9576.3885627324744</v>
      </c>
      <c r="AL102" s="706">
        <f>IF($C102="other",(1-$C88)*AJ102,(1-(VLOOKUP($C102,'S3 - Screening Tool Metrics'!$C$3:$G$17,5,FALSE)/100))*AJ102)</f>
        <v>155.44869949949916</v>
      </c>
      <c r="AM102" s="706">
        <f>IF($C102="other",$C88*AJ102,(VLOOKUP($C102,'S3 - Screening Tool Metrics'!$C$3:$G$17,5,FALSE)/100)*AJ102)</f>
        <v>418.16273776802558</v>
      </c>
      <c r="AN102" s="709">
        <f t="shared" si="83"/>
        <v>4.119829928749021</v>
      </c>
    </row>
    <row r="103" spans="2:40" ht="14" thickBot="1" x14ac:dyDescent="0.2">
      <c r="B103" s="700" t="s">
        <v>14</v>
      </c>
      <c r="C103" s="721" t="str">
        <f>$C90</f>
        <v>USS</v>
      </c>
      <c r="D103" s="552" t="s">
        <v>205</v>
      </c>
      <c r="E103" s="710">
        <f>VLOOKUP($B103&amp;"_"&amp;$D103,'App5 - CRUK Inci Rates'!C:H,6,FALSE)</f>
        <v>29.2</v>
      </c>
      <c r="F103" s="711">
        <f>VLOOKUP($B103&amp;"_"&amp;$D103,'App5 - CRUK Inci Rates'!C:H,3,FALSE)</f>
        <v>14.8</v>
      </c>
      <c r="G103" s="712">
        <f>VLOOKUP($B103&amp;"_"&amp;$D103,'App5 - CRUK Inci Rates'!C:J,8,FALSE)</f>
        <v>66041277.666666664</v>
      </c>
      <c r="H103" s="713">
        <f>VLOOKUP($B103&amp;"_"&amp;$D103,'App5 - CRUK Inci Rates'!C:J,7,FALSE)</f>
        <v>32583225.666666668</v>
      </c>
      <c r="I103" s="713">
        <f>VLOOKUP($B103&amp;"_"&amp;$D103,'App5 - CRUK Inci Rates'!C:J,4,FALSE)</f>
        <v>33458051.999999996</v>
      </c>
      <c r="J103" s="709">
        <f>VLOOKUP($B103&amp;"_"&amp;$D103,'App5 - CRUK Inci Rates'!C:K,9,FALSE)</f>
        <v>13323</v>
      </c>
      <c r="K103" s="716"/>
      <c r="L103" s="716"/>
      <c r="M103" s="716"/>
      <c r="N103" s="716"/>
      <c r="O103" s="716"/>
      <c r="P103" s="716"/>
      <c r="Q103" s="715"/>
      <c r="R103" s="716"/>
      <c r="S103" s="716"/>
      <c r="T103" s="716"/>
      <c r="U103" s="716"/>
      <c r="V103" s="717"/>
      <c r="W103" s="715"/>
      <c r="X103" s="716"/>
      <c r="Y103" s="716"/>
      <c r="Z103" s="716"/>
      <c r="AA103" s="716"/>
      <c r="AB103" s="717"/>
      <c r="AC103" s="716"/>
      <c r="AD103" s="716"/>
      <c r="AE103" s="716"/>
      <c r="AF103" s="716"/>
      <c r="AG103" s="716"/>
      <c r="AH103" s="717"/>
      <c r="AI103" s="715"/>
      <c r="AJ103" s="716"/>
      <c r="AK103" s="716"/>
      <c r="AL103" s="716"/>
      <c r="AM103" s="716"/>
      <c r="AN103" s="718"/>
    </row>
    <row r="104" spans="2:40" ht="21" hidden="1" customHeight="1" x14ac:dyDescent="0.15">
      <c r="B104" s="686" t="s">
        <v>15</v>
      </c>
      <c r="C104" s="687">
        <v>0.7</v>
      </c>
      <c r="D104" s="688"/>
      <c r="E104" s="689"/>
      <c r="F104" s="690"/>
      <c r="G104" s="691"/>
      <c r="H104" s="692"/>
      <c r="I104" s="692"/>
      <c r="J104" s="693"/>
      <c r="K104" s="694">
        <f t="shared" si="69"/>
        <v>0</v>
      </c>
      <c r="L104" s="694" t="e">
        <f>VLOOKUP("*"&amp;$B104&amp;"*",'S4 - Summ PRS Characteristics'!$C$21:$Q$28,11,FALSE)*$J104</f>
        <v>#N/A</v>
      </c>
      <c r="M104" s="694" t="e">
        <f t="shared" si="70"/>
        <v>#N/A</v>
      </c>
      <c r="N104" s="694" t="e">
        <f>IF($C104="other",(1-$C$7)*L104,(1-(VLOOKUP($C104,'S3 - Screening Tool Metrics'!$C$3:$G$17,5,FALSE)/100))*L104)</f>
        <v>#N/A</v>
      </c>
      <c r="O104" s="694" t="e">
        <f>IF($C104="other",$C$7*L104,(VLOOKUP($C104,'S3 - Screening Tool Metrics'!$C$3:$G$17,5,FALSE)/100)*L104)</f>
        <v>#N/A</v>
      </c>
      <c r="P104" s="694" t="e">
        <f t="shared" si="71"/>
        <v>#N/A</v>
      </c>
      <c r="Q104" s="695"/>
      <c r="R104" s="696"/>
      <c r="S104" s="696"/>
      <c r="T104" s="696"/>
      <c r="U104" s="696"/>
      <c r="V104" s="697"/>
      <c r="W104" s="695"/>
      <c r="X104" s="696" t="e">
        <f>VLOOKUP("*"&amp;$B104&amp;"*",'S4 - Summ PRS Characteristics'!$C$21:$Q$28,13,FALSE)*$J104</f>
        <v>#N/A</v>
      </c>
      <c r="Y104" s="696"/>
      <c r="Z104" s="696"/>
      <c r="AA104" s="696"/>
      <c r="AB104" s="697"/>
      <c r="AC104" s="695"/>
      <c r="AD104" s="696" t="e">
        <f>VLOOKUP("*"&amp;$B104&amp;"*",'S4 - Summ PRS Characteristics'!$C$21:$Q$28,14,FALSE)*$J104</f>
        <v>#N/A</v>
      </c>
      <c r="AE104" s="696"/>
      <c r="AF104" s="696"/>
      <c r="AG104" s="696"/>
      <c r="AH104" s="697"/>
      <c r="AI104" s="695"/>
      <c r="AJ104" s="696" t="e">
        <f>VLOOKUP("*"&amp;$B104&amp;"*",'S4 - Summ PRS Characteristics'!$C$21:$Q$28,15,FALSE)*$J104</f>
        <v>#N/A</v>
      </c>
      <c r="AK104" s="696"/>
      <c r="AL104" s="696"/>
      <c r="AM104" s="696"/>
      <c r="AN104" s="699"/>
    </row>
    <row r="105" spans="2:40" ht="14" hidden="1" thickBot="1" x14ac:dyDescent="0.2">
      <c r="B105" s="700" t="s">
        <v>15</v>
      </c>
      <c r="C105" s="741" t="s">
        <v>180</v>
      </c>
      <c r="D105" s="593" t="s">
        <v>192</v>
      </c>
      <c r="E105" s="701">
        <f>VLOOKUP($B105&amp;"_"&amp;$D105,'App5 - CRUK Inci Rates'!C:H,6,FALSE)</f>
        <v>1.3</v>
      </c>
      <c r="F105" s="702">
        <f>VLOOKUP($B105&amp;"_"&amp;$D105,'App5 - CRUK Inci Rates'!C:H,3,FALSE)</f>
        <v>0.6</v>
      </c>
      <c r="G105" s="703">
        <f>VLOOKUP($B105&amp;"_"&amp;$D105,'App5 - CRUK Inci Rates'!C:J,8,FALSE)</f>
        <v>4075608</v>
      </c>
      <c r="H105" s="704">
        <f>VLOOKUP($B105&amp;"_"&amp;$D105,'App5 - CRUK Inci Rates'!C:J,7,FALSE)</f>
        <v>2021384.6666666667</v>
      </c>
      <c r="I105" s="704">
        <f>VLOOKUP($B105&amp;"_"&amp;$D105,'App5 - CRUK Inci Rates'!C:J,4,FALSE)</f>
        <v>2054223.3333333333</v>
      </c>
      <c r="J105" s="705">
        <f>VLOOKUP($B105&amp;"_"&amp;$D105,'App5 - CRUK Inci Rates'!C:K,9,FALSE)</f>
        <v>39</v>
      </c>
      <c r="K105" s="706">
        <f t="shared" si="69"/>
        <v>2037804</v>
      </c>
      <c r="L105" s="706" t="e">
        <f>VLOOKUP("*"&amp;$B105&amp;"*",'S4 - Summ PRS Characteristics'!$C$21:$Q$28,11,FALSE)*$J105</f>
        <v>#N/A</v>
      </c>
      <c r="M105" s="706" t="e">
        <f t="shared" si="70"/>
        <v>#N/A</v>
      </c>
      <c r="N105" s="706" t="e">
        <f>IF($C105="other",(1-$C$7)*L105,(1-(VLOOKUP($C105,'S3 - Screening Tool Metrics'!$C$3:$G$17,5,FALSE)/100))*L105)</f>
        <v>#N/A</v>
      </c>
      <c r="O105" s="706" t="e">
        <f>IF($C105="other",$C$7*L105,(VLOOKUP($C105,'S3 - Screening Tool Metrics'!$C$3:$G$17,5,FALSE)/100)*L105)</f>
        <v>#N/A</v>
      </c>
      <c r="P105" s="706" t="e">
        <f t="shared" si="71"/>
        <v>#N/A</v>
      </c>
      <c r="Q105" s="707">
        <f t="shared" ref="Q105:Q118" si="88">$G105*Q$3</f>
        <v>815121.60000000009</v>
      </c>
      <c r="S105" s="706">
        <f>$J105-R105</f>
        <v>39</v>
      </c>
      <c r="T105" s="706">
        <f>IF($C105="other",(1-$C104)*R105,(1-(VLOOKUP($C105,'S3 - Screening Tool Metrics'!$C$3:$G$17,5,FALSE)/100))*R105)</f>
        <v>0</v>
      </c>
      <c r="U105" s="706">
        <f>IF($C105="other",$C104*R105,(VLOOKUP($C105,'S3 - Screening Tool Metrics'!$C$3:$G$17,5,FALSE)/100)*R105)</f>
        <v>0</v>
      </c>
      <c r="V105" s="708">
        <f t="shared" ref="V105:V118" si="89">U105/J105*100</f>
        <v>0</v>
      </c>
      <c r="W105" s="707">
        <f t="shared" ref="W105:W118" si="90">$G105*W$3</f>
        <v>407560.80000000005</v>
      </c>
      <c r="X105" s="706" t="e">
        <f>VLOOKUP("*"&amp;$B105&amp;"*",'S4 - Summ PRS Characteristics'!$C$21:$Q$28,13,FALSE)*$J105</f>
        <v>#N/A</v>
      </c>
      <c r="Y105" s="706" t="e">
        <f>$J105-X105</f>
        <v>#N/A</v>
      </c>
      <c r="Z105" s="706" t="e">
        <f>IF($C105="other",(1-$C104)*X105,(1-(VLOOKUP($C105,'S3 - Screening Tool Metrics'!$C$3:$G$17,5,FALSE)/100))*X105)</f>
        <v>#N/A</v>
      </c>
      <c r="AA105" s="706" t="e">
        <f>IF($C105="other",$C104*X105,(VLOOKUP($C105,'S3 - Screening Tool Metrics'!$C$3:$G$17,5,FALSE)/100)*X105)</f>
        <v>#N/A</v>
      </c>
      <c r="AB105" s="708" t="e">
        <f t="shared" ref="AB105:AB118" si="91">$AA105/$J105*100</f>
        <v>#N/A</v>
      </c>
      <c r="AC105" s="707">
        <f t="shared" ref="AC105:AC118" si="92">$G105*AC$3</f>
        <v>203780.40000000002</v>
      </c>
      <c r="AD105" s="706" t="e">
        <f>VLOOKUP("*"&amp;$B105&amp;"*",'S4 - Summ PRS Characteristics'!$C$21:$Q$28,14,FALSE)*$J105</f>
        <v>#N/A</v>
      </c>
      <c r="AE105" s="706" t="e">
        <f>$J105-AD105</f>
        <v>#N/A</v>
      </c>
      <c r="AF105" s="706" t="e">
        <f>IF($C105="other",(1-$C104)*AD105,(1-(VLOOKUP($C105,'S3 - Screening Tool Metrics'!$C$3:$G$17,5,FALSE)/100))*AD105)</f>
        <v>#N/A</v>
      </c>
      <c r="AG105" s="706" t="e">
        <f>IF($C105="other",$C104*AD105,(VLOOKUP($C105,'S3 - Screening Tool Metrics'!$C$3:$G$17,5,FALSE)/100)*AD105)</f>
        <v>#N/A</v>
      </c>
      <c r="AH105" s="708" t="e">
        <f t="shared" ref="AH105:AH118" si="93">$AG105/$J105*100</f>
        <v>#N/A</v>
      </c>
      <c r="AI105" s="707">
        <f t="shared" ref="AI105:AI118" si="94">$G105*AI$3</f>
        <v>40756.080000000002</v>
      </c>
      <c r="AJ105" s="706" t="e">
        <f>VLOOKUP("*"&amp;$B105&amp;"*",'S4 - Summ PRS Characteristics'!$C$21:$Q$28,15,FALSE)*$J105</f>
        <v>#N/A</v>
      </c>
      <c r="AK105" s="706" t="e">
        <f>$J105-AJ105</f>
        <v>#N/A</v>
      </c>
      <c r="AL105" s="706" t="e">
        <f>IF($C105="other",(1-$C104)*AJ105,(1-(VLOOKUP($C105,'S3 - Screening Tool Metrics'!$C$3:$G$17,5,FALSE)/100))*AJ105)</f>
        <v>#N/A</v>
      </c>
      <c r="AM105" s="706" t="e">
        <f>IF($C105="other",$C104*AJ105,(VLOOKUP($C105,'S3 - Screening Tool Metrics'!$C$3:$G$17,5,FALSE)/100)*AJ105)</f>
        <v>#N/A</v>
      </c>
      <c r="AN105" s="709" t="e">
        <f t="shared" ref="AN105:AN118" si="95">$AM105/$J105*100</f>
        <v>#N/A</v>
      </c>
    </row>
    <row r="106" spans="2:40" ht="14" hidden="1" thickBot="1" x14ac:dyDescent="0.2">
      <c r="B106" s="700" t="s">
        <v>15</v>
      </c>
      <c r="C106" s="721" t="str">
        <f>$C105</f>
        <v>Other</v>
      </c>
      <c r="D106" s="552" t="s">
        <v>193</v>
      </c>
      <c r="E106" s="710">
        <f>VLOOKUP($B106&amp;"_"&amp;$D106,'App5 - CRUK Inci Rates'!C:H,6,FALSE)</f>
        <v>2.6</v>
      </c>
      <c r="F106" s="711">
        <f>VLOOKUP($B106&amp;"_"&amp;$D106,'App5 - CRUK Inci Rates'!C:H,3,FALSE)</f>
        <v>1.2</v>
      </c>
      <c r="G106" s="712">
        <f>VLOOKUP($B106&amp;"_"&amp;$D106,'App5 - CRUK Inci Rates'!C:J,8,FALSE)</f>
        <v>4567159.333333334</v>
      </c>
      <c r="H106" s="713">
        <f>VLOOKUP($B106&amp;"_"&amp;$D106,'App5 - CRUK Inci Rates'!C:J,7,FALSE)</f>
        <v>2251680</v>
      </c>
      <c r="I106" s="713">
        <f>VLOOKUP($B106&amp;"_"&amp;$D106,'App5 - CRUK Inci Rates'!C:J,4,FALSE)</f>
        <v>2315479.3333333335</v>
      </c>
      <c r="J106" s="709">
        <f>VLOOKUP($B106&amp;"_"&amp;$D106,'App5 - CRUK Inci Rates'!C:K,9,FALSE)</f>
        <v>88</v>
      </c>
      <c r="K106" s="706">
        <f t="shared" si="69"/>
        <v>2283579.666666667</v>
      </c>
      <c r="L106" s="706" t="e">
        <f>VLOOKUP("*"&amp;$B106&amp;"*",'S4 - Summ PRS Characteristics'!$C$21:$Q$28,11,FALSE)*$J106</f>
        <v>#N/A</v>
      </c>
      <c r="M106" s="706" t="e">
        <f t="shared" si="70"/>
        <v>#N/A</v>
      </c>
      <c r="N106" s="706" t="e">
        <f>IF($C106="other",(1-$C$7)*L106,(1-(VLOOKUP($C106,'S3 - Screening Tool Metrics'!$C$3:$G$17,5,FALSE)/100))*L106)</f>
        <v>#N/A</v>
      </c>
      <c r="O106" s="706" t="e">
        <f>IF($C106="other",$C$7*L106,(VLOOKUP($C106,'S3 - Screening Tool Metrics'!$C$3:$G$17,5,FALSE)/100)*L106)</f>
        <v>#N/A</v>
      </c>
      <c r="P106" s="706" t="e">
        <f t="shared" si="71"/>
        <v>#N/A</v>
      </c>
      <c r="Q106" s="707">
        <f t="shared" si="88"/>
        <v>913431.86666666681</v>
      </c>
      <c r="S106" s="706">
        <f t="shared" ref="S106:S118" si="96">$J106-R106</f>
        <v>88</v>
      </c>
      <c r="T106" s="706">
        <f>IF($C106="other",(1-$C104)*R106,(1-(VLOOKUP($C106,'S3 - Screening Tool Metrics'!$C$3:$G$17,5,FALSE)/100))*R106)</f>
        <v>0</v>
      </c>
      <c r="U106" s="706">
        <f>IF($C106="other",$C104*R106,(VLOOKUP($C106,'S3 - Screening Tool Metrics'!$C$3:$G$17,5,FALSE)/100)*R106)</f>
        <v>0</v>
      </c>
      <c r="V106" s="708">
        <f t="shared" si="89"/>
        <v>0</v>
      </c>
      <c r="W106" s="707">
        <f t="shared" si="90"/>
        <v>456715.93333333341</v>
      </c>
      <c r="X106" s="706" t="e">
        <f>VLOOKUP("*"&amp;$B106&amp;"*",'S4 - Summ PRS Characteristics'!$C$21:$Q$28,13,FALSE)*$J106</f>
        <v>#N/A</v>
      </c>
      <c r="Y106" s="706" t="e">
        <f t="shared" ref="Y106:Y118" si="97">$J106-X106</f>
        <v>#N/A</v>
      </c>
      <c r="Z106" s="706" t="e">
        <f>IF($C106="other",(1-$C104)*X106,(1-(VLOOKUP($C106,'S3 - Screening Tool Metrics'!$C$3:$G$17,5,FALSE)/100))*X106)</f>
        <v>#N/A</v>
      </c>
      <c r="AA106" s="706" t="e">
        <f>IF($C106="other",$C104*X106,(VLOOKUP($C106,'S3 - Screening Tool Metrics'!$C$3:$G$17,5,FALSE)/100)*X106)</f>
        <v>#N/A</v>
      </c>
      <c r="AB106" s="708" t="e">
        <f t="shared" si="91"/>
        <v>#N/A</v>
      </c>
      <c r="AC106" s="707">
        <f t="shared" si="92"/>
        <v>228357.9666666667</v>
      </c>
      <c r="AD106" s="706" t="e">
        <f>VLOOKUP("*"&amp;$B106&amp;"*",'S4 - Summ PRS Characteristics'!$C$21:$Q$28,14,FALSE)*$J106</f>
        <v>#N/A</v>
      </c>
      <c r="AE106" s="706" t="e">
        <f>$J106-AD106</f>
        <v>#N/A</v>
      </c>
      <c r="AF106" s="706" t="e">
        <f>IF($C106="other",(1-$C104)*AD106,(1-(VLOOKUP($C106,'S3 - Screening Tool Metrics'!$C$3:$G$17,5,FALSE)/100))*AD106)</f>
        <v>#N/A</v>
      </c>
      <c r="AG106" s="706" t="e">
        <f>IF($C106="other",$C104*AD106,(VLOOKUP($C106,'S3 - Screening Tool Metrics'!$C$3:$G$17,5,FALSE)/100)*AD106)</f>
        <v>#N/A</v>
      </c>
      <c r="AH106" s="708" t="e">
        <f t="shared" si="93"/>
        <v>#N/A</v>
      </c>
      <c r="AI106" s="707">
        <f t="shared" si="94"/>
        <v>45671.593333333338</v>
      </c>
      <c r="AJ106" s="706" t="e">
        <f>VLOOKUP("*"&amp;$B106&amp;"*",'S4 - Summ PRS Characteristics'!$C$21:$Q$28,15,FALSE)*$J106</f>
        <v>#N/A</v>
      </c>
      <c r="AK106" s="706" t="e">
        <f t="shared" ref="AK106:AK118" si="98">$J106-AJ106</f>
        <v>#N/A</v>
      </c>
      <c r="AL106" s="706" t="e">
        <f>IF($C106="other",(1-$C104)*AJ106,(1-(VLOOKUP($C106,'S3 - Screening Tool Metrics'!$C$3:$G$17,5,FALSE)/100))*AJ106)</f>
        <v>#N/A</v>
      </c>
      <c r="AM106" s="706" t="e">
        <f>IF($C106="other",$C104*AJ106,(VLOOKUP($C106,'S3 - Screening Tool Metrics'!$C$3:$G$17,5,FALSE)/100)*AJ106)</f>
        <v>#N/A</v>
      </c>
      <c r="AN106" s="709" t="e">
        <f t="shared" si="95"/>
        <v>#N/A</v>
      </c>
    </row>
    <row r="107" spans="2:40" ht="14" hidden="1" thickBot="1" x14ac:dyDescent="0.2">
      <c r="B107" s="700" t="s">
        <v>15</v>
      </c>
      <c r="C107" s="721" t="str">
        <f>$C105</f>
        <v>Other</v>
      </c>
      <c r="D107" s="552" t="s">
        <v>194</v>
      </c>
      <c r="E107" s="710">
        <f>VLOOKUP($B107&amp;"_"&amp;$D107,'App5 - CRUK Inci Rates'!C:H,6,FALSE)</f>
        <v>5.5</v>
      </c>
      <c r="F107" s="711">
        <f>VLOOKUP($B107&amp;"_"&amp;$D107,'App5 - CRUK Inci Rates'!C:H,3,FALSE)</f>
        <v>2</v>
      </c>
      <c r="G107" s="712">
        <f>VLOOKUP($B107&amp;"_"&amp;$D107,'App5 - CRUK Inci Rates'!C:J,8,FALSE)</f>
        <v>4658110.666666666</v>
      </c>
      <c r="H107" s="713">
        <f>VLOOKUP($B107&amp;"_"&amp;$D107,'App5 - CRUK Inci Rates'!C:J,7,FALSE)</f>
        <v>2293472.6666666665</v>
      </c>
      <c r="I107" s="713">
        <f>VLOOKUP($B107&amp;"_"&amp;$D107,'App5 - CRUK Inci Rates'!C:J,4,FALSE)</f>
        <v>2364638</v>
      </c>
      <c r="J107" s="709">
        <f>VLOOKUP($B107&amp;"_"&amp;$D107,'App5 - CRUK Inci Rates'!C:K,9,FALSE)</f>
        <v>173</v>
      </c>
      <c r="K107" s="706">
        <f t="shared" si="69"/>
        <v>2329055.333333333</v>
      </c>
      <c r="L107" s="706" t="e">
        <f>VLOOKUP("*"&amp;$B107&amp;"*",'S4 - Summ PRS Characteristics'!$C$21:$Q$28,11,FALSE)*$J107</f>
        <v>#N/A</v>
      </c>
      <c r="M107" s="706" t="e">
        <f t="shared" si="70"/>
        <v>#N/A</v>
      </c>
      <c r="N107" s="706" t="e">
        <f>IF($C107="other",(1-$C$7)*L107,(1-(VLOOKUP($C107,'S3 - Screening Tool Metrics'!$C$3:$G$17,5,FALSE)/100))*L107)</f>
        <v>#N/A</v>
      </c>
      <c r="O107" s="706" t="e">
        <f>IF($C107="other",$C$7*L107,(VLOOKUP($C107,'S3 - Screening Tool Metrics'!$C$3:$G$17,5,FALSE)/100)*L107)</f>
        <v>#N/A</v>
      </c>
      <c r="P107" s="706" t="e">
        <f t="shared" si="71"/>
        <v>#N/A</v>
      </c>
      <c r="Q107" s="707">
        <f t="shared" si="88"/>
        <v>931622.1333333333</v>
      </c>
      <c r="S107" s="706">
        <f t="shared" si="96"/>
        <v>173</v>
      </c>
      <c r="T107" s="706">
        <f>IF($C107="other",(1-$C104)*R107,(1-(VLOOKUP($C107,'S3 - Screening Tool Metrics'!$C$3:$G$17,5,FALSE)/100))*R107)</f>
        <v>0</v>
      </c>
      <c r="U107" s="706">
        <f>IF($C107="other",$C104*R107,(VLOOKUP($C107,'S3 - Screening Tool Metrics'!$C$3:$G$17,5,FALSE)/100)*R107)</f>
        <v>0</v>
      </c>
      <c r="V107" s="708">
        <f t="shared" si="89"/>
        <v>0</v>
      </c>
      <c r="W107" s="707">
        <f t="shared" si="90"/>
        <v>465811.06666666665</v>
      </c>
      <c r="X107" s="706" t="e">
        <f>VLOOKUP("*"&amp;$B107&amp;"*",'S4 - Summ PRS Characteristics'!$C$21:$Q$28,13,FALSE)*$J107</f>
        <v>#N/A</v>
      </c>
      <c r="Y107" s="706" t="e">
        <f t="shared" si="97"/>
        <v>#N/A</v>
      </c>
      <c r="Z107" s="706" t="e">
        <f>IF($C107="other",(1-$C104)*X107,(1-(VLOOKUP($C107,'S3 - Screening Tool Metrics'!$C$3:$G$17,5,FALSE)/100))*X107)</f>
        <v>#N/A</v>
      </c>
      <c r="AA107" s="706" t="e">
        <f>IF($C107="other",$C104*X107,(VLOOKUP($C107,'S3 - Screening Tool Metrics'!$C$3:$G$17,5,FALSE)/100)*X107)</f>
        <v>#N/A</v>
      </c>
      <c r="AB107" s="708" t="e">
        <f t="shared" si="91"/>
        <v>#N/A</v>
      </c>
      <c r="AC107" s="707">
        <f t="shared" si="92"/>
        <v>232905.53333333333</v>
      </c>
      <c r="AD107" s="706" t="e">
        <f>VLOOKUP("*"&amp;$B107&amp;"*",'S4 - Summ PRS Characteristics'!$C$21:$Q$28,14,FALSE)*$J107</f>
        <v>#N/A</v>
      </c>
      <c r="AE107" s="706" t="e">
        <f t="shared" ref="AE107:AE118" si="99">$J107-AD107</f>
        <v>#N/A</v>
      </c>
      <c r="AF107" s="706" t="e">
        <f>IF($C107="other",(1-$C104)*AD107,(1-(VLOOKUP($C107,'S3 - Screening Tool Metrics'!$C$3:$G$17,5,FALSE)/100))*AD107)</f>
        <v>#N/A</v>
      </c>
      <c r="AG107" s="706" t="e">
        <f>IF($C107="other",$C104*AD107,(VLOOKUP($C107,'S3 - Screening Tool Metrics'!$C$3:$G$17,5,FALSE)/100)*AD107)</f>
        <v>#N/A</v>
      </c>
      <c r="AH107" s="708" t="e">
        <f t="shared" si="93"/>
        <v>#N/A</v>
      </c>
      <c r="AI107" s="707">
        <f t="shared" si="94"/>
        <v>46581.106666666659</v>
      </c>
      <c r="AJ107" s="706" t="e">
        <f>VLOOKUP("*"&amp;$B107&amp;"*",'S4 - Summ PRS Characteristics'!$C$21:$Q$28,15,FALSE)*$J107</f>
        <v>#N/A</v>
      </c>
      <c r="AK107" s="706" t="e">
        <f t="shared" si="98"/>
        <v>#N/A</v>
      </c>
      <c r="AL107" s="706" t="e">
        <f>IF($C107="other",(1-$C104)*AJ107,(1-(VLOOKUP($C107,'S3 - Screening Tool Metrics'!$C$3:$G$17,5,FALSE)/100))*AJ107)</f>
        <v>#N/A</v>
      </c>
      <c r="AM107" s="706" t="e">
        <f>IF($C107="other",$C104*AJ107,(VLOOKUP($C107,'S3 - Screening Tool Metrics'!$C$3:$G$17,5,FALSE)/100)*AJ107)</f>
        <v>#N/A</v>
      </c>
      <c r="AN107" s="709" t="e">
        <f t="shared" si="95"/>
        <v>#N/A</v>
      </c>
    </row>
    <row r="108" spans="2:40" ht="14" hidden="1" thickBot="1" x14ac:dyDescent="0.2">
      <c r="B108" s="700" t="s">
        <v>15</v>
      </c>
      <c r="C108" s="721" t="str">
        <f>$C105</f>
        <v>Other</v>
      </c>
      <c r="D108" s="552" t="s">
        <v>195</v>
      </c>
      <c r="E108" s="710">
        <f>VLOOKUP($B108&amp;"_"&amp;$D108,'App5 - CRUK Inci Rates'!C:H,6,FALSE)</f>
        <v>9.1999999999999993</v>
      </c>
      <c r="F108" s="711">
        <f>VLOOKUP($B108&amp;"_"&amp;$D108,'App5 - CRUK Inci Rates'!C:H,3,FALSE)</f>
        <v>4.0999999999999996</v>
      </c>
      <c r="G108" s="712">
        <f>VLOOKUP($B108&amp;"_"&amp;$D108,'App5 - CRUK Inci Rates'!C:J,8,FALSE)</f>
        <v>4181606</v>
      </c>
      <c r="H108" s="713">
        <f>VLOOKUP($B108&amp;"_"&amp;$D108,'App5 - CRUK Inci Rates'!C:J,7,FALSE)</f>
        <v>2061918.6666666667</v>
      </c>
      <c r="I108" s="713">
        <f>VLOOKUP($B108&amp;"_"&amp;$D108,'App5 - CRUK Inci Rates'!C:J,4,FALSE)</f>
        <v>2119687.3333333335</v>
      </c>
      <c r="J108" s="709">
        <f>VLOOKUP($B108&amp;"_"&amp;$D108,'App5 - CRUK Inci Rates'!C:K,9,FALSE)</f>
        <v>276</v>
      </c>
      <c r="K108" s="706">
        <f t="shared" si="69"/>
        <v>2090803</v>
      </c>
      <c r="L108" s="706" t="e">
        <f>VLOOKUP("*"&amp;$B108&amp;"*",'S4 - Summ PRS Characteristics'!$C$21:$Q$28,11,FALSE)*$J108</f>
        <v>#N/A</v>
      </c>
      <c r="M108" s="706" t="e">
        <f t="shared" si="70"/>
        <v>#N/A</v>
      </c>
      <c r="N108" s="706" t="e">
        <f>IF($C108="other",(1-$C$7)*L108,(1-(VLOOKUP($C108,'S3 - Screening Tool Metrics'!$C$3:$G$17,5,FALSE)/100))*L108)</f>
        <v>#N/A</v>
      </c>
      <c r="O108" s="706" t="e">
        <f>IF($C108="other",$C$7*L108,(VLOOKUP($C108,'S3 - Screening Tool Metrics'!$C$3:$G$17,5,FALSE)/100)*L108)</f>
        <v>#N/A</v>
      </c>
      <c r="P108" s="706" t="e">
        <f t="shared" si="71"/>
        <v>#N/A</v>
      </c>
      <c r="Q108" s="707">
        <f t="shared" si="88"/>
        <v>836321.20000000007</v>
      </c>
      <c r="S108" s="706">
        <f t="shared" si="96"/>
        <v>276</v>
      </c>
      <c r="T108" s="706">
        <f>IF($C108="other",(1-$C104)*R108,(1-(VLOOKUP($C108,'S3 - Screening Tool Metrics'!$C$3:$G$17,5,FALSE)/100))*R108)</f>
        <v>0</v>
      </c>
      <c r="U108" s="706">
        <f>IF($C108="other",$C104*R108,(VLOOKUP($C108,'S3 - Screening Tool Metrics'!$C$3:$G$17,5,FALSE)/100)*R108)</f>
        <v>0</v>
      </c>
      <c r="V108" s="708">
        <f t="shared" si="89"/>
        <v>0</v>
      </c>
      <c r="W108" s="707">
        <f t="shared" si="90"/>
        <v>418160.60000000003</v>
      </c>
      <c r="X108" s="706" t="e">
        <f>VLOOKUP("*"&amp;$B108&amp;"*",'S4 - Summ PRS Characteristics'!$C$21:$Q$28,13,FALSE)*$J108</f>
        <v>#N/A</v>
      </c>
      <c r="Y108" s="706" t="e">
        <f t="shared" si="97"/>
        <v>#N/A</v>
      </c>
      <c r="Z108" s="706" t="e">
        <f>IF($C108="other",(1-$C104)*X108,(1-(VLOOKUP($C108,'S3 - Screening Tool Metrics'!$C$3:$G$17,5,FALSE)/100))*X108)</f>
        <v>#N/A</v>
      </c>
      <c r="AA108" s="706" t="e">
        <f>IF($C108="other",$C104*X108,(VLOOKUP($C108,'S3 - Screening Tool Metrics'!$C$3:$G$17,5,FALSE)/100)*X108)</f>
        <v>#N/A</v>
      </c>
      <c r="AB108" s="708" t="e">
        <f t="shared" si="91"/>
        <v>#N/A</v>
      </c>
      <c r="AC108" s="707">
        <f t="shared" si="92"/>
        <v>209080.30000000002</v>
      </c>
      <c r="AD108" s="706" t="e">
        <f>VLOOKUP("*"&amp;$B108&amp;"*",'S4 - Summ PRS Characteristics'!$C$21:$Q$28,14,FALSE)*$J108</f>
        <v>#N/A</v>
      </c>
      <c r="AE108" s="706" t="e">
        <f t="shared" si="99"/>
        <v>#N/A</v>
      </c>
      <c r="AF108" s="706" t="e">
        <f>IF($C108="other",(1-$C104)*AD108,(1-(VLOOKUP($C108,'S3 - Screening Tool Metrics'!$C$3:$G$17,5,FALSE)/100))*AD108)</f>
        <v>#N/A</v>
      </c>
      <c r="AG108" s="706" t="e">
        <f>IF($C108="other",$C104*AD108,(VLOOKUP($C108,'S3 - Screening Tool Metrics'!$C$3:$G$17,5,FALSE)/100)*AD108)</f>
        <v>#N/A</v>
      </c>
      <c r="AH108" s="708" t="e">
        <f t="shared" si="93"/>
        <v>#N/A</v>
      </c>
      <c r="AI108" s="707">
        <f t="shared" si="94"/>
        <v>41816.06</v>
      </c>
      <c r="AJ108" s="706" t="e">
        <f>VLOOKUP("*"&amp;$B108&amp;"*",'S4 - Summ PRS Characteristics'!$C$21:$Q$28,15,FALSE)*$J108</f>
        <v>#N/A</v>
      </c>
      <c r="AK108" s="706" t="e">
        <f t="shared" si="98"/>
        <v>#N/A</v>
      </c>
      <c r="AL108" s="706" t="e">
        <f>IF($C108="other",(1-$C104)*AJ108,(1-(VLOOKUP($C108,'S3 - Screening Tool Metrics'!$C$3:$G$17,5,FALSE)/100))*AJ108)</f>
        <v>#N/A</v>
      </c>
      <c r="AM108" s="706" t="e">
        <f>IF($C108="other",$C104*AJ108,(VLOOKUP($C108,'S3 - Screening Tool Metrics'!$C$3:$G$17,5,FALSE)/100)*AJ108)</f>
        <v>#N/A</v>
      </c>
      <c r="AN108" s="709" t="e">
        <f t="shared" si="95"/>
        <v>#N/A</v>
      </c>
    </row>
    <row r="109" spans="2:40" ht="14" hidden="1" thickBot="1" x14ac:dyDescent="0.2">
      <c r="B109" s="700" t="s">
        <v>15</v>
      </c>
      <c r="C109" s="721" t="str">
        <f>$C105</f>
        <v>Other</v>
      </c>
      <c r="D109" s="552" t="s">
        <v>196</v>
      </c>
      <c r="E109" s="710">
        <f>VLOOKUP($B109&amp;"_"&amp;$D109,'App5 - CRUK Inci Rates'!C:H,6,FALSE)</f>
        <v>15</v>
      </c>
      <c r="F109" s="711">
        <f>VLOOKUP($B109&amp;"_"&amp;$D109,'App5 - CRUK Inci Rates'!C:H,3,FALSE)</f>
        <v>7.6</v>
      </c>
      <c r="G109" s="712">
        <f>VLOOKUP($B109&amp;"_"&amp;$D109,'App5 - CRUK Inci Rates'!C:J,8,FALSE)</f>
        <v>3602002</v>
      </c>
      <c r="H109" s="713">
        <f>VLOOKUP($B109&amp;"_"&amp;$D109,'App5 - CRUK Inci Rates'!C:J,7,FALSE)</f>
        <v>1764828</v>
      </c>
      <c r="I109" s="713">
        <f>VLOOKUP($B109&amp;"_"&amp;$D109,'App5 - CRUK Inci Rates'!C:J,4,FALSE)</f>
        <v>1837174</v>
      </c>
      <c r="J109" s="709">
        <f>VLOOKUP($B109&amp;"_"&amp;$D109,'App5 - CRUK Inci Rates'!C:K,9,FALSE)</f>
        <v>404</v>
      </c>
      <c r="K109" s="706">
        <f t="shared" si="69"/>
        <v>1801001</v>
      </c>
      <c r="L109" s="706" t="e">
        <f>VLOOKUP("*"&amp;$B109&amp;"*",'S4 - Summ PRS Characteristics'!$C$21:$Q$28,11,FALSE)*$J109</f>
        <v>#N/A</v>
      </c>
      <c r="M109" s="706" t="e">
        <f t="shared" si="70"/>
        <v>#N/A</v>
      </c>
      <c r="N109" s="706" t="e">
        <f>IF($C109="other",(1-$C$7)*L109,(1-(VLOOKUP($C109,'S3 - Screening Tool Metrics'!$C$3:$G$17,5,FALSE)/100))*L109)</f>
        <v>#N/A</v>
      </c>
      <c r="O109" s="706" t="e">
        <f>IF($C109="other",$C$7*L109,(VLOOKUP($C109,'S3 - Screening Tool Metrics'!$C$3:$G$17,5,FALSE)/100)*L109)</f>
        <v>#N/A</v>
      </c>
      <c r="P109" s="706" t="e">
        <f t="shared" si="71"/>
        <v>#N/A</v>
      </c>
      <c r="Q109" s="707">
        <f t="shared" si="88"/>
        <v>720400.4</v>
      </c>
      <c r="S109" s="706">
        <f t="shared" si="96"/>
        <v>404</v>
      </c>
      <c r="T109" s="706">
        <f>IF($C109="other",(1-$C104)*R109,(1-(VLOOKUP($C109,'S3 - Screening Tool Metrics'!$C$3:$G$17,5,FALSE)/100))*R109)</f>
        <v>0</v>
      </c>
      <c r="U109" s="706">
        <f>IF($C109="other",$C104*R109,(VLOOKUP($C109,'S3 - Screening Tool Metrics'!$C$3:$G$17,5,FALSE)/100)*R109)</f>
        <v>0</v>
      </c>
      <c r="V109" s="708">
        <f t="shared" si="89"/>
        <v>0</v>
      </c>
      <c r="W109" s="707">
        <f t="shared" si="90"/>
        <v>360200.2</v>
      </c>
      <c r="X109" s="706" t="e">
        <f>VLOOKUP("*"&amp;$B109&amp;"*",'S4 - Summ PRS Characteristics'!$C$21:$Q$28,13,FALSE)*$J109</f>
        <v>#N/A</v>
      </c>
      <c r="Y109" s="706" t="e">
        <f t="shared" si="97"/>
        <v>#N/A</v>
      </c>
      <c r="Z109" s="706" t="e">
        <f>IF($C109="other",(1-$C104)*X109,(1-(VLOOKUP($C109,'S3 - Screening Tool Metrics'!$C$3:$G$17,5,FALSE)/100))*X109)</f>
        <v>#N/A</v>
      </c>
      <c r="AA109" s="706" t="e">
        <f>IF($C109="other",$C104*X109,(VLOOKUP($C109,'S3 - Screening Tool Metrics'!$C$3:$G$17,5,FALSE)/100)*X109)</f>
        <v>#N/A</v>
      </c>
      <c r="AB109" s="708" t="e">
        <f t="shared" si="91"/>
        <v>#N/A</v>
      </c>
      <c r="AC109" s="707">
        <f t="shared" si="92"/>
        <v>180100.1</v>
      </c>
      <c r="AD109" s="706" t="e">
        <f>VLOOKUP("*"&amp;$B109&amp;"*",'S4 - Summ PRS Characteristics'!$C$21:$Q$28,14,FALSE)*$J109</f>
        <v>#N/A</v>
      </c>
      <c r="AE109" s="706" t="e">
        <f t="shared" si="99"/>
        <v>#N/A</v>
      </c>
      <c r="AF109" s="706" t="e">
        <f>IF($C109="other",(1-$C104)*AD109,(1-(VLOOKUP($C109,'S3 - Screening Tool Metrics'!$C$3:$G$17,5,FALSE)/100))*AD109)</f>
        <v>#N/A</v>
      </c>
      <c r="AG109" s="706" t="e">
        <f>IF($C109="other",$C104*AD109,(VLOOKUP($C109,'S3 - Screening Tool Metrics'!$C$3:$G$17,5,FALSE)/100)*AD109)</f>
        <v>#N/A</v>
      </c>
      <c r="AH109" s="708" t="e">
        <f t="shared" si="93"/>
        <v>#N/A</v>
      </c>
      <c r="AI109" s="707">
        <f t="shared" si="94"/>
        <v>36020.020000000004</v>
      </c>
      <c r="AJ109" s="706" t="e">
        <f>VLOOKUP("*"&amp;$B109&amp;"*",'S4 - Summ PRS Characteristics'!$C$21:$Q$28,15,FALSE)*$J109</f>
        <v>#N/A</v>
      </c>
      <c r="AK109" s="706" t="e">
        <f t="shared" si="98"/>
        <v>#N/A</v>
      </c>
      <c r="AL109" s="706" t="e">
        <f>IF($C109="other",(1-$C104)*AJ109,(1-(VLOOKUP($C109,'S3 - Screening Tool Metrics'!$C$3:$G$17,5,FALSE)/100))*AJ109)</f>
        <v>#N/A</v>
      </c>
      <c r="AM109" s="706" t="e">
        <f>IF($C109="other",$C104*AJ109,(VLOOKUP($C109,'S3 - Screening Tool Metrics'!$C$3:$G$17,5,FALSE)/100)*AJ109)</f>
        <v>#N/A</v>
      </c>
      <c r="AN109" s="709" t="e">
        <f t="shared" si="95"/>
        <v>#N/A</v>
      </c>
    </row>
    <row r="110" spans="2:40" ht="14" hidden="1" thickBot="1" x14ac:dyDescent="0.2">
      <c r="B110" s="700" t="s">
        <v>15</v>
      </c>
      <c r="C110" s="721" t="str">
        <f>$C105</f>
        <v>Other</v>
      </c>
      <c r="D110" s="552" t="s">
        <v>197</v>
      </c>
      <c r="E110" s="710">
        <f>VLOOKUP($B110&amp;"_"&amp;$D110,'App5 - CRUK Inci Rates'!C:H,6,FALSE)</f>
        <v>22.7</v>
      </c>
      <c r="F110" s="711">
        <f>VLOOKUP($B110&amp;"_"&amp;$D110,'App5 - CRUK Inci Rates'!C:H,3,FALSE)</f>
        <v>11.3</v>
      </c>
      <c r="G110" s="712">
        <f>VLOOKUP($B110&amp;"_"&amp;$D110,'App5 - CRUK Inci Rates'!C:J,8,FALSE)</f>
        <v>3502183.333333333</v>
      </c>
      <c r="H110" s="713">
        <f>VLOOKUP($B110&amp;"_"&amp;$D110,'App5 - CRUK Inci Rates'!C:J,7,FALSE)</f>
        <v>1696993.3333333333</v>
      </c>
      <c r="I110" s="713">
        <f>VLOOKUP($B110&amp;"_"&amp;$D110,'App5 - CRUK Inci Rates'!C:J,4,FALSE)</f>
        <v>1805190</v>
      </c>
      <c r="J110" s="709">
        <f>VLOOKUP($B110&amp;"_"&amp;$D110,'App5 - CRUK Inci Rates'!C:K,9,FALSE)</f>
        <v>589</v>
      </c>
      <c r="K110" s="706">
        <f t="shared" si="69"/>
        <v>1751091.6666666665</v>
      </c>
      <c r="L110" s="706" t="e">
        <f>VLOOKUP("*"&amp;$B110&amp;"*",'S4 - Summ PRS Characteristics'!$C$21:$Q$28,11,FALSE)*$J110</f>
        <v>#N/A</v>
      </c>
      <c r="M110" s="706" t="e">
        <f t="shared" si="70"/>
        <v>#N/A</v>
      </c>
      <c r="N110" s="706" t="e">
        <f>IF($C110="other",(1-$C$7)*L110,(1-(VLOOKUP($C110,'S3 - Screening Tool Metrics'!$C$3:$G$17,5,FALSE)/100))*L110)</f>
        <v>#N/A</v>
      </c>
      <c r="O110" s="706" t="e">
        <f>IF($C110="other",$C$7*L110,(VLOOKUP($C110,'S3 - Screening Tool Metrics'!$C$3:$G$17,5,FALSE)/100)*L110)</f>
        <v>#N/A</v>
      </c>
      <c r="P110" s="706" t="e">
        <f t="shared" si="71"/>
        <v>#N/A</v>
      </c>
      <c r="Q110" s="707">
        <f t="shared" si="88"/>
        <v>700436.66666666663</v>
      </c>
      <c r="S110" s="706">
        <f t="shared" si="96"/>
        <v>589</v>
      </c>
      <c r="T110" s="706">
        <f>IF($C110="other",(1-$C104)*R110,(1-(VLOOKUP($C110,'S3 - Screening Tool Metrics'!$C$3:$G$17,5,FALSE)/100))*R110)</f>
        <v>0</v>
      </c>
      <c r="U110" s="706">
        <f>IF($C110="other",$C104*R110,(VLOOKUP($C110,'S3 - Screening Tool Metrics'!$C$3:$G$17,5,FALSE)/100)*R110)</f>
        <v>0</v>
      </c>
      <c r="V110" s="708">
        <f t="shared" si="89"/>
        <v>0</v>
      </c>
      <c r="W110" s="707">
        <f t="shared" si="90"/>
        <v>350218.33333333331</v>
      </c>
      <c r="X110" s="706" t="e">
        <f>VLOOKUP("*"&amp;$B110&amp;"*",'S4 - Summ PRS Characteristics'!$C$21:$Q$28,13,FALSE)*$J110</f>
        <v>#N/A</v>
      </c>
      <c r="Y110" s="706" t="e">
        <f t="shared" si="97"/>
        <v>#N/A</v>
      </c>
      <c r="Z110" s="706" t="e">
        <f>IF($C110="other",(1-$C104)*X110,(1-(VLOOKUP($C110,'S3 - Screening Tool Metrics'!$C$3:$G$17,5,FALSE)/100))*X110)</f>
        <v>#N/A</v>
      </c>
      <c r="AA110" s="706" t="e">
        <f>IF($C110="other",$C104*X110,(VLOOKUP($C110,'S3 - Screening Tool Metrics'!$C$3:$G$17,5,FALSE)/100)*X110)</f>
        <v>#N/A</v>
      </c>
      <c r="AB110" s="708" t="e">
        <f t="shared" si="91"/>
        <v>#N/A</v>
      </c>
      <c r="AC110" s="707">
        <f t="shared" si="92"/>
        <v>175109.16666666666</v>
      </c>
      <c r="AD110" s="706" t="e">
        <f>VLOOKUP("*"&amp;$B110&amp;"*",'S4 - Summ PRS Characteristics'!$C$21:$Q$28,14,FALSE)*$J110</f>
        <v>#N/A</v>
      </c>
      <c r="AE110" s="706" t="e">
        <f t="shared" si="99"/>
        <v>#N/A</v>
      </c>
      <c r="AF110" s="706" t="e">
        <f>IF($C110="other",(1-$C104)*AD110,(1-(VLOOKUP($C110,'S3 - Screening Tool Metrics'!$C$3:$G$17,5,FALSE)/100))*AD110)</f>
        <v>#N/A</v>
      </c>
      <c r="AG110" s="706" t="e">
        <f>IF($C110="other",$C104*AD110,(VLOOKUP($C110,'S3 - Screening Tool Metrics'!$C$3:$G$17,5,FALSE)/100)*AD110)</f>
        <v>#N/A</v>
      </c>
      <c r="AH110" s="708" t="e">
        <f t="shared" si="93"/>
        <v>#N/A</v>
      </c>
      <c r="AI110" s="707">
        <f t="shared" si="94"/>
        <v>35021.833333333328</v>
      </c>
      <c r="AJ110" s="706" t="e">
        <f>VLOOKUP("*"&amp;$B110&amp;"*",'S4 - Summ PRS Characteristics'!$C$21:$Q$28,15,FALSE)*$J110</f>
        <v>#N/A</v>
      </c>
      <c r="AK110" s="706" t="e">
        <f t="shared" si="98"/>
        <v>#N/A</v>
      </c>
      <c r="AL110" s="706" t="e">
        <f>IF($C110="other",(1-$C104)*AJ110,(1-(VLOOKUP($C110,'S3 - Screening Tool Metrics'!$C$3:$G$17,5,FALSE)/100))*AJ110)</f>
        <v>#N/A</v>
      </c>
      <c r="AM110" s="706" t="e">
        <f>IF($C110="other",$C104*AJ110,(VLOOKUP($C110,'S3 - Screening Tool Metrics'!$C$3:$G$17,5,FALSE)/100)*AJ110)</f>
        <v>#N/A</v>
      </c>
      <c r="AN110" s="709" t="e">
        <f t="shared" si="95"/>
        <v>#N/A</v>
      </c>
    </row>
    <row r="111" spans="2:40" ht="14" hidden="1" thickBot="1" x14ac:dyDescent="0.2">
      <c r="B111" s="700" t="s">
        <v>15</v>
      </c>
      <c r="C111" s="721" t="str">
        <f>$C105</f>
        <v>Other</v>
      </c>
      <c r="D111" s="552" t="s">
        <v>198</v>
      </c>
      <c r="E111" s="710">
        <f>VLOOKUP($B111&amp;"_"&amp;$D111,'App5 - CRUK Inci Rates'!C:H,6,FALSE)</f>
        <v>29.2</v>
      </c>
      <c r="F111" s="711">
        <f>VLOOKUP($B111&amp;"_"&amp;$D111,'App5 - CRUK Inci Rates'!C:H,3,FALSE)</f>
        <v>15.3</v>
      </c>
      <c r="G111" s="712">
        <f>VLOOKUP($B111&amp;"_"&amp;$D111,'App5 - CRUK Inci Rates'!C:J,8,FALSE)</f>
        <v>3071574.666666667</v>
      </c>
      <c r="H111" s="713">
        <f>VLOOKUP($B111&amp;"_"&amp;$D111,'App5 - CRUK Inci Rates'!C:J,7,FALSE)</f>
        <v>1467965</v>
      </c>
      <c r="I111" s="713">
        <f>VLOOKUP($B111&amp;"_"&amp;$D111,'App5 - CRUK Inci Rates'!C:J,4,FALSE)</f>
        <v>1603609.6666666667</v>
      </c>
      <c r="J111" s="709">
        <f>VLOOKUP($B111&amp;"_"&amp;$D111,'App5 - CRUK Inci Rates'!C:K,9,FALSE)</f>
        <v>674</v>
      </c>
      <c r="K111" s="706">
        <f t="shared" si="69"/>
        <v>1535787.3333333335</v>
      </c>
      <c r="L111" s="706" t="e">
        <f>VLOOKUP("*"&amp;$B111&amp;"*",'S4 - Summ PRS Characteristics'!$C$21:$Q$28,11,FALSE)*$J111</f>
        <v>#N/A</v>
      </c>
      <c r="M111" s="706" t="e">
        <f t="shared" si="70"/>
        <v>#N/A</v>
      </c>
      <c r="N111" s="706" t="e">
        <f>IF($C111="other",(1-$C$7)*L111,(1-(VLOOKUP($C111,'S3 - Screening Tool Metrics'!$C$3:$G$17,5,FALSE)/100))*L111)</f>
        <v>#N/A</v>
      </c>
      <c r="O111" s="706" t="e">
        <f>IF($C111="other",$C$7*L111,(VLOOKUP($C111,'S3 - Screening Tool Metrics'!$C$3:$G$17,5,FALSE)/100)*L111)</f>
        <v>#N/A</v>
      </c>
      <c r="P111" s="706" t="e">
        <f t="shared" si="71"/>
        <v>#N/A</v>
      </c>
      <c r="Q111" s="707">
        <f t="shared" si="88"/>
        <v>614314.93333333347</v>
      </c>
      <c r="S111" s="706">
        <f t="shared" si="96"/>
        <v>674</v>
      </c>
      <c r="T111" s="706">
        <f>IF($C111="other",(1-$C104)*R111,(1-(VLOOKUP($C111,'S3 - Screening Tool Metrics'!$C$3:$G$17,5,FALSE)/100))*R111)</f>
        <v>0</v>
      </c>
      <c r="U111" s="706">
        <f>IF($C111="other",$C104*R111,(VLOOKUP($C111,'S3 - Screening Tool Metrics'!$C$3:$G$17,5,FALSE)/100)*R111)</f>
        <v>0</v>
      </c>
      <c r="V111" s="708">
        <f t="shared" si="89"/>
        <v>0</v>
      </c>
      <c r="W111" s="707">
        <f t="shared" si="90"/>
        <v>307157.46666666673</v>
      </c>
      <c r="X111" s="706" t="e">
        <f>VLOOKUP("*"&amp;$B111&amp;"*",'S4 - Summ PRS Characteristics'!$C$21:$Q$28,13,FALSE)*$J111</f>
        <v>#N/A</v>
      </c>
      <c r="Y111" s="706" t="e">
        <f t="shared" si="97"/>
        <v>#N/A</v>
      </c>
      <c r="Z111" s="706" t="e">
        <f>IF($C111="other",(1-$C104)*X111,(1-(VLOOKUP($C111,'S3 - Screening Tool Metrics'!$C$3:$G$17,5,FALSE)/100))*X111)</f>
        <v>#N/A</v>
      </c>
      <c r="AA111" s="706" t="e">
        <f>IF($C111="other",$C104*X111,(VLOOKUP($C111,'S3 - Screening Tool Metrics'!$C$3:$G$17,5,FALSE)/100)*X111)</f>
        <v>#N/A</v>
      </c>
      <c r="AB111" s="708" t="e">
        <f t="shared" si="91"/>
        <v>#N/A</v>
      </c>
      <c r="AC111" s="707">
        <f t="shared" si="92"/>
        <v>153578.73333333337</v>
      </c>
      <c r="AD111" s="706" t="e">
        <f>VLOOKUP("*"&amp;$B111&amp;"*",'S4 - Summ PRS Characteristics'!$C$21:$Q$28,14,FALSE)*$J111</f>
        <v>#N/A</v>
      </c>
      <c r="AE111" s="706" t="e">
        <f t="shared" si="99"/>
        <v>#N/A</v>
      </c>
      <c r="AF111" s="706" t="e">
        <f>IF($C111="other",(1-$C104)*AD111,(1-(VLOOKUP($C111,'S3 - Screening Tool Metrics'!$C$3:$G$17,5,FALSE)/100))*AD111)</f>
        <v>#N/A</v>
      </c>
      <c r="AG111" s="706" t="e">
        <f>IF($C111="other",$C104*AD111,(VLOOKUP($C111,'S3 - Screening Tool Metrics'!$C$3:$G$17,5,FALSE)/100)*AD111)</f>
        <v>#N/A</v>
      </c>
      <c r="AH111" s="708" t="e">
        <f t="shared" si="93"/>
        <v>#N/A</v>
      </c>
      <c r="AI111" s="707">
        <f t="shared" si="94"/>
        <v>30715.74666666667</v>
      </c>
      <c r="AJ111" s="706" t="e">
        <f>VLOOKUP("*"&amp;$B111&amp;"*",'S4 - Summ PRS Characteristics'!$C$21:$Q$28,15,FALSE)*$J111</f>
        <v>#N/A</v>
      </c>
      <c r="AK111" s="706" t="e">
        <f t="shared" si="98"/>
        <v>#N/A</v>
      </c>
      <c r="AL111" s="706" t="e">
        <f>IF($C111="other",(1-$C104)*AJ111,(1-(VLOOKUP($C111,'S3 - Screening Tool Metrics'!$C$3:$G$17,5,FALSE)/100))*AJ111)</f>
        <v>#N/A</v>
      </c>
      <c r="AM111" s="706" t="e">
        <f>IF($C111="other",$C104*AJ111,(VLOOKUP($C111,'S3 - Screening Tool Metrics'!$C$3:$G$17,5,FALSE)/100)*AJ111)</f>
        <v>#N/A</v>
      </c>
      <c r="AN111" s="709" t="e">
        <f t="shared" si="95"/>
        <v>#N/A</v>
      </c>
    </row>
    <row r="112" spans="2:40" ht="14" hidden="1" thickBot="1" x14ac:dyDescent="0.2">
      <c r="B112" s="700" t="s">
        <v>15</v>
      </c>
      <c r="C112" s="721" t="str">
        <f>$C105</f>
        <v>Other</v>
      </c>
      <c r="D112" s="552" t="s">
        <v>199</v>
      </c>
      <c r="E112" s="710">
        <f>VLOOKUP($B112&amp;"_"&amp;$D112,'App5 - CRUK Inci Rates'!C:H,6,FALSE)</f>
        <v>35.799999999999997</v>
      </c>
      <c r="F112" s="711">
        <f>VLOOKUP($B112&amp;"_"&amp;$D112,'App5 - CRUK Inci Rates'!C:H,3,FALSE)</f>
        <v>18.2</v>
      </c>
      <c r="G112" s="712">
        <f>VLOOKUP($B112&amp;"_"&amp;$D112,'App5 - CRUK Inci Rates'!C:J,8,FALSE)</f>
        <v>2189010.6666666665</v>
      </c>
      <c r="H112" s="713">
        <f>VLOOKUP($B112&amp;"_"&amp;$D112,'App5 - CRUK Inci Rates'!C:J,7,FALSE)</f>
        <v>1007365.3333333334</v>
      </c>
      <c r="I112" s="713">
        <f>VLOOKUP($B112&amp;"_"&amp;$D112,'App5 - CRUK Inci Rates'!C:J,4,FALSE)</f>
        <v>1181645.3333333333</v>
      </c>
      <c r="J112" s="709">
        <f>VLOOKUP($B112&amp;"_"&amp;$D112,'App5 - CRUK Inci Rates'!C:K,9,FALSE)</f>
        <v>576</v>
      </c>
      <c r="K112" s="706">
        <f t="shared" si="69"/>
        <v>1094505.3333333333</v>
      </c>
      <c r="L112" s="706" t="e">
        <f>VLOOKUP("*"&amp;$B112&amp;"*",'S4 - Summ PRS Characteristics'!$C$21:$Q$28,11,FALSE)*$J112</f>
        <v>#N/A</v>
      </c>
      <c r="M112" s="706" t="e">
        <f t="shared" si="70"/>
        <v>#N/A</v>
      </c>
      <c r="N112" s="706" t="e">
        <f>IF($C112="other",(1-$C$7)*L112,(1-(VLOOKUP($C112,'S3 - Screening Tool Metrics'!$C$3:$G$17,5,FALSE)/100))*L112)</f>
        <v>#N/A</v>
      </c>
      <c r="O112" s="706" t="e">
        <f>IF($C112="other",$C$7*L112,(VLOOKUP($C112,'S3 - Screening Tool Metrics'!$C$3:$G$17,5,FALSE)/100)*L112)</f>
        <v>#N/A</v>
      </c>
      <c r="P112" s="706" t="e">
        <f t="shared" si="71"/>
        <v>#N/A</v>
      </c>
      <c r="Q112" s="707">
        <f t="shared" si="88"/>
        <v>437802.1333333333</v>
      </c>
      <c r="S112" s="706">
        <f t="shared" si="96"/>
        <v>576</v>
      </c>
      <c r="T112" s="706">
        <f>IF($C112="other",(1-$C104)*R112,(1-(VLOOKUP($C112,'S3 - Screening Tool Metrics'!$C$3:$G$17,5,FALSE)/100))*R112)</f>
        <v>0</v>
      </c>
      <c r="U112" s="706">
        <f>IF($C112="other",$C104*R112,(VLOOKUP($C112,'S3 - Screening Tool Metrics'!$C$3:$G$17,5,FALSE)/100)*R112)</f>
        <v>0</v>
      </c>
      <c r="V112" s="708">
        <f t="shared" si="89"/>
        <v>0</v>
      </c>
      <c r="W112" s="707">
        <f t="shared" si="90"/>
        <v>218901.06666666665</v>
      </c>
      <c r="X112" s="706" t="e">
        <f>VLOOKUP("*"&amp;$B112&amp;"*",'S4 - Summ PRS Characteristics'!$C$21:$Q$28,13,FALSE)*$J112</f>
        <v>#N/A</v>
      </c>
      <c r="Y112" s="706" t="e">
        <f t="shared" si="97"/>
        <v>#N/A</v>
      </c>
      <c r="Z112" s="706" t="e">
        <f>IF($C112="other",(1-$C104)*X112,(1-(VLOOKUP($C112,'S3 - Screening Tool Metrics'!$C$3:$G$17,5,FALSE)/100))*X112)</f>
        <v>#N/A</v>
      </c>
      <c r="AA112" s="706" t="e">
        <f>IF($C112="other",$C104*X112,(VLOOKUP($C112,'S3 - Screening Tool Metrics'!$C$3:$G$17,5,FALSE)/100)*X112)</f>
        <v>#N/A</v>
      </c>
      <c r="AB112" s="708" t="e">
        <f t="shared" si="91"/>
        <v>#N/A</v>
      </c>
      <c r="AC112" s="707">
        <f t="shared" si="92"/>
        <v>109450.53333333333</v>
      </c>
      <c r="AD112" s="706" t="e">
        <f>VLOOKUP("*"&amp;$B112&amp;"*",'S4 - Summ PRS Characteristics'!$C$21:$Q$28,14,FALSE)*$J112</f>
        <v>#N/A</v>
      </c>
      <c r="AE112" s="706" t="e">
        <f t="shared" si="99"/>
        <v>#N/A</v>
      </c>
      <c r="AF112" s="706" t="e">
        <f>IF($C112="other",(1-$C104)*AD112,(1-(VLOOKUP($C112,'S3 - Screening Tool Metrics'!$C$3:$G$17,5,FALSE)/100))*AD112)</f>
        <v>#N/A</v>
      </c>
      <c r="AG112" s="706" t="e">
        <f>IF($C112="other",$C104*AD112,(VLOOKUP($C112,'S3 - Screening Tool Metrics'!$C$3:$G$17,5,FALSE)/100)*AD112)</f>
        <v>#N/A</v>
      </c>
      <c r="AH112" s="708" t="e">
        <f t="shared" si="93"/>
        <v>#N/A</v>
      </c>
      <c r="AI112" s="707">
        <f t="shared" si="94"/>
        <v>21890.106666666667</v>
      </c>
      <c r="AJ112" s="706" t="e">
        <f>VLOOKUP("*"&amp;$B112&amp;"*",'S4 - Summ PRS Characteristics'!$C$21:$Q$28,15,FALSE)*$J112</f>
        <v>#N/A</v>
      </c>
      <c r="AK112" s="706" t="e">
        <f t="shared" si="98"/>
        <v>#N/A</v>
      </c>
      <c r="AL112" s="706" t="e">
        <f>IF($C112="other",(1-$C104)*AJ112,(1-(VLOOKUP($C112,'S3 - Screening Tool Metrics'!$C$3:$G$17,5,FALSE)/100))*AJ112)</f>
        <v>#N/A</v>
      </c>
      <c r="AM112" s="706" t="e">
        <f>IF($C112="other",$C104*AJ112,(VLOOKUP($C112,'S3 - Screening Tool Metrics'!$C$3:$G$17,5,FALSE)/100)*AJ112)</f>
        <v>#N/A</v>
      </c>
      <c r="AN112" s="709" t="e">
        <f t="shared" si="95"/>
        <v>#N/A</v>
      </c>
    </row>
    <row r="113" spans="2:40" ht="14" hidden="1" thickBot="1" x14ac:dyDescent="0.2">
      <c r="B113" s="700" t="s">
        <v>15</v>
      </c>
      <c r="C113" s="721" t="str">
        <f>$C105</f>
        <v>Other</v>
      </c>
      <c r="D113" s="552" t="s">
        <v>200</v>
      </c>
      <c r="E113" s="710">
        <f>VLOOKUP($B113&amp;"_"&amp;$D113,'App5 - CRUK Inci Rates'!C:H,6,FALSE)</f>
        <v>8.7177487409166687</v>
      </c>
      <c r="F113" s="711">
        <f>VLOOKUP($B113&amp;"_"&amp;$D113,'App5 - CRUK Inci Rates'!C:H,3,FALSE)</f>
        <v>4.121189540148869</v>
      </c>
      <c r="G113" s="712">
        <f>VLOOKUP($B113&amp;"_"&amp;$D113,'App5 - CRUK Inci Rates'!C:J,8,FALSE)</f>
        <v>24586669.333333336</v>
      </c>
      <c r="H113" s="713">
        <f>VLOOKUP($B113&amp;"_"&amp;$D113,'App5 - CRUK Inci Rates'!C:J,7,FALSE)</f>
        <v>12090277.333333334</v>
      </c>
      <c r="I113" s="713">
        <f>VLOOKUP($B113&amp;"_"&amp;$D113,'App5 - CRUK Inci Rates'!C:J,4,FALSE)</f>
        <v>12496392</v>
      </c>
      <c r="J113" s="709">
        <f>VLOOKUP($B113&amp;"_"&amp;$D113,'App5 - CRUK Inci Rates'!C:K,9,FALSE)</f>
        <v>1569</v>
      </c>
      <c r="K113" s="706">
        <f t="shared" si="69"/>
        <v>12293334.666666668</v>
      </c>
      <c r="L113" s="706" t="e">
        <f>VLOOKUP("*"&amp;$B113&amp;"*",'S4 - Summ PRS Characteristics'!$C$21:$Q$28,11,FALSE)*$J113</f>
        <v>#N/A</v>
      </c>
      <c r="M113" s="706" t="e">
        <f t="shared" si="70"/>
        <v>#N/A</v>
      </c>
      <c r="N113" s="706" t="e">
        <f>IF($C113="other",(1-$C$7)*L113,(1-(VLOOKUP($C113,'S3 - Screening Tool Metrics'!$C$3:$G$17,5,FALSE)/100))*L113)</f>
        <v>#N/A</v>
      </c>
      <c r="O113" s="706" t="e">
        <f>IF($C113="other",$C$7*L113,(VLOOKUP($C113,'S3 - Screening Tool Metrics'!$C$3:$G$17,5,FALSE)/100)*L113)</f>
        <v>#N/A</v>
      </c>
      <c r="P113" s="706" t="e">
        <f t="shared" si="71"/>
        <v>#N/A</v>
      </c>
      <c r="Q113" s="707">
        <f t="shared" si="88"/>
        <v>4917333.8666666672</v>
      </c>
      <c r="S113" s="706">
        <f t="shared" si="96"/>
        <v>1569</v>
      </c>
      <c r="T113" s="706">
        <f>IF($C113="other",(1-$C104)*R113,(1-(VLOOKUP($C113,'S3 - Screening Tool Metrics'!$C$3:$G$17,5,FALSE)/100))*R113)</f>
        <v>0</v>
      </c>
      <c r="U113" s="706">
        <f>IF($C113="other",$C104*R113,(VLOOKUP($C113,'S3 - Screening Tool Metrics'!$C$3:$G$17,5,FALSE)/100)*R113)</f>
        <v>0</v>
      </c>
      <c r="V113" s="708">
        <f t="shared" si="89"/>
        <v>0</v>
      </c>
      <c r="W113" s="707">
        <f t="shared" si="90"/>
        <v>2458666.9333333336</v>
      </c>
      <c r="X113" s="706" t="e">
        <f>VLOOKUP("*"&amp;$B113&amp;"*",'S4 - Summ PRS Characteristics'!$C$21:$Q$28,13,FALSE)*$J113</f>
        <v>#N/A</v>
      </c>
      <c r="Y113" s="706" t="e">
        <f t="shared" si="97"/>
        <v>#N/A</v>
      </c>
      <c r="Z113" s="706" t="e">
        <f>IF($C113="other",(1-$C104)*X113,(1-(VLOOKUP($C113,'S3 - Screening Tool Metrics'!$C$3:$G$17,5,FALSE)/100))*X113)</f>
        <v>#N/A</v>
      </c>
      <c r="AA113" s="706" t="e">
        <f>IF($C113="other",$C104*X113,(VLOOKUP($C113,'S3 - Screening Tool Metrics'!$C$3:$G$17,5,FALSE)/100)*X113)</f>
        <v>#N/A</v>
      </c>
      <c r="AB113" s="708" t="e">
        <f t="shared" si="91"/>
        <v>#N/A</v>
      </c>
      <c r="AC113" s="707">
        <f t="shared" si="92"/>
        <v>1229333.4666666668</v>
      </c>
      <c r="AD113" s="706" t="e">
        <f>VLOOKUP("*"&amp;$B113&amp;"*",'S4 - Summ PRS Characteristics'!$C$21:$Q$28,14,FALSE)*$J113</f>
        <v>#N/A</v>
      </c>
      <c r="AE113" s="706" t="e">
        <f t="shared" si="99"/>
        <v>#N/A</v>
      </c>
      <c r="AF113" s="706" t="e">
        <f>IF($C113="other",(1-$C104)*AD113,(1-(VLOOKUP($C113,'S3 - Screening Tool Metrics'!$C$3:$G$17,5,FALSE)/100))*AD113)</f>
        <v>#N/A</v>
      </c>
      <c r="AG113" s="706" t="e">
        <f>IF($C113="other",$C104*AD113,(VLOOKUP($C113,'S3 - Screening Tool Metrics'!$C$3:$G$17,5,FALSE)/100)*AD113)</f>
        <v>#N/A</v>
      </c>
      <c r="AH113" s="708" t="e">
        <f t="shared" si="93"/>
        <v>#N/A</v>
      </c>
      <c r="AI113" s="707">
        <f t="shared" si="94"/>
        <v>245866.69333333336</v>
      </c>
      <c r="AJ113" s="706" t="e">
        <f>VLOOKUP("*"&amp;$B113&amp;"*",'S4 - Summ PRS Characteristics'!$C$21:$Q$28,15,FALSE)*$J113</f>
        <v>#N/A</v>
      </c>
      <c r="AK113" s="706" t="e">
        <f t="shared" si="98"/>
        <v>#N/A</v>
      </c>
      <c r="AL113" s="706" t="e">
        <f>IF($C113="other",(1-$C104)*AJ113,(1-(VLOOKUP($C113,'S3 - Screening Tool Metrics'!$C$3:$G$17,5,FALSE)/100))*AJ113)</f>
        <v>#N/A</v>
      </c>
      <c r="AM113" s="706" t="e">
        <f>IF($C113="other",$C104*AJ113,(VLOOKUP($C113,'S3 - Screening Tool Metrics'!$C$3:$G$17,5,FALSE)/100)*AJ113)</f>
        <v>#N/A</v>
      </c>
      <c r="AN113" s="709" t="e">
        <f t="shared" si="95"/>
        <v>#N/A</v>
      </c>
    </row>
    <row r="114" spans="2:40" ht="14" hidden="1" thickBot="1" x14ac:dyDescent="0.2">
      <c r="B114" s="700" t="s">
        <v>15</v>
      </c>
      <c r="C114" s="721" t="str">
        <f>$C105</f>
        <v>Other</v>
      </c>
      <c r="D114" s="552" t="s">
        <v>201</v>
      </c>
      <c r="E114" s="710">
        <f>VLOOKUP($B114&amp;"_"&amp;$D114,'App5 - CRUK Inci Rates'!C:H,6,FALSE)</f>
        <v>2.0360094402190962</v>
      </c>
      <c r="F114" s="711">
        <f>VLOOKUP($B114&amp;"_"&amp;$D114,'App5 - CRUK Inci Rates'!C:H,3,FALSE)</f>
        <v>0.91539409088703805</v>
      </c>
      <c r="G114" s="712">
        <f>VLOOKUP($B114&amp;"_"&amp;$D114,'App5 - CRUK Inci Rates'!C:J,8,FALSE)</f>
        <v>8642767.333333334</v>
      </c>
      <c r="H114" s="713">
        <f>VLOOKUP($B114&amp;"_"&amp;$D114,'App5 - CRUK Inci Rates'!C:J,7,FALSE)</f>
        <v>4273064.666666667</v>
      </c>
      <c r="I114" s="713">
        <f>VLOOKUP($B114&amp;"_"&amp;$D114,'App5 - CRUK Inci Rates'!C:J,4,FALSE)</f>
        <v>4369702.666666667</v>
      </c>
      <c r="J114" s="709">
        <f>VLOOKUP($B114&amp;"_"&amp;$D114,'App5 - CRUK Inci Rates'!C:K,9,FALSE)</f>
        <v>127</v>
      </c>
      <c r="K114" s="706">
        <f t="shared" si="69"/>
        <v>4321383.666666667</v>
      </c>
      <c r="L114" s="706" t="e">
        <f>VLOOKUP("*"&amp;$B114&amp;"*",'S4 - Summ PRS Characteristics'!$C$21:$Q$28,11,FALSE)*$J114</f>
        <v>#N/A</v>
      </c>
      <c r="M114" s="706" t="e">
        <f t="shared" si="70"/>
        <v>#N/A</v>
      </c>
      <c r="N114" s="706" t="e">
        <f>IF($C114="other",(1-$C$7)*L114,(1-(VLOOKUP($C114,'S3 - Screening Tool Metrics'!$C$3:$G$17,5,FALSE)/100))*L114)</f>
        <v>#N/A</v>
      </c>
      <c r="O114" s="706" t="e">
        <f>IF($C114="other",$C$7*L114,(VLOOKUP($C114,'S3 - Screening Tool Metrics'!$C$3:$G$17,5,FALSE)/100)*L114)</f>
        <v>#N/A</v>
      </c>
      <c r="P114" s="706" t="e">
        <f t="shared" si="71"/>
        <v>#N/A</v>
      </c>
      <c r="Q114" s="707">
        <f t="shared" si="88"/>
        <v>1728553.4666666668</v>
      </c>
      <c r="S114" s="706">
        <f t="shared" si="96"/>
        <v>127</v>
      </c>
      <c r="T114" s="706">
        <f>IF($C114="other",(1-$C104)*R114,(1-(VLOOKUP($C114,'S3 - Screening Tool Metrics'!$C$3:$G$17,5,FALSE)/100))*R114)</f>
        <v>0</v>
      </c>
      <c r="U114" s="706">
        <f>IF($C114="other",$C104*R114,(VLOOKUP($C114,'S3 - Screening Tool Metrics'!$C$3:$G$17,5,FALSE)/100)*R114)</f>
        <v>0</v>
      </c>
      <c r="V114" s="708">
        <f t="shared" si="89"/>
        <v>0</v>
      </c>
      <c r="W114" s="707">
        <f t="shared" si="90"/>
        <v>864276.7333333334</v>
      </c>
      <c r="X114" s="706" t="e">
        <f>VLOOKUP("*"&amp;$B114&amp;"*",'S4 - Summ PRS Characteristics'!$C$21:$Q$28,13,FALSE)*$J114</f>
        <v>#N/A</v>
      </c>
      <c r="Y114" s="706" t="e">
        <f t="shared" si="97"/>
        <v>#N/A</v>
      </c>
      <c r="Z114" s="706" t="e">
        <f>IF($C114="other",(1-$C104)*X114,(1-(VLOOKUP($C114,'S3 - Screening Tool Metrics'!$C$3:$G$17,5,FALSE)/100))*X114)</f>
        <v>#N/A</v>
      </c>
      <c r="AA114" s="706" t="e">
        <f>IF($C114="other",$C104*X114,(VLOOKUP($C114,'S3 - Screening Tool Metrics'!$C$3:$G$17,5,FALSE)/100)*X114)</f>
        <v>#N/A</v>
      </c>
      <c r="AB114" s="708" t="e">
        <f t="shared" si="91"/>
        <v>#N/A</v>
      </c>
      <c r="AC114" s="707">
        <f t="shared" si="92"/>
        <v>432138.3666666667</v>
      </c>
      <c r="AD114" s="706" t="e">
        <f>VLOOKUP("*"&amp;$B114&amp;"*",'S4 - Summ PRS Characteristics'!$C$21:$Q$28,14,FALSE)*$J114</f>
        <v>#N/A</v>
      </c>
      <c r="AE114" s="706" t="e">
        <f t="shared" si="99"/>
        <v>#N/A</v>
      </c>
      <c r="AF114" s="706" t="e">
        <f>IF($C114="other",(1-$C104)*AD114,(1-(VLOOKUP($C114,'S3 - Screening Tool Metrics'!$C$3:$G$17,5,FALSE)/100))*AD114)</f>
        <v>#N/A</v>
      </c>
      <c r="AG114" s="706" t="e">
        <f>IF($C114="other",$C104*AD114,(VLOOKUP($C114,'S3 - Screening Tool Metrics'!$C$3:$G$17,5,FALSE)/100)*AD114)</f>
        <v>#N/A</v>
      </c>
      <c r="AH114" s="708" t="e">
        <f t="shared" si="93"/>
        <v>#N/A</v>
      </c>
      <c r="AI114" s="707">
        <f t="shared" si="94"/>
        <v>86427.67333333334</v>
      </c>
      <c r="AJ114" s="706" t="e">
        <f>VLOOKUP("*"&amp;$B114&amp;"*",'S4 - Summ PRS Characteristics'!$C$21:$Q$28,15,FALSE)*$J114</f>
        <v>#N/A</v>
      </c>
      <c r="AK114" s="706" t="e">
        <f t="shared" si="98"/>
        <v>#N/A</v>
      </c>
      <c r="AL114" s="706" t="e">
        <f>IF($C114="other",(1-$C104)*AJ114,(1-(VLOOKUP($C114,'S3 - Screening Tool Metrics'!$C$3:$G$17,5,FALSE)/100))*AJ114)</f>
        <v>#N/A</v>
      </c>
      <c r="AM114" s="706" t="e">
        <f>IF($C114="other",$C104*AJ114,(VLOOKUP($C114,'S3 - Screening Tool Metrics'!$C$3:$G$17,5,FALSE)/100)*AJ114)</f>
        <v>#N/A</v>
      </c>
      <c r="AN114" s="709" t="e">
        <f t="shared" si="95"/>
        <v>#N/A</v>
      </c>
    </row>
    <row r="115" spans="2:40" ht="14" hidden="1" thickBot="1" x14ac:dyDescent="0.2">
      <c r="B115" s="700" t="s">
        <v>15</v>
      </c>
      <c r="C115" s="721" t="str">
        <f>$C105</f>
        <v>Other</v>
      </c>
      <c r="D115" s="552" t="s">
        <v>202</v>
      </c>
      <c r="E115" s="710">
        <f>VLOOKUP($B115&amp;"_"&amp;$D115,'App5 - CRUK Inci Rates'!C:H,6,FALSE)</f>
        <v>7.2553755980901533</v>
      </c>
      <c r="F115" s="711">
        <f>VLOOKUP($B115&amp;"_"&amp;$D115,'App5 - CRUK Inci Rates'!C:H,3,FALSE)</f>
        <v>2.9658865071936495</v>
      </c>
      <c r="G115" s="712">
        <f>VLOOKUP($B115&amp;"_"&amp;$D115,'App5 - CRUK Inci Rates'!C:J,8,FALSE)</f>
        <v>8839716.6666666679</v>
      </c>
      <c r="H115" s="713">
        <f>VLOOKUP($B115&amp;"_"&amp;$D115,'App5 - CRUK Inci Rates'!C:J,7,FALSE)</f>
        <v>4355391.333333333</v>
      </c>
      <c r="I115" s="713">
        <f>VLOOKUP($B115&amp;"_"&amp;$D115,'App5 - CRUK Inci Rates'!C:J,4,FALSE)</f>
        <v>4484325.333333334</v>
      </c>
      <c r="J115" s="709">
        <f>VLOOKUP($B115&amp;"_"&amp;$D115,'App5 - CRUK Inci Rates'!C:K,9,FALSE)</f>
        <v>449</v>
      </c>
      <c r="K115" s="706">
        <f t="shared" si="69"/>
        <v>4419858.333333334</v>
      </c>
      <c r="L115" s="706" t="e">
        <f>VLOOKUP("*"&amp;$B115&amp;"*",'S4 - Summ PRS Characteristics'!$C$21:$Q$28,11,FALSE)*$J115</f>
        <v>#N/A</v>
      </c>
      <c r="M115" s="706" t="e">
        <f t="shared" si="70"/>
        <v>#N/A</v>
      </c>
      <c r="N115" s="706" t="e">
        <f>IF($C115="other",(1-$C$7)*L115,(1-(VLOOKUP($C115,'S3 - Screening Tool Metrics'!$C$3:$G$17,5,FALSE)/100))*L115)</f>
        <v>#N/A</v>
      </c>
      <c r="O115" s="706" t="e">
        <f>IF($C115="other",$C$7*L115,(VLOOKUP($C115,'S3 - Screening Tool Metrics'!$C$3:$G$17,5,FALSE)/100)*L115)</f>
        <v>#N/A</v>
      </c>
      <c r="P115" s="706" t="e">
        <f t="shared" si="71"/>
        <v>#N/A</v>
      </c>
      <c r="Q115" s="707">
        <f t="shared" si="88"/>
        <v>1767943.3333333337</v>
      </c>
      <c r="S115" s="706">
        <f t="shared" si="96"/>
        <v>449</v>
      </c>
      <c r="T115" s="706">
        <f>IF($C115="other",(1-$C104)*R115,(1-(VLOOKUP($C115,'S3 - Screening Tool Metrics'!$C$3:$G$17,5,FALSE)/100))*R115)</f>
        <v>0</v>
      </c>
      <c r="U115" s="706">
        <f>IF($C115="other",$C104*R115,(VLOOKUP($C115,'S3 - Screening Tool Metrics'!$C$3:$G$17,5,FALSE)/100)*R115)</f>
        <v>0</v>
      </c>
      <c r="V115" s="708">
        <f t="shared" si="89"/>
        <v>0</v>
      </c>
      <c r="W115" s="707">
        <f t="shared" si="90"/>
        <v>883971.66666666686</v>
      </c>
      <c r="X115" s="706" t="e">
        <f>VLOOKUP("*"&amp;$B115&amp;"*",'S4 - Summ PRS Characteristics'!$C$21:$Q$28,13,FALSE)*$J115</f>
        <v>#N/A</v>
      </c>
      <c r="Y115" s="706" t="e">
        <f t="shared" si="97"/>
        <v>#N/A</v>
      </c>
      <c r="Z115" s="706" t="e">
        <f>IF($C115="other",(1-$C104)*X115,(1-(VLOOKUP($C115,'S3 - Screening Tool Metrics'!$C$3:$G$17,5,FALSE)/100))*X115)</f>
        <v>#N/A</v>
      </c>
      <c r="AA115" s="706" t="e">
        <f>IF($C115="other",$C104*X115,(VLOOKUP($C115,'S3 - Screening Tool Metrics'!$C$3:$G$17,5,FALSE)/100)*X115)</f>
        <v>#N/A</v>
      </c>
      <c r="AB115" s="708" t="e">
        <f t="shared" si="91"/>
        <v>#N/A</v>
      </c>
      <c r="AC115" s="707">
        <f t="shared" si="92"/>
        <v>441985.83333333343</v>
      </c>
      <c r="AD115" s="706" t="e">
        <f>VLOOKUP("*"&amp;$B115&amp;"*",'S4 - Summ PRS Characteristics'!$C$21:$Q$28,14,FALSE)*$J115</f>
        <v>#N/A</v>
      </c>
      <c r="AE115" s="706" t="e">
        <f t="shared" si="99"/>
        <v>#N/A</v>
      </c>
      <c r="AF115" s="706" t="e">
        <f>IF($C115="other",(1-$C104)*AD115,(1-(VLOOKUP($C115,'S3 - Screening Tool Metrics'!$C$3:$G$17,5,FALSE)/100))*AD115)</f>
        <v>#N/A</v>
      </c>
      <c r="AG115" s="706" t="e">
        <f>IF($C115="other",$C104*AD115,(VLOOKUP($C115,'S3 - Screening Tool Metrics'!$C$3:$G$17,5,FALSE)/100)*AD115)</f>
        <v>#N/A</v>
      </c>
      <c r="AH115" s="708" t="e">
        <f t="shared" si="93"/>
        <v>#N/A</v>
      </c>
      <c r="AI115" s="707">
        <f t="shared" si="94"/>
        <v>88397.166666666686</v>
      </c>
      <c r="AJ115" s="706" t="e">
        <f>VLOOKUP("*"&amp;$B115&amp;"*",'S4 - Summ PRS Characteristics'!$C$21:$Q$28,15,FALSE)*$J115</f>
        <v>#N/A</v>
      </c>
      <c r="AK115" s="706" t="e">
        <f t="shared" si="98"/>
        <v>#N/A</v>
      </c>
      <c r="AL115" s="706" t="e">
        <f>IF($C115="other",(1-$C104)*AJ115,(1-(VLOOKUP($C115,'S3 - Screening Tool Metrics'!$C$3:$G$17,5,FALSE)/100))*AJ115)</f>
        <v>#N/A</v>
      </c>
      <c r="AM115" s="706" t="e">
        <f>IF($C115="other",$C104*AJ115,(VLOOKUP($C115,'S3 - Screening Tool Metrics'!$C$3:$G$17,5,FALSE)/100)*AJ115)</f>
        <v>#N/A</v>
      </c>
      <c r="AN115" s="709" t="e">
        <f t="shared" si="95"/>
        <v>#N/A</v>
      </c>
    </row>
    <row r="116" spans="2:40" ht="14" hidden="1" thickBot="1" x14ac:dyDescent="0.2">
      <c r="B116" s="700" t="s">
        <v>15</v>
      </c>
      <c r="C116" s="721" t="str">
        <f>$C105</f>
        <v>Other</v>
      </c>
      <c r="D116" s="552" t="s">
        <v>203</v>
      </c>
      <c r="E116" s="710">
        <f>VLOOKUP($B116&amp;"_"&amp;$D116,'App5 - CRUK Inci Rates'!C:H,6,FALSE)</f>
        <v>12.37013806882061</v>
      </c>
      <c r="F116" s="711">
        <f>VLOOKUP($B116&amp;"_"&amp;$D116,'App5 - CRUK Inci Rates'!C:H,3,FALSE)</f>
        <v>5.8449385785142187</v>
      </c>
      <c r="G116" s="712">
        <f>VLOOKUP($B116&amp;"_"&amp;$D116,'App5 - CRUK Inci Rates'!C:J,8,FALSE)</f>
        <v>15943902</v>
      </c>
      <c r="H116" s="713">
        <f>VLOOKUP($B116&amp;"_"&amp;$D116,'App5 - CRUK Inci Rates'!C:J,7,FALSE)</f>
        <v>7817212.666666666</v>
      </c>
      <c r="I116" s="713">
        <f>VLOOKUP($B116&amp;"_"&amp;$D116,'App5 - CRUK Inci Rates'!C:J,4,FALSE)</f>
        <v>8126689.333333334</v>
      </c>
      <c r="J116" s="709">
        <f>VLOOKUP($B116&amp;"_"&amp;$D116,'App5 - CRUK Inci Rates'!C:K,9,FALSE)</f>
        <v>1442</v>
      </c>
      <c r="K116" s="706">
        <f t="shared" si="69"/>
        <v>7971951</v>
      </c>
      <c r="L116" s="706" t="e">
        <f>VLOOKUP("*"&amp;$B116&amp;"*",'S4 - Summ PRS Characteristics'!$C$21:$Q$28,11,FALSE)*$J116</f>
        <v>#N/A</v>
      </c>
      <c r="M116" s="706" t="e">
        <f t="shared" si="70"/>
        <v>#N/A</v>
      </c>
      <c r="N116" s="706" t="e">
        <f>IF($C116="other",(1-$C$7)*L116,(1-(VLOOKUP($C116,'S3 - Screening Tool Metrics'!$C$3:$G$17,5,FALSE)/100))*L116)</f>
        <v>#N/A</v>
      </c>
      <c r="O116" s="706" t="e">
        <f>IF($C116="other",$C$7*L116,(VLOOKUP($C116,'S3 - Screening Tool Metrics'!$C$3:$G$17,5,FALSE)/100)*L116)</f>
        <v>#N/A</v>
      </c>
      <c r="P116" s="706" t="e">
        <f t="shared" si="71"/>
        <v>#N/A</v>
      </c>
      <c r="Q116" s="707">
        <f t="shared" si="88"/>
        <v>3188780.4000000004</v>
      </c>
      <c r="S116" s="706">
        <f t="shared" si="96"/>
        <v>1442</v>
      </c>
      <c r="T116" s="706">
        <f>IF($C116="other",(1-$C104)*R116,(1-(VLOOKUP($C116,'S3 - Screening Tool Metrics'!$C$3:$G$17,5,FALSE)/100))*R116)</f>
        <v>0</v>
      </c>
      <c r="U116" s="706">
        <f>IF($C116="other",$C104*R116,(VLOOKUP($C116,'S3 - Screening Tool Metrics'!$C$3:$G$17,5,FALSE)/100)*R116)</f>
        <v>0</v>
      </c>
      <c r="V116" s="708">
        <f t="shared" si="89"/>
        <v>0</v>
      </c>
      <c r="W116" s="707">
        <f t="shared" si="90"/>
        <v>1594390.2000000002</v>
      </c>
      <c r="X116" s="706" t="e">
        <f>VLOOKUP("*"&amp;$B116&amp;"*",'S4 - Summ PRS Characteristics'!$C$21:$Q$28,13,FALSE)*$J116</f>
        <v>#N/A</v>
      </c>
      <c r="Y116" s="706" t="e">
        <f t="shared" si="97"/>
        <v>#N/A</v>
      </c>
      <c r="Z116" s="706" t="e">
        <f>IF($C116="other",(1-$C104)*X116,(1-(VLOOKUP($C116,'S3 - Screening Tool Metrics'!$C$3:$G$17,5,FALSE)/100))*X116)</f>
        <v>#N/A</v>
      </c>
      <c r="AA116" s="706" t="e">
        <f>IF($C116="other",$C104*X116,(VLOOKUP($C116,'S3 - Screening Tool Metrics'!$C$3:$G$17,5,FALSE)/100)*X116)</f>
        <v>#N/A</v>
      </c>
      <c r="AB116" s="708" t="e">
        <f t="shared" si="91"/>
        <v>#N/A</v>
      </c>
      <c r="AC116" s="707">
        <f t="shared" si="92"/>
        <v>797195.10000000009</v>
      </c>
      <c r="AD116" s="706" t="e">
        <f>VLOOKUP("*"&amp;$B116&amp;"*",'S4 - Summ PRS Characteristics'!$C$21:$Q$28,14,FALSE)*$J116</f>
        <v>#N/A</v>
      </c>
      <c r="AE116" s="706" t="e">
        <f t="shared" si="99"/>
        <v>#N/A</v>
      </c>
      <c r="AF116" s="706" t="e">
        <f>IF($C116="other",(1-$C104)*AD116,(1-(VLOOKUP($C116,'S3 - Screening Tool Metrics'!$C$3:$G$17,5,FALSE)/100))*AD116)</f>
        <v>#N/A</v>
      </c>
      <c r="AG116" s="706" t="e">
        <f>IF($C116="other",$C104*AD116,(VLOOKUP($C116,'S3 - Screening Tool Metrics'!$C$3:$G$17,5,FALSE)/100)*AD116)</f>
        <v>#N/A</v>
      </c>
      <c r="AH116" s="708" t="e">
        <f t="shared" si="93"/>
        <v>#N/A</v>
      </c>
      <c r="AI116" s="707">
        <f t="shared" si="94"/>
        <v>159439.01999999999</v>
      </c>
      <c r="AJ116" s="706" t="e">
        <f>VLOOKUP("*"&amp;$B116&amp;"*",'S4 - Summ PRS Characteristics'!$C$21:$Q$28,15,FALSE)*$J116</f>
        <v>#N/A</v>
      </c>
      <c r="AK116" s="706" t="e">
        <f t="shared" si="98"/>
        <v>#N/A</v>
      </c>
      <c r="AL116" s="706" t="e">
        <f>IF($C116="other",(1-$C104)*AJ116,(1-(VLOOKUP($C116,'S3 - Screening Tool Metrics'!$C$3:$G$17,5,FALSE)/100))*AJ116)</f>
        <v>#N/A</v>
      </c>
      <c r="AM116" s="706" t="e">
        <f>IF($C116="other",$C104*AJ116,(VLOOKUP($C116,'S3 - Screening Tool Metrics'!$C$3:$G$17,5,FALSE)/100)*AJ116)</f>
        <v>#N/A</v>
      </c>
      <c r="AN116" s="709" t="e">
        <f t="shared" si="95"/>
        <v>#N/A</v>
      </c>
    </row>
    <row r="117" spans="2:40" ht="14" hidden="1" thickBot="1" x14ac:dyDescent="0.2">
      <c r="B117" s="700" t="s">
        <v>15</v>
      </c>
      <c r="C117" s="721" t="str">
        <f>$C106</f>
        <v>Other</v>
      </c>
      <c r="D117" s="552" t="s">
        <v>292</v>
      </c>
      <c r="E117" s="710">
        <f>VLOOKUP($B117&amp;"_"&amp;$D117,'App5 - CRUK Inci Rates'!C:H,6,FALSE)</f>
        <v>21.887358336490447</v>
      </c>
      <c r="F117" s="711">
        <f>VLOOKUP($B117&amp;"_"&amp;$D117,'App5 - CRUK Inci Rates'!C:H,3,FALSE)</f>
        <v>11.208596103640371</v>
      </c>
      <c r="G117" s="712">
        <f>VLOOKUP($B117&amp;"_"&amp;$D117,'App5 - CRUK Inci Rates'!C:J,8,FALSE)</f>
        <v>8881256.9603638444</v>
      </c>
      <c r="H117" s="713">
        <f>VLOOKUP($B117&amp;"_"&amp;$D117,'App5 - CRUK Inci Rates'!C:J,7,FALSE)</f>
        <v>4929786.333333333</v>
      </c>
      <c r="I117" s="713">
        <f>VLOOKUP($B117&amp;"_"&amp;$D117,'App5 - CRUK Inci Rates'!C:J,4,FALSE)</f>
        <v>5245973.666666667</v>
      </c>
      <c r="J117" s="709">
        <f>VLOOKUP($B117&amp;"_"&amp;$D117,'App5 - CRUK Inci Rates'!C:K,9,FALSE)</f>
        <v>1667</v>
      </c>
      <c r="K117" s="706">
        <f t="shared" si="69"/>
        <v>4440628.4801819222</v>
      </c>
      <c r="L117" s="706" t="e">
        <f>VLOOKUP("*"&amp;$B117&amp;"*",'S4 - Summ PRS Characteristics'!$C$21:$Q$28,11,FALSE)*$J117</f>
        <v>#N/A</v>
      </c>
      <c r="M117" s="706" t="e">
        <f t="shared" si="70"/>
        <v>#N/A</v>
      </c>
      <c r="N117" s="706" t="e">
        <f>IF($C117="other",(1-$C$7)*L117,(1-(VLOOKUP($C117,'S3 - Screening Tool Metrics'!$C$3:$G$17,5,FALSE)/100))*L117)</f>
        <v>#N/A</v>
      </c>
      <c r="O117" s="706" t="e">
        <f>IF($C117="other",$C$7*L117,(VLOOKUP($C117,'S3 - Screening Tool Metrics'!$C$3:$G$17,5,FALSE)/100)*L117)</f>
        <v>#N/A</v>
      </c>
      <c r="P117" s="706" t="e">
        <f t="shared" si="71"/>
        <v>#N/A</v>
      </c>
      <c r="Q117" s="707">
        <f>$G117*Q$3</f>
        <v>1776251.3920727689</v>
      </c>
      <c r="S117" s="706">
        <f t="shared" si="96"/>
        <v>1667</v>
      </c>
      <c r="T117" s="706">
        <f>IF($C117="other",(1-$C104)*R117,(1-(VLOOKUP($C117,'S3 - Screening Tool Metrics'!$C$3:$G$17,5,FALSE)/100))*R117)</f>
        <v>0</v>
      </c>
      <c r="U117" s="706">
        <f>IF($C117="other",$C104*R117,(VLOOKUP($C117,'S3 - Screening Tool Metrics'!$C$3:$G$17,5,FALSE)/100)*R117)</f>
        <v>0</v>
      </c>
      <c r="V117" s="708">
        <f t="shared" si="89"/>
        <v>0</v>
      </c>
      <c r="W117" s="707">
        <f t="shared" si="90"/>
        <v>888125.69603638444</v>
      </c>
      <c r="X117" s="706" t="e">
        <f>VLOOKUP("*"&amp;$B117&amp;"*",'S4 - Summ PRS Characteristics'!$C$21:$Q$28,13,FALSE)*$J117</f>
        <v>#N/A</v>
      </c>
      <c r="Y117" s="706" t="e">
        <f t="shared" si="97"/>
        <v>#N/A</v>
      </c>
      <c r="Z117" s="706" t="e">
        <f>IF($C117="other",(1-$C104)*X117,(1-(VLOOKUP($C117,'S3 - Screening Tool Metrics'!$C$3:$G$17,5,FALSE)/100))*X117)</f>
        <v>#N/A</v>
      </c>
      <c r="AA117" s="706" t="e">
        <f>IF($C117="other",$C104*X117,(VLOOKUP($C117,'S3 - Screening Tool Metrics'!$C$3:$G$17,5,FALSE)/100)*X117)</f>
        <v>#N/A</v>
      </c>
      <c r="AB117" s="708" t="e">
        <f t="shared" si="91"/>
        <v>#N/A</v>
      </c>
      <c r="AC117" s="707">
        <f t="shared" si="92"/>
        <v>444062.84801819222</v>
      </c>
      <c r="AD117" s="706" t="e">
        <f>VLOOKUP("*"&amp;$B117&amp;"*",'S4 - Summ PRS Characteristics'!$C$21:$Q$28,14,FALSE)*$J117</f>
        <v>#N/A</v>
      </c>
      <c r="AE117" s="706" t="e">
        <f t="shared" si="99"/>
        <v>#N/A</v>
      </c>
      <c r="AF117" s="706" t="e">
        <f>IF($C117="other",(1-$C104)*AD117,(1-(VLOOKUP($C117,'S3 - Screening Tool Metrics'!$C$3:$G$17,5,FALSE)/100))*AD117)</f>
        <v>#N/A</v>
      </c>
      <c r="AG117" s="706" t="e">
        <f>IF($C117="other",$C104*AD117,(VLOOKUP($C117,'S3 - Screening Tool Metrics'!$C$3:$G$17,5,FALSE)/100)*AD117)</f>
        <v>#N/A</v>
      </c>
      <c r="AH117" s="708" t="e">
        <f t="shared" si="93"/>
        <v>#N/A</v>
      </c>
      <c r="AI117" s="707">
        <f t="shared" si="94"/>
        <v>88812.569603638447</v>
      </c>
      <c r="AJ117" s="706" t="e">
        <f>VLOOKUP("*"&amp;$B117&amp;"*",'S4 - Summ PRS Characteristics'!$C$21:$Q$28,15,FALSE)*$J117</f>
        <v>#N/A</v>
      </c>
      <c r="AK117" s="706" t="e">
        <f t="shared" si="98"/>
        <v>#N/A</v>
      </c>
      <c r="AL117" s="706" t="e">
        <f>IF($C117="other",(1-$C104)*AJ117,(1-(VLOOKUP($C117,'S3 - Screening Tool Metrics'!$C$3:$G$17,5,FALSE)/100))*AJ117)</f>
        <v>#N/A</v>
      </c>
      <c r="AM117" s="706" t="e">
        <f>IF($C117="other",$C104*AJ117,(VLOOKUP($C117,'S3 - Screening Tool Metrics'!$C$3:$G$17,5,FALSE)/100)*AJ117)</f>
        <v>#N/A</v>
      </c>
      <c r="AN117" s="709" t="e">
        <f t="shared" si="95"/>
        <v>#N/A</v>
      </c>
    </row>
    <row r="118" spans="2:40" ht="14" hidden="1" thickBot="1" x14ac:dyDescent="0.2">
      <c r="B118" s="700" t="s">
        <v>15</v>
      </c>
      <c r="C118" s="721" t="str">
        <f>$C105</f>
        <v>Other</v>
      </c>
      <c r="D118" s="552" t="s">
        <v>204</v>
      </c>
      <c r="E118" s="710">
        <f>VLOOKUP($B118&amp;"_"&amp;$D118,'App5 - CRUK Inci Rates'!C:H,6,FALSE)</f>
        <v>12.653093795857881</v>
      </c>
      <c r="F118" s="711">
        <f>VLOOKUP($B118&amp;"_"&amp;$D118,'App5 - CRUK Inci Rates'!C:H,3,FALSE)</f>
        <v>6.3867461406483219</v>
      </c>
      <c r="G118" s="712">
        <f>VLOOKUP($B118&amp;"_"&amp;$D118,'App5 - CRUK Inci Rates'!C:J,8,FALSE)</f>
        <v>29847254.666666668</v>
      </c>
      <c r="H118" s="713">
        <f>VLOOKUP($B118&amp;"_"&amp;$D118,'App5 - CRUK Inci Rates'!C:J,7,FALSE)</f>
        <v>14565607.666666668</v>
      </c>
      <c r="I118" s="713">
        <f>VLOOKUP($B118&amp;"_"&amp;$D118,'App5 - CRUK Inci Rates'!C:J,4,FALSE)</f>
        <v>15281647</v>
      </c>
      <c r="J118" s="709">
        <f>VLOOKUP($B118&amp;"_"&amp;$D118,'App5 - CRUK Inci Rates'!C:K,9,FALSE)</f>
        <v>2819</v>
      </c>
      <c r="K118" s="706">
        <f t="shared" si="69"/>
        <v>14923627.333333334</v>
      </c>
      <c r="L118" s="706" t="e">
        <f>VLOOKUP("*"&amp;$B118&amp;"*",'S4 - Summ PRS Characteristics'!$C$21:$Q$28,11,FALSE)*$J118</f>
        <v>#N/A</v>
      </c>
      <c r="M118" s="706" t="e">
        <f t="shared" si="70"/>
        <v>#N/A</v>
      </c>
      <c r="N118" s="706" t="e">
        <f>IF($C118="other",(1-$C$7)*L118,(1-(VLOOKUP($C118,'S3 - Screening Tool Metrics'!$C$3:$G$17,5,FALSE)/100))*L118)</f>
        <v>#N/A</v>
      </c>
      <c r="O118" s="706" t="e">
        <f>IF($C118="other",$C$7*L118,(VLOOKUP($C118,'S3 - Screening Tool Metrics'!$C$3:$G$17,5,FALSE)/100)*L118)</f>
        <v>#N/A</v>
      </c>
      <c r="P118" s="706" t="e">
        <f t="shared" si="71"/>
        <v>#N/A</v>
      </c>
      <c r="Q118" s="707">
        <f t="shared" si="88"/>
        <v>5969450.9333333336</v>
      </c>
      <c r="S118" s="706">
        <f t="shared" si="96"/>
        <v>2819</v>
      </c>
      <c r="T118" s="706">
        <f>IF($C118="other",(1-$C104)*R118,(1-(VLOOKUP($C118,'S3 - Screening Tool Metrics'!$C$3:$G$17,5,FALSE)/100))*R118)</f>
        <v>0</v>
      </c>
      <c r="U118" s="706">
        <f>IF($C118="other",$C104*R118,(VLOOKUP($C118,'S3 - Screening Tool Metrics'!$C$3:$G$17,5,FALSE)/100)*R118)</f>
        <v>0</v>
      </c>
      <c r="V118" s="708">
        <f t="shared" si="89"/>
        <v>0</v>
      </c>
      <c r="W118" s="707">
        <f t="shared" si="90"/>
        <v>2984725.4666666668</v>
      </c>
      <c r="X118" s="706" t="e">
        <f>VLOOKUP("*"&amp;$B118&amp;"*",'S4 - Summ PRS Characteristics'!$C$21:$Q$28,13,FALSE)*$J118</f>
        <v>#N/A</v>
      </c>
      <c r="Y118" s="706" t="e">
        <f t="shared" si="97"/>
        <v>#N/A</v>
      </c>
      <c r="Z118" s="706" t="e">
        <f>IF($C118="other",(1-$C104)*X118,(1-(VLOOKUP($C118,'S3 - Screening Tool Metrics'!$C$3:$G$17,5,FALSE)/100))*X118)</f>
        <v>#N/A</v>
      </c>
      <c r="AA118" s="706" t="e">
        <f>IF($C118="other",$C104*X118,(VLOOKUP($C118,'S3 - Screening Tool Metrics'!$C$3:$G$17,5,FALSE)/100)*X118)</f>
        <v>#N/A</v>
      </c>
      <c r="AB118" s="708" t="e">
        <f t="shared" si="91"/>
        <v>#N/A</v>
      </c>
      <c r="AC118" s="707">
        <f t="shared" si="92"/>
        <v>1492362.7333333334</v>
      </c>
      <c r="AD118" s="706" t="e">
        <f>VLOOKUP("*"&amp;$B118&amp;"*",'S4 - Summ PRS Characteristics'!$C$21:$Q$28,14,FALSE)*$J118</f>
        <v>#N/A</v>
      </c>
      <c r="AE118" s="706" t="e">
        <f t="shared" si="99"/>
        <v>#N/A</v>
      </c>
      <c r="AF118" s="706" t="e">
        <f>IF($C118="other",(1-$C104)*AD118,(1-(VLOOKUP($C118,'S3 - Screening Tool Metrics'!$C$3:$G$17,5,FALSE)/100))*AD118)</f>
        <v>#N/A</v>
      </c>
      <c r="AG118" s="706" t="e">
        <f>IF($C118="other",$C104*AD118,(VLOOKUP($C118,'S3 - Screening Tool Metrics'!$C$3:$G$17,5,FALSE)/100)*AD118)</f>
        <v>#N/A</v>
      </c>
      <c r="AH118" s="708" t="e">
        <f t="shared" si="93"/>
        <v>#N/A</v>
      </c>
      <c r="AI118" s="707">
        <f t="shared" si="94"/>
        <v>298472.54666666669</v>
      </c>
      <c r="AJ118" s="706" t="e">
        <f>VLOOKUP("*"&amp;$B118&amp;"*",'S4 - Summ PRS Characteristics'!$C$21:$Q$28,15,FALSE)*$J118</f>
        <v>#N/A</v>
      </c>
      <c r="AK118" s="706" t="e">
        <f t="shared" si="98"/>
        <v>#N/A</v>
      </c>
      <c r="AL118" s="706" t="e">
        <f>IF($C118="other",(1-$C104)*AJ118,(1-(VLOOKUP($C118,'S3 - Screening Tool Metrics'!$C$3:$G$17,5,FALSE)/100))*AJ118)</f>
        <v>#N/A</v>
      </c>
      <c r="AM118" s="706" t="e">
        <f>IF($C118="other",$C104*AJ118,(VLOOKUP($C118,'S3 - Screening Tool Metrics'!$C$3:$G$17,5,FALSE)/100)*AJ118)</f>
        <v>#N/A</v>
      </c>
      <c r="AN118" s="709" t="e">
        <f t="shared" si="95"/>
        <v>#N/A</v>
      </c>
    </row>
    <row r="119" spans="2:40" ht="14" hidden="1" thickBot="1" x14ac:dyDescent="0.2">
      <c r="B119" s="700" t="s">
        <v>15</v>
      </c>
      <c r="C119" s="721" t="str">
        <f>$C106</f>
        <v>Other</v>
      </c>
      <c r="D119" s="552" t="s">
        <v>205</v>
      </c>
      <c r="E119" s="710">
        <f>VLOOKUP($B119&amp;"_"&amp;$D119,'App5 - CRUK Inci Rates'!C:H,6,FALSE)</f>
        <v>8.5</v>
      </c>
      <c r="F119" s="711">
        <f>VLOOKUP($B119&amp;"_"&amp;$D119,'App5 - CRUK Inci Rates'!C:H,3,FALSE)</f>
        <v>4.2</v>
      </c>
      <c r="G119" s="712">
        <f>VLOOKUP($B119&amp;"_"&amp;$D119,'App5 - CRUK Inci Rates'!C:J,8,FALSE)</f>
        <v>66041277.666666664</v>
      </c>
      <c r="H119" s="713">
        <f>VLOOKUP($B119&amp;"_"&amp;$D119,'App5 - CRUK Inci Rates'!C:J,7,FALSE)</f>
        <v>32583225.666666668</v>
      </c>
      <c r="I119" s="713">
        <f>VLOOKUP($B119&amp;"_"&amp;$D119,'App5 - CRUK Inci Rates'!C:J,4,FALSE)</f>
        <v>33458051.999999996</v>
      </c>
      <c r="J119" s="709">
        <f>VLOOKUP($B119&amp;"_"&amp;$D119,'App5 - CRUK Inci Rates'!C:K,9,FALSE)</f>
        <v>3803</v>
      </c>
      <c r="K119" s="706">
        <f t="shared" si="69"/>
        <v>33020638.833333332</v>
      </c>
      <c r="L119" s="706" t="e">
        <f>VLOOKUP("*"&amp;$B119&amp;"*",'S4 - Summ PRS Characteristics'!$C$21:$Q$28,11,FALSE)*$J119</f>
        <v>#N/A</v>
      </c>
      <c r="M119" s="706" t="e">
        <f t="shared" si="70"/>
        <v>#N/A</v>
      </c>
      <c r="N119" s="706" t="e">
        <f>IF($C119="other",(1-$C$7)*L119,(1-(VLOOKUP($C119,'S3 - Screening Tool Metrics'!$C$3:$G$17,5,FALSE)/100))*L119)</f>
        <v>#N/A</v>
      </c>
      <c r="O119" s="706" t="e">
        <f>IF($C119="other",$C$7*L119,(VLOOKUP($C119,'S3 - Screening Tool Metrics'!$C$3:$G$17,5,FALSE)/100)*L119)</f>
        <v>#N/A</v>
      </c>
      <c r="P119" s="706" t="e">
        <f t="shared" si="71"/>
        <v>#N/A</v>
      </c>
      <c r="Q119" s="715"/>
      <c r="R119" s="716"/>
      <c r="S119" s="716"/>
      <c r="T119" s="716"/>
      <c r="U119" s="716"/>
      <c r="V119" s="717"/>
      <c r="W119" s="715"/>
      <c r="X119" s="716" t="e">
        <f>VLOOKUP("*"&amp;$B119&amp;"*",'S4 - Summ PRS Characteristics'!$C$21:$Q$28,13,FALSE)*$J119</f>
        <v>#N/A</v>
      </c>
      <c r="Y119" s="716"/>
      <c r="Z119" s="716"/>
      <c r="AA119" s="716"/>
      <c r="AB119" s="717"/>
      <c r="AC119" s="716"/>
      <c r="AD119" s="716" t="e">
        <f>VLOOKUP("*"&amp;$B119&amp;"*",'S4 - Summ PRS Characteristics'!$C$21:$Q$28,14,FALSE)*$J119</f>
        <v>#N/A</v>
      </c>
      <c r="AE119" s="716"/>
      <c r="AF119" s="716"/>
      <c r="AG119" s="716"/>
      <c r="AH119" s="717"/>
      <c r="AI119" s="715"/>
      <c r="AJ119" s="716" t="e">
        <f>VLOOKUP("*"&amp;$B119&amp;"*",'S4 - Summ PRS Characteristics'!$C$21:$Q$28,15,FALSE)*$J119</f>
        <v>#N/A</v>
      </c>
      <c r="AK119" s="716"/>
      <c r="AL119" s="716"/>
      <c r="AM119" s="716"/>
      <c r="AN119" s="718"/>
    </row>
    <row r="120" spans="2:40" ht="21" customHeight="1" thickBot="1" x14ac:dyDescent="0.2">
      <c r="B120" s="686" t="s">
        <v>32</v>
      </c>
      <c r="C120" s="687"/>
      <c r="D120" s="688"/>
      <c r="E120" s="689"/>
      <c r="F120" s="690"/>
      <c r="G120" s="691"/>
      <c r="H120" s="692"/>
      <c r="I120" s="692"/>
      <c r="J120" s="693"/>
      <c r="K120" s="694"/>
      <c r="L120" s="694"/>
      <c r="M120" s="694"/>
      <c r="N120" s="694"/>
      <c r="O120" s="694"/>
      <c r="P120" s="694"/>
      <c r="Q120" s="695"/>
      <c r="R120" s="696"/>
      <c r="S120" s="696"/>
      <c r="T120" s="696"/>
      <c r="U120" s="696"/>
      <c r="V120" s="697"/>
      <c r="W120" s="695"/>
      <c r="X120" s="696"/>
      <c r="Y120" s="696"/>
      <c r="Z120" s="696"/>
      <c r="AA120" s="696"/>
      <c r="AB120" s="697"/>
      <c r="AC120" s="695"/>
      <c r="AD120" s="696"/>
      <c r="AE120" s="696"/>
      <c r="AF120" s="696"/>
      <c r="AG120" s="696"/>
      <c r="AH120" s="697"/>
      <c r="AI120" s="695"/>
      <c r="AJ120" s="696"/>
      <c r="AK120" s="696"/>
      <c r="AL120" s="696"/>
      <c r="AM120" s="696"/>
      <c r="AN120" s="699"/>
    </row>
    <row r="121" spans="2:40" x14ac:dyDescent="0.15">
      <c r="B121" s="700" t="s">
        <v>32</v>
      </c>
      <c r="C121" s="720" t="s">
        <v>154</v>
      </c>
      <c r="D121" s="593" t="s">
        <v>192</v>
      </c>
      <c r="E121" s="701">
        <f>VLOOKUP($B121&amp;"_"&amp;$D121,'App5 - CRUK Inci Rates'!C:H,6,FALSE)</f>
        <v>6</v>
      </c>
      <c r="F121" s="702">
        <f>VLOOKUP($B121&amp;"_"&amp;$D121,'App5 - CRUK Inci Rates'!C:H,3,FALSE)</f>
        <v>5.8</v>
      </c>
      <c r="G121" s="703">
        <f>VLOOKUP($B121&amp;"_"&amp;$D121,'App5 - CRUK Inci Rates'!C:J,8,FALSE)</f>
        <v>4075608</v>
      </c>
      <c r="H121" s="704">
        <f>VLOOKUP($B121&amp;"_"&amp;$D121,'App5 - CRUK Inci Rates'!C:J,7,FALSE)</f>
        <v>2021384.6666666667</v>
      </c>
      <c r="I121" s="704">
        <f>VLOOKUP($B121&amp;"_"&amp;$D121,'App5 - CRUK Inci Rates'!C:J,4,FALSE)</f>
        <v>2054223.3333333333</v>
      </c>
      <c r="J121" s="705">
        <f>VLOOKUP($B121&amp;"_"&amp;$D121,'App5 - CRUK Inci Rates'!C:K,9,FALSE)</f>
        <v>240</v>
      </c>
      <c r="K121" s="706">
        <f t="shared" si="69"/>
        <v>2037804</v>
      </c>
      <c r="L121" s="706">
        <f>VLOOKUP("*"&amp;$B121&amp;"*",'S4 - Summ PRS Characteristics'!$C$21:$Q$28,11,FALSE)*$J121</f>
        <v>175.93732514632384</v>
      </c>
      <c r="M121" s="706">
        <f t="shared" si="70"/>
        <v>64.062674853676157</v>
      </c>
      <c r="N121" s="706">
        <f>IF($C121="other",(1-$C$7)*L121,(1-(VLOOKUP($C121,'S3 - Screening Tool Metrics'!$C$3:$G$17,5,FALSE)/100))*L121)</f>
        <v>27.094348072533876</v>
      </c>
      <c r="O121" s="706">
        <f>IF($C121="other",$C$7*L121,(VLOOKUP($C121,'S3 - Screening Tool Metrics'!$C$3:$G$17,5,FALSE)/100)*L121)</f>
        <v>148.84297707378997</v>
      </c>
      <c r="P121" s="706">
        <f t="shared" si="71"/>
        <v>62.017907114079151</v>
      </c>
      <c r="Q121" s="707">
        <f t="shared" ref="Q121:Q134" si="100">$G121*Q$3</f>
        <v>815121.60000000009</v>
      </c>
      <c r="R121" s="706">
        <f>VLOOKUP("*"&amp;$B121&amp;"*",'S4 - Summ PRS Characteristics'!$C$21:$Q$28,12,FALSE)*$J121</f>
        <v>99.152197862209945</v>
      </c>
      <c r="S121" s="706">
        <f>$J121-R121</f>
        <v>140.84780213779004</v>
      </c>
      <c r="T121" s="706">
        <f>IF($C121="other",(1-$C120)*R121,(1-(VLOOKUP($C121,'S3 - Screening Tool Metrics'!$C$3:$G$17,5,FALSE)/100))*R121)</f>
        <v>15.269438470780335</v>
      </c>
      <c r="U121" s="706">
        <f>IF($C121="other",$C120*R121,(VLOOKUP($C121,'S3 - Screening Tool Metrics'!$C$3:$G$17,5,FALSE)/100)*R121)</f>
        <v>83.882759391429616</v>
      </c>
      <c r="V121" s="708">
        <f t="shared" ref="V121:V134" si="101">U121/J121*100</f>
        <v>34.951149746429003</v>
      </c>
      <c r="W121" s="707">
        <f t="shared" ref="W121:W134" si="102">$G121*W$3</f>
        <v>407560.80000000005</v>
      </c>
      <c r="X121" s="706">
        <f>VLOOKUP("*"&amp;$B121&amp;"*",'S4 - Summ PRS Characteristics'!$C$21:$Q$28,13,FALSE)*$J121</f>
        <v>61.155101465710473</v>
      </c>
      <c r="Y121" s="706">
        <f>$J121-X121</f>
        <v>178.84489853428954</v>
      </c>
      <c r="Z121" s="706">
        <f>IF($C121="other",(1-$C120)*X121,(1-(VLOOKUP($C121,'S3 - Screening Tool Metrics'!$C$3:$G$17,5,FALSE)/100))*X121)</f>
        <v>9.4178856257194141</v>
      </c>
      <c r="AA121" s="706">
        <f>IF($C121="other",$C120*X121,(VLOOKUP($C121,'S3 - Screening Tool Metrics'!$C$3:$G$17,5,FALSE)/100)*X121)</f>
        <v>51.737215839991059</v>
      </c>
      <c r="AB121" s="708">
        <f t="shared" ref="AB121:AB134" si="103">$AA121/$J121*100</f>
        <v>21.557173266662939</v>
      </c>
      <c r="AC121" s="707">
        <f t="shared" ref="AC121:AC134" si="104">$G121*AC$3</f>
        <v>203780.40000000002</v>
      </c>
      <c r="AD121" s="706">
        <f>VLOOKUP("*"&amp;$B121&amp;"*",'S4 - Summ PRS Characteristics'!$C$21:$Q$28,14,FALSE)*$J121</f>
        <v>36.772690565693573</v>
      </c>
      <c r="AE121" s="706">
        <f>$J121-AD121</f>
        <v>203.22730943430642</v>
      </c>
      <c r="AF121" s="706">
        <f>IF($C121="other",(1-$C120)*AD121,(1-(VLOOKUP($C121,'S3 - Screening Tool Metrics'!$C$3:$G$17,5,FALSE)/100))*AD121)</f>
        <v>5.6629943471168112</v>
      </c>
      <c r="AG121" s="706">
        <f>IF($C121="other",$C120*AD121,(VLOOKUP($C121,'S3 - Screening Tool Metrics'!$C$3:$G$17,5,FALSE)/100)*AD121)</f>
        <v>31.109696218576762</v>
      </c>
      <c r="AH121" s="708">
        <f t="shared" ref="AH121:AH134" si="105">$AG121/$J121*100</f>
        <v>12.962373424406984</v>
      </c>
      <c r="AI121" s="707">
        <f t="shared" ref="AI121:AI134" si="106">$G121*AI$3</f>
        <v>40756.080000000002</v>
      </c>
      <c r="AJ121" s="706">
        <f>VLOOKUP("*"&amp;$B121&amp;"*",'S4 - Summ PRS Characteristics'!$C$21:$Q$28,15,FALSE)*$J121</f>
        <v>10.600873049240464</v>
      </c>
      <c r="AK121" s="706">
        <f>$J121-AJ121</f>
        <v>229.39912695075952</v>
      </c>
      <c r="AL121" s="706">
        <f>IF($C121="other",(1-$C120)*AJ121,(1-(VLOOKUP($C121,'S3 - Screening Tool Metrics'!$C$3:$G$17,5,FALSE)/100))*AJ121)</f>
        <v>1.6325344495830318</v>
      </c>
      <c r="AM121" s="706">
        <f>IF($C121="other",$C120*AJ121,(VLOOKUP($C121,'S3 - Screening Tool Metrics'!$C$3:$G$17,5,FALSE)/100)*AJ121)</f>
        <v>8.9683385996574323</v>
      </c>
      <c r="AN121" s="709">
        <f t="shared" ref="AN121:AN134" si="107">$AM121/$J121*100</f>
        <v>3.7368077498572636</v>
      </c>
    </row>
    <row r="122" spans="2:40" x14ac:dyDescent="0.15">
      <c r="B122" s="700" t="s">
        <v>32</v>
      </c>
      <c r="C122" s="721" t="str">
        <f>$C121</f>
        <v>Low dose CT</v>
      </c>
      <c r="D122" s="552" t="s">
        <v>193</v>
      </c>
      <c r="E122" s="710">
        <f>VLOOKUP($B122&amp;"_"&amp;$D122,'App5 - CRUK Inci Rates'!C:H,6,FALSE)</f>
        <v>16.3</v>
      </c>
      <c r="F122" s="711">
        <f>VLOOKUP($B122&amp;"_"&amp;$D122,'App5 - CRUK Inci Rates'!C:H,3,FALSE)</f>
        <v>14.7</v>
      </c>
      <c r="G122" s="712">
        <f>VLOOKUP($B122&amp;"_"&amp;$D122,'App5 - CRUK Inci Rates'!C:J,8,FALSE)</f>
        <v>4567159.333333334</v>
      </c>
      <c r="H122" s="713">
        <f>VLOOKUP($B122&amp;"_"&amp;$D122,'App5 - CRUK Inci Rates'!C:J,7,FALSE)</f>
        <v>2251680</v>
      </c>
      <c r="I122" s="713">
        <f>VLOOKUP($B122&amp;"_"&amp;$D122,'App5 - CRUK Inci Rates'!C:J,4,FALSE)</f>
        <v>2315479.3333333335</v>
      </c>
      <c r="J122" s="709">
        <f>VLOOKUP($B122&amp;"_"&amp;$D122,'App5 - CRUK Inci Rates'!C:K,9,FALSE)</f>
        <v>706</v>
      </c>
      <c r="K122" s="706">
        <f t="shared" si="69"/>
        <v>2283579.666666667</v>
      </c>
      <c r="L122" s="706">
        <f>VLOOKUP("*"&amp;$B122&amp;"*",'S4 - Summ PRS Characteristics'!$C$21:$Q$28,11,FALSE)*$J122</f>
        <v>517.54896480543596</v>
      </c>
      <c r="M122" s="706">
        <f t="shared" si="70"/>
        <v>188.45103519456404</v>
      </c>
      <c r="N122" s="706">
        <f>IF($C122="other",(1-$C$7)*L122,(1-(VLOOKUP($C122,'S3 - Screening Tool Metrics'!$C$3:$G$17,5,FALSE)/100))*L122)</f>
        <v>79.702540580037152</v>
      </c>
      <c r="O122" s="706">
        <f>IF($C122="other",$C$7*L122,(VLOOKUP($C122,'S3 - Screening Tool Metrics'!$C$3:$G$17,5,FALSE)/100)*L122)</f>
        <v>437.84642422539883</v>
      </c>
      <c r="P122" s="706">
        <f t="shared" si="71"/>
        <v>62.017907114079151</v>
      </c>
      <c r="Q122" s="707">
        <f t="shared" si="100"/>
        <v>913431.86666666681</v>
      </c>
      <c r="R122" s="706">
        <f>VLOOKUP("*"&amp;$B122&amp;"*",'S4 - Summ PRS Characteristics'!$C$21:$Q$28,12,FALSE)*$J122</f>
        <v>291.67271537800093</v>
      </c>
      <c r="S122" s="706">
        <f t="shared" ref="S122:S134" si="108">$J122-R122</f>
        <v>414.32728462199907</v>
      </c>
      <c r="T122" s="706">
        <f>IF($C122="other",(1-$C120)*R122,(1-(VLOOKUP($C122,'S3 - Screening Tool Metrics'!$C$3:$G$17,5,FALSE)/100))*R122)</f>
        <v>44.917598168212152</v>
      </c>
      <c r="U122" s="706">
        <f>IF($C122="other",$C120*R122,(VLOOKUP($C122,'S3 - Screening Tool Metrics'!$C$3:$G$17,5,FALSE)/100)*R122)</f>
        <v>246.75511720978878</v>
      </c>
      <c r="V122" s="708">
        <f t="shared" si="101"/>
        <v>34.951149746429003</v>
      </c>
      <c r="W122" s="707">
        <f t="shared" si="102"/>
        <v>456715.93333333341</v>
      </c>
      <c r="X122" s="706">
        <f>VLOOKUP("*"&amp;$B122&amp;"*",'S4 - Summ PRS Characteristics'!$C$21:$Q$28,13,FALSE)*$J122</f>
        <v>179.89792347829831</v>
      </c>
      <c r="Y122" s="706">
        <f t="shared" ref="Y122:Y134" si="109">$J122-X122</f>
        <v>526.10207652170175</v>
      </c>
      <c r="Z122" s="706">
        <f>IF($C122="other",(1-$C120)*X122,(1-(VLOOKUP($C122,'S3 - Screening Tool Metrics'!$C$3:$G$17,5,FALSE)/100))*X122)</f>
        <v>27.704280215657946</v>
      </c>
      <c r="AA122" s="706">
        <f>IF($C122="other",$C120*X122,(VLOOKUP($C122,'S3 - Screening Tool Metrics'!$C$3:$G$17,5,FALSE)/100)*X122)</f>
        <v>152.19364326264036</v>
      </c>
      <c r="AB122" s="708">
        <f t="shared" si="103"/>
        <v>21.557173266662939</v>
      </c>
      <c r="AC122" s="707">
        <f t="shared" si="104"/>
        <v>228357.9666666667</v>
      </c>
      <c r="AD122" s="706">
        <f>VLOOKUP("*"&amp;$B122&amp;"*",'S4 - Summ PRS Characteristics'!$C$21:$Q$28,14,FALSE)*$J122</f>
        <v>108.1729980807486</v>
      </c>
      <c r="AE122" s="706">
        <f>$J122-AD122</f>
        <v>597.82700191925142</v>
      </c>
      <c r="AF122" s="706">
        <f>IF($C122="other",(1-$C120)*AD122,(1-(VLOOKUP($C122,'S3 - Screening Tool Metrics'!$C$3:$G$17,5,FALSE)/100))*AD122)</f>
        <v>16.658641704435286</v>
      </c>
      <c r="AG122" s="706">
        <f>IF($C122="other",$C120*AD122,(VLOOKUP($C122,'S3 - Screening Tool Metrics'!$C$3:$G$17,5,FALSE)/100)*AD122)</f>
        <v>91.514356376313316</v>
      </c>
      <c r="AH122" s="708">
        <f t="shared" si="105"/>
        <v>12.962373424406987</v>
      </c>
      <c r="AI122" s="707">
        <f t="shared" si="106"/>
        <v>45671.593333333338</v>
      </c>
      <c r="AJ122" s="706">
        <f>VLOOKUP("*"&amp;$B122&amp;"*",'S4 - Summ PRS Characteristics'!$C$21:$Q$28,15,FALSE)*$J122</f>
        <v>31.184234886515696</v>
      </c>
      <c r="AK122" s="706">
        <f t="shared" ref="AK122:AK134" si="110">$J122-AJ122</f>
        <v>674.8157651134843</v>
      </c>
      <c r="AL122" s="706">
        <f>IF($C122="other",(1-$C120)*AJ122,(1-(VLOOKUP($C122,'S3 - Screening Tool Metrics'!$C$3:$G$17,5,FALSE)/100))*AJ122)</f>
        <v>4.8023721725234179</v>
      </c>
      <c r="AM122" s="706">
        <f>IF($C122="other",$C120*AJ122,(VLOOKUP($C122,'S3 - Screening Tool Metrics'!$C$3:$G$17,5,FALSE)/100)*AJ122)</f>
        <v>26.381862713992277</v>
      </c>
      <c r="AN122" s="709">
        <f t="shared" si="107"/>
        <v>3.7368077498572627</v>
      </c>
    </row>
    <row r="123" spans="2:40" x14ac:dyDescent="0.15">
      <c r="B123" s="700" t="s">
        <v>32</v>
      </c>
      <c r="C123" s="721" t="str">
        <f>$C121</f>
        <v>Low dose CT</v>
      </c>
      <c r="D123" s="552" t="s">
        <v>194</v>
      </c>
      <c r="E123" s="710">
        <f>VLOOKUP($B123&amp;"_"&amp;$D123,'App5 - CRUK Inci Rates'!C:H,6,FALSE)</f>
        <v>33.4</v>
      </c>
      <c r="F123" s="711">
        <f>VLOOKUP($B123&amp;"_"&amp;$D123,'App5 - CRUK Inci Rates'!C:H,3,FALSE)</f>
        <v>31.5</v>
      </c>
      <c r="G123" s="712">
        <f>VLOOKUP($B123&amp;"_"&amp;$D123,'App5 - CRUK Inci Rates'!C:J,8,FALSE)</f>
        <v>4658110.666666666</v>
      </c>
      <c r="H123" s="713">
        <f>VLOOKUP($B123&amp;"_"&amp;$D123,'App5 - CRUK Inci Rates'!C:J,7,FALSE)</f>
        <v>2293472.6666666665</v>
      </c>
      <c r="I123" s="713">
        <f>VLOOKUP($B123&amp;"_"&amp;$D123,'App5 - CRUK Inci Rates'!C:J,4,FALSE)</f>
        <v>2364638</v>
      </c>
      <c r="J123" s="709">
        <f>VLOOKUP($B123&amp;"_"&amp;$D123,'App5 - CRUK Inci Rates'!C:K,9,FALSE)</f>
        <v>1512</v>
      </c>
      <c r="K123" s="706">
        <f t="shared" si="69"/>
        <v>2329055.333333333</v>
      </c>
      <c r="L123" s="706">
        <f>VLOOKUP("*"&amp;$B123&amp;"*",'S4 - Summ PRS Characteristics'!$C$21:$Q$28,11,FALSE)*$J123</f>
        <v>1108.4051484218403</v>
      </c>
      <c r="M123" s="706">
        <f t="shared" si="70"/>
        <v>403.59485157815971</v>
      </c>
      <c r="N123" s="706">
        <f>IF($C123="other",(1-$C$7)*L123,(1-(VLOOKUP($C123,'S3 - Screening Tool Metrics'!$C$3:$G$17,5,FALSE)/100))*L123)</f>
        <v>170.69439285696345</v>
      </c>
      <c r="O123" s="706">
        <f>IF($C123="other",$C$7*L123,(VLOOKUP($C123,'S3 - Screening Tool Metrics'!$C$3:$G$17,5,FALSE)/100)*L123)</f>
        <v>937.71075556487688</v>
      </c>
      <c r="P123" s="706">
        <f t="shared" si="71"/>
        <v>62.017907114079165</v>
      </c>
      <c r="Q123" s="707">
        <f t="shared" si="100"/>
        <v>931622.1333333333</v>
      </c>
      <c r="R123" s="706">
        <f>VLOOKUP("*"&amp;$B123&amp;"*",'S4 - Summ PRS Characteristics'!$C$21:$Q$28,12,FALSE)*$J123</f>
        <v>624.65884653192268</v>
      </c>
      <c r="S123" s="706">
        <f t="shared" si="108"/>
        <v>887.34115346807732</v>
      </c>
      <c r="T123" s="706">
        <f>IF($C123="other",(1-$C120)*R123,(1-(VLOOKUP($C123,'S3 - Screening Tool Metrics'!$C$3:$G$17,5,FALSE)/100))*R123)</f>
        <v>96.19746236591611</v>
      </c>
      <c r="U123" s="706">
        <f>IF($C123="other",$C120*R123,(VLOOKUP($C123,'S3 - Screening Tool Metrics'!$C$3:$G$17,5,FALSE)/100)*R123)</f>
        <v>528.46138416600661</v>
      </c>
      <c r="V123" s="708">
        <f t="shared" si="101"/>
        <v>34.95114974642901</v>
      </c>
      <c r="W123" s="707">
        <f t="shared" si="102"/>
        <v>465811.06666666665</v>
      </c>
      <c r="X123" s="706">
        <f>VLOOKUP("*"&amp;$B123&amp;"*",'S4 - Summ PRS Characteristics'!$C$21:$Q$28,13,FALSE)*$J123</f>
        <v>385.27713923397596</v>
      </c>
      <c r="Y123" s="706">
        <f t="shared" si="109"/>
        <v>1126.722860766024</v>
      </c>
      <c r="Z123" s="706">
        <f>IF($C123="other",(1-$C120)*X123,(1-(VLOOKUP($C123,'S3 - Screening Tool Metrics'!$C$3:$G$17,5,FALSE)/100))*X123)</f>
        <v>59.332679442032308</v>
      </c>
      <c r="AA123" s="706">
        <f>IF($C123="other",$C120*X123,(VLOOKUP($C123,'S3 - Screening Tool Metrics'!$C$3:$G$17,5,FALSE)/100)*X123)</f>
        <v>325.94445979194364</v>
      </c>
      <c r="AB123" s="708">
        <f t="shared" si="103"/>
        <v>21.557173266662939</v>
      </c>
      <c r="AC123" s="707">
        <f t="shared" si="104"/>
        <v>232905.53333333333</v>
      </c>
      <c r="AD123" s="706">
        <f>VLOOKUP("*"&amp;$B123&amp;"*",'S4 - Summ PRS Characteristics'!$C$21:$Q$28,14,FALSE)*$J123</f>
        <v>231.66795056386954</v>
      </c>
      <c r="AE123" s="706">
        <f t="shared" ref="AE123:AE134" si="111">$J123-AD123</f>
        <v>1280.3320494361305</v>
      </c>
      <c r="AF123" s="706">
        <f>IF($C123="other",(1-$C120)*AD123,(1-(VLOOKUP($C123,'S3 - Screening Tool Metrics'!$C$3:$G$17,5,FALSE)/100))*AD123)</f>
        <v>35.676864386835916</v>
      </c>
      <c r="AG123" s="706">
        <f>IF($C123="other",$C120*AD123,(VLOOKUP($C123,'S3 - Screening Tool Metrics'!$C$3:$G$17,5,FALSE)/100)*AD123)</f>
        <v>195.99108617703362</v>
      </c>
      <c r="AH123" s="708">
        <f t="shared" si="105"/>
        <v>12.962373424406987</v>
      </c>
      <c r="AI123" s="707">
        <f t="shared" si="106"/>
        <v>46581.106666666659</v>
      </c>
      <c r="AJ123" s="706">
        <f>VLOOKUP("*"&amp;$B123&amp;"*",'S4 - Summ PRS Characteristics'!$C$21:$Q$28,15,FALSE)*$J123</f>
        <v>66.78550021021492</v>
      </c>
      <c r="AK123" s="706">
        <f t="shared" si="110"/>
        <v>1445.2144997897851</v>
      </c>
      <c r="AL123" s="706">
        <f>IF($C123="other",(1-$C120)*AJ123,(1-(VLOOKUP($C123,'S3 - Screening Tool Metrics'!$C$3:$G$17,5,FALSE)/100))*AJ123)</f>
        <v>10.2849670323731</v>
      </c>
      <c r="AM123" s="706">
        <f>IF($C123="other",$C120*AJ123,(VLOOKUP($C123,'S3 - Screening Tool Metrics'!$C$3:$G$17,5,FALSE)/100)*AJ123)</f>
        <v>56.500533177841824</v>
      </c>
      <c r="AN123" s="709">
        <f t="shared" si="107"/>
        <v>3.7368077498572636</v>
      </c>
    </row>
    <row r="124" spans="2:40" x14ac:dyDescent="0.15">
      <c r="B124" s="700" t="s">
        <v>32</v>
      </c>
      <c r="C124" s="721" t="str">
        <f>$C121</f>
        <v>Low dose CT</v>
      </c>
      <c r="D124" s="552" t="s">
        <v>195</v>
      </c>
      <c r="E124" s="710">
        <f>VLOOKUP($B124&amp;"_"&amp;$D124,'App5 - CRUK Inci Rates'!C:H,6,FALSE)</f>
        <v>71.400000000000006</v>
      </c>
      <c r="F124" s="711">
        <f>VLOOKUP($B124&amp;"_"&amp;$D124,'App5 - CRUK Inci Rates'!C:H,3,FALSE)</f>
        <v>67.099999999999994</v>
      </c>
      <c r="G124" s="712">
        <f>VLOOKUP($B124&amp;"_"&amp;$D124,'App5 - CRUK Inci Rates'!C:J,8,FALSE)</f>
        <v>4181606</v>
      </c>
      <c r="H124" s="713">
        <f>VLOOKUP($B124&amp;"_"&amp;$D124,'App5 - CRUK Inci Rates'!C:J,7,FALSE)</f>
        <v>2061918.6666666667</v>
      </c>
      <c r="I124" s="713">
        <f>VLOOKUP($B124&amp;"_"&amp;$D124,'App5 - CRUK Inci Rates'!C:J,4,FALSE)</f>
        <v>2119687.3333333335</v>
      </c>
      <c r="J124" s="709">
        <f>VLOOKUP($B124&amp;"_"&amp;$D124,'App5 - CRUK Inci Rates'!C:K,9,FALSE)</f>
        <v>2896</v>
      </c>
      <c r="K124" s="706">
        <f t="shared" si="69"/>
        <v>2090803</v>
      </c>
      <c r="L124" s="706">
        <f>VLOOKUP("*"&amp;$B124&amp;"*",'S4 - Summ PRS Characteristics'!$C$21:$Q$28,11,FALSE)*$J124</f>
        <v>2122.977056765641</v>
      </c>
      <c r="M124" s="706">
        <f t="shared" si="70"/>
        <v>773.02294323435899</v>
      </c>
      <c r="N124" s="706">
        <f>IF($C124="other",(1-$C$7)*L124,(1-(VLOOKUP($C124,'S3 - Screening Tool Metrics'!$C$3:$G$17,5,FALSE)/100))*L124)</f>
        <v>326.93846674190877</v>
      </c>
      <c r="O124" s="706">
        <f>IF($C124="other",$C$7*L124,(VLOOKUP($C124,'S3 - Screening Tool Metrics'!$C$3:$G$17,5,FALSE)/100)*L124)</f>
        <v>1796.0385900237322</v>
      </c>
      <c r="P124" s="706">
        <f t="shared" si="71"/>
        <v>62.017907114079151</v>
      </c>
      <c r="Q124" s="707">
        <f t="shared" si="100"/>
        <v>836321.20000000007</v>
      </c>
      <c r="R124" s="706">
        <f>VLOOKUP("*"&amp;$B124&amp;"*",'S4 - Summ PRS Characteristics'!$C$21:$Q$28,12,FALSE)*$J124</f>
        <v>1196.4365208706665</v>
      </c>
      <c r="S124" s="706">
        <f t="shared" si="108"/>
        <v>1699.5634791293335</v>
      </c>
      <c r="T124" s="706">
        <f>IF($C124="other",(1-$C120)*R124,(1-(VLOOKUP($C124,'S3 - Screening Tool Metrics'!$C$3:$G$17,5,FALSE)/100))*R124)</f>
        <v>184.25122421408267</v>
      </c>
      <c r="U124" s="706">
        <f>IF($C124="other",$C120*R124,(VLOOKUP($C124,'S3 - Screening Tool Metrics'!$C$3:$G$17,5,FALSE)/100)*R124)</f>
        <v>1012.1852966565839</v>
      </c>
      <c r="V124" s="708">
        <f t="shared" si="101"/>
        <v>34.951149746429003</v>
      </c>
      <c r="W124" s="707">
        <f t="shared" si="102"/>
        <v>418160.60000000003</v>
      </c>
      <c r="X124" s="706">
        <f>VLOOKUP("*"&amp;$B124&amp;"*",'S4 - Summ PRS Characteristics'!$C$21:$Q$28,13,FALSE)*$J124</f>
        <v>737.93822435290633</v>
      </c>
      <c r="Y124" s="706">
        <f t="shared" si="109"/>
        <v>2158.0617756470938</v>
      </c>
      <c r="Z124" s="706">
        <f>IF($C124="other",(1-$C120)*X124,(1-(VLOOKUP($C124,'S3 - Screening Tool Metrics'!$C$3:$G$17,5,FALSE)/100))*X124)</f>
        <v>113.6424865503476</v>
      </c>
      <c r="AA124" s="706">
        <f>IF($C124="other",$C120*X124,(VLOOKUP($C124,'S3 - Screening Tool Metrics'!$C$3:$G$17,5,FALSE)/100)*X124)</f>
        <v>624.29573780255873</v>
      </c>
      <c r="AB124" s="708">
        <f t="shared" si="103"/>
        <v>21.557173266662939</v>
      </c>
      <c r="AC124" s="707">
        <f t="shared" si="104"/>
        <v>209080.30000000002</v>
      </c>
      <c r="AD124" s="706">
        <f>VLOOKUP("*"&amp;$B124&amp;"*",'S4 - Summ PRS Characteristics'!$C$21:$Q$28,14,FALSE)*$J124</f>
        <v>443.72379949270248</v>
      </c>
      <c r="AE124" s="706">
        <f t="shared" si="111"/>
        <v>2452.2762005072973</v>
      </c>
      <c r="AF124" s="706">
        <f>IF($C124="other",(1-$C120)*AD124,(1-(VLOOKUP($C124,'S3 - Screening Tool Metrics'!$C$3:$G$17,5,FALSE)/100))*AD124)</f>
        <v>68.333465121876188</v>
      </c>
      <c r="AG124" s="706">
        <f>IF($C124="other",$C120*AD124,(VLOOKUP($C124,'S3 - Screening Tool Metrics'!$C$3:$G$17,5,FALSE)/100)*AD124)</f>
        <v>375.39033437082628</v>
      </c>
      <c r="AH124" s="708">
        <f t="shared" si="105"/>
        <v>12.962373424406984</v>
      </c>
      <c r="AI124" s="707">
        <f t="shared" si="106"/>
        <v>41816.06</v>
      </c>
      <c r="AJ124" s="706">
        <f>VLOOKUP("*"&amp;$B124&amp;"*",'S4 - Summ PRS Characteristics'!$C$21:$Q$28,15,FALSE)*$J124</f>
        <v>127.91720146083493</v>
      </c>
      <c r="AK124" s="706">
        <f t="shared" si="110"/>
        <v>2768.0827985391652</v>
      </c>
      <c r="AL124" s="706">
        <f>IF($C124="other",(1-$C120)*AJ124,(1-(VLOOKUP($C124,'S3 - Screening Tool Metrics'!$C$3:$G$17,5,FALSE)/100))*AJ124)</f>
        <v>19.699249024968584</v>
      </c>
      <c r="AM124" s="706">
        <f>IF($C124="other",$C120*AJ124,(VLOOKUP($C124,'S3 - Screening Tool Metrics'!$C$3:$G$17,5,FALSE)/100)*AJ124)</f>
        <v>108.21795243586635</v>
      </c>
      <c r="AN124" s="709">
        <f t="shared" si="107"/>
        <v>3.7368077498572636</v>
      </c>
    </row>
    <row r="125" spans="2:40" x14ac:dyDescent="0.15">
      <c r="B125" s="700" t="s">
        <v>32</v>
      </c>
      <c r="C125" s="721" t="str">
        <f>$C121</f>
        <v>Low dose CT</v>
      </c>
      <c r="D125" s="552" t="s">
        <v>196</v>
      </c>
      <c r="E125" s="710">
        <f>VLOOKUP($B125&amp;"_"&amp;$D125,'App5 - CRUK Inci Rates'!C:H,6,FALSE)</f>
        <v>137</v>
      </c>
      <c r="F125" s="711">
        <f>VLOOKUP($B125&amp;"_"&amp;$D125,'App5 - CRUK Inci Rates'!C:H,3,FALSE)</f>
        <v>124.9</v>
      </c>
      <c r="G125" s="712">
        <f>VLOOKUP($B125&amp;"_"&amp;$D125,'App5 - CRUK Inci Rates'!C:J,8,FALSE)</f>
        <v>3602002</v>
      </c>
      <c r="H125" s="713">
        <f>VLOOKUP($B125&amp;"_"&amp;$D125,'App5 - CRUK Inci Rates'!C:J,7,FALSE)</f>
        <v>1764828</v>
      </c>
      <c r="I125" s="713">
        <f>VLOOKUP($B125&amp;"_"&amp;$D125,'App5 - CRUK Inci Rates'!C:J,4,FALSE)</f>
        <v>1837174</v>
      </c>
      <c r="J125" s="709">
        <f>VLOOKUP($B125&amp;"_"&amp;$D125,'App5 - CRUK Inci Rates'!C:K,9,FALSE)</f>
        <v>4711</v>
      </c>
      <c r="K125" s="706">
        <f t="shared" si="69"/>
        <v>1801001</v>
      </c>
      <c r="L125" s="706">
        <f>VLOOKUP("*"&amp;$B125&amp;"*",'S4 - Summ PRS Characteristics'!$C$21:$Q$28,11,FALSE)*$J125</f>
        <v>3453.5030781847149</v>
      </c>
      <c r="M125" s="706">
        <f t="shared" si="70"/>
        <v>1257.4969218152851</v>
      </c>
      <c r="N125" s="706">
        <f>IF($C125="other",(1-$C$7)*L125,(1-(VLOOKUP($C125,'S3 - Screening Tool Metrics'!$C$3:$G$17,5,FALSE)/100))*L125)</f>
        <v>531.83947404044613</v>
      </c>
      <c r="O125" s="706">
        <f>IF($C125="other",$C$7*L125,(VLOOKUP($C125,'S3 - Screening Tool Metrics'!$C$3:$G$17,5,FALSE)/100)*L125)</f>
        <v>2921.6636041442689</v>
      </c>
      <c r="P125" s="706">
        <f t="shared" si="71"/>
        <v>62.017907114079151</v>
      </c>
      <c r="Q125" s="707">
        <f t="shared" si="100"/>
        <v>720400.4</v>
      </c>
      <c r="R125" s="706">
        <f>VLOOKUP("*"&amp;$B125&amp;"*",'S4 - Summ PRS Characteristics'!$C$21:$Q$28,12,FALSE)*$J125</f>
        <v>1946.2750172036292</v>
      </c>
      <c r="S125" s="706">
        <f t="shared" si="108"/>
        <v>2764.7249827963706</v>
      </c>
      <c r="T125" s="706">
        <f>IF($C125="other",(1-$C120)*R125,(1-(VLOOKUP($C125,'S3 - Screening Tool Metrics'!$C$3:$G$17,5,FALSE)/100))*R125)</f>
        <v>299.72635264935894</v>
      </c>
      <c r="U125" s="706">
        <f>IF($C125="other",$C120*R125,(VLOOKUP($C125,'S3 - Screening Tool Metrics'!$C$3:$G$17,5,FALSE)/100)*R125)</f>
        <v>1646.5486645542703</v>
      </c>
      <c r="V125" s="708">
        <f t="shared" si="101"/>
        <v>34.951149746429003</v>
      </c>
      <c r="W125" s="707">
        <f t="shared" si="102"/>
        <v>360200.2</v>
      </c>
      <c r="X125" s="706">
        <f>VLOOKUP("*"&amp;$B125&amp;"*",'S4 - Summ PRS Characteristics'!$C$21:$Q$28,13,FALSE)*$J125</f>
        <v>1200.4236791873418</v>
      </c>
      <c r="Y125" s="706">
        <f t="shared" si="109"/>
        <v>3510.5763208126582</v>
      </c>
      <c r="Z125" s="706">
        <f>IF($C125="other",(1-$C120)*X125,(1-(VLOOKUP($C125,'S3 - Screening Tool Metrics'!$C$3:$G$17,5,FALSE)/100))*X125)</f>
        <v>184.86524659485067</v>
      </c>
      <c r="AA125" s="706">
        <f>IF($C125="other",$C120*X125,(VLOOKUP($C125,'S3 - Screening Tool Metrics'!$C$3:$G$17,5,FALSE)/100)*X125)</f>
        <v>1015.5584325924912</v>
      </c>
      <c r="AB125" s="708">
        <f t="shared" si="103"/>
        <v>21.557173266662939</v>
      </c>
      <c r="AC125" s="707">
        <f t="shared" si="104"/>
        <v>180100.1</v>
      </c>
      <c r="AD125" s="706">
        <f>VLOOKUP("*"&amp;$B125&amp;"*",'S4 - Summ PRS Characteristics'!$C$21:$Q$28,14,FALSE)*$J125</f>
        <v>721.81727189576009</v>
      </c>
      <c r="AE125" s="706">
        <f t="shared" si="111"/>
        <v>3989.1827281042397</v>
      </c>
      <c r="AF125" s="706">
        <f>IF($C125="other",(1-$C120)*AD125,(1-(VLOOKUP($C125,'S3 - Screening Tool Metrics'!$C$3:$G$17,5,FALSE)/100))*AD125)</f>
        <v>111.15985987194708</v>
      </c>
      <c r="AG125" s="706">
        <f>IF($C125="other",$C120*AD125,(VLOOKUP($C125,'S3 - Screening Tool Metrics'!$C$3:$G$17,5,FALSE)/100)*AD125)</f>
        <v>610.65741202381298</v>
      </c>
      <c r="AH125" s="708">
        <f t="shared" si="105"/>
        <v>12.962373424406984</v>
      </c>
      <c r="AI125" s="707">
        <f t="shared" si="106"/>
        <v>36020.020000000004</v>
      </c>
      <c r="AJ125" s="706">
        <f>VLOOKUP("*"&amp;$B125&amp;"*",'S4 - Summ PRS Characteristics'!$C$21:$Q$28,15,FALSE)*$J125</f>
        <v>208.08630389571593</v>
      </c>
      <c r="AK125" s="706">
        <f t="shared" si="110"/>
        <v>4502.9136961042841</v>
      </c>
      <c r="AL125" s="706">
        <f>IF($C125="other",(1-$C120)*AJ125,(1-(VLOOKUP($C125,'S3 - Screening Tool Metrics'!$C$3:$G$17,5,FALSE)/100))*AJ125)</f>
        <v>32.045290799940261</v>
      </c>
      <c r="AM125" s="706">
        <f>IF($C125="other",$C120*AJ125,(VLOOKUP($C125,'S3 - Screening Tool Metrics'!$C$3:$G$17,5,FALSE)/100)*AJ125)</f>
        <v>176.04101309577567</v>
      </c>
      <c r="AN125" s="709">
        <f t="shared" si="107"/>
        <v>3.7368077498572636</v>
      </c>
    </row>
    <row r="126" spans="2:40" x14ac:dyDescent="0.15">
      <c r="B126" s="700" t="s">
        <v>32</v>
      </c>
      <c r="C126" s="721" t="str">
        <f>$C121</f>
        <v>Low dose CT</v>
      </c>
      <c r="D126" s="552" t="s">
        <v>197</v>
      </c>
      <c r="E126" s="710">
        <f>VLOOKUP($B126&amp;"_"&amp;$D126,'App5 - CRUK Inci Rates'!C:H,6,FALSE)</f>
        <v>229.5</v>
      </c>
      <c r="F126" s="711">
        <f>VLOOKUP($B126&amp;"_"&amp;$D126,'App5 - CRUK Inci Rates'!C:H,3,FALSE)</f>
        <v>197.8</v>
      </c>
      <c r="G126" s="712">
        <f>VLOOKUP($B126&amp;"_"&amp;$D126,'App5 - CRUK Inci Rates'!C:J,8,FALSE)</f>
        <v>3502183.333333333</v>
      </c>
      <c r="H126" s="713">
        <f>VLOOKUP($B126&amp;"_"&amp;$D126,'App5 - CRUK Inci Rates'!C:J,7,FALSE)</f>
        <v>1696993.3333333333</v>
      </c>
      <c r="I126" s="713">
        <f>VLOOKUP($B126&amp;"_"&amp;$D126,'App5 - CRUK Inci Rates'!C:J,4,FALSE)</f>
        <v>1805190</v>
      </c>
      <c r="J126" s="709">
        <f>VLOOKUP($B126&amp;"_"&amp;$D126,'App5 - CRUK Inci Rates'!C:K,9,FALSE)</f>
        <v>7466</v>
      </c>
      <c r="K126" s="706">
        <f t="shared" si="69"/>
        <v>1751091.6666666665</v>
      </c>
      <c r="L126" s="706">
        <f>VLOOKUP("*"&amp;$B126&amp;"*",'S4 - Summ PRS Characteristics'!$C$21:$Q$28,11,FALSE)*$J126</f>
        <v>5473.1169564268912</v>
      </c>
      <c r="M126" s="706">
        <f t="shared" si="70"/>
        <v>1992.8830435731088</v>
      </c>
      <c r="N126" s="706">
        <f>IF($C126="other",(1-$C$7)*L126,(1-(VLOOKUP($C126,'S3 - Screening Tool Metrics'!$C$3:$G$17,5,FALSE)/100))*L126)</f>
        <v>842.86001128974135</v>
      </c>
      <c r="O126" s="706">
        <f>IF($C126="other",$C$7*L126,(VLOOKUP($C126,'S3 - Screening Tool Metrics'!$C$3:$G$17,5,FALSE)/100)*L126)</f>
        <v>4630.2569451371501</v>
      </c>
      <c r="P126" s="706">
        <f t="shared" si="71"/>
        <v>62.017907114079165</v>
      </c>
      <c r="Q126" s="707">
        <f t="shared" si="100"/>
        <v>700436.66666666663</v>
      </c>
      <c r="R126" s="706">
        <f>VLOOKUP("*"&amp;$B126&amp;"*",'S4 - Summ PRS Characteristics'!$C$21:$Q$28,12,FALSE)*$J126</f>
        <v>3084.4596218302477</v>
      </c>
      <c r="S126" s="706">
        <f t="shared" si="108"/>
        <v>4381.5403781697523</v>
      </c>
      <c r="T126" s="706">
        <f>IF($C126="other",(1-$C120)*R126,(1-(VLOOKUP($C126,'S3 - Screening Tool Metrics'!$C$3:$G$17,5,FALSE)/100))*R126)</f>
        <v>475.00678176185824</v>
      </c>
      <c r="U126" s="706">
        <f>IF($C126="other",$C120*R126,(VLOOKUP($C126,'S3 - Screening Tool Metrics'!$C$3:$G$17,5,FALSE)/100)*R126)</f>
        <v>2609.4528400683894</v>
      </c>
      <c r="V126" s="708">
        <f t="shared" si="101"/>
        <v>34.951149746429003</v>
      </c>
      <c r="W126" s="707">
        <f t="shared" si="102"/>
        <v>350218.33333333331</v>
      </c>
      <c r="X126" s="706">
        <f>VLOOKUP("*"&amp;$B126&amp;"*",'S4 - Summ PRS Characteristics'!$C$21:$Q$28,13,FALSE)*$J126</f>
        <v>1902.4332814291433</v>
      </c>
      <c r="Y126" s="706">
        <f t="shared" si="109"/>
        <v>5563.5667185708571</v>
      </c>
      <c r="Z126" s="706">
        <f>IF($C126="other",(1-$C120)*X126,(1-(VLOOKUP($C126,'S3 - Screening Tool Metrics'!$C$3:$G$17,5,FALSE)/100))*X126)</f>
        <v>292.97472534008813</v>
      </c>
      <c r="AA126" s="706">
        <f>IF($C126="other",$C120*X126,(VLOOKUP($C126,'S3 - Screening Tool Metrics'!$C$3:$G$17,5,FALSE)/100)*X126)</f>
        <v>1609.4585560890553</v>
      </c>
      <c r="AB126" s="708">
        <f t="shared" si="103"/>
        <v>21.557173266662943</v>
      </c>
      <c r="AC126" s="707">
        <f t="shared" si="104"/>
        <v>175109.16666666666</v>
      </c>
      <c r="AD126" s="706">
        <f>VLOOKUP("*"&amp;$B126&amp;"*",'S4 - Summ PRS Characteristics'!$C$21:$Q$28,14,FALSE)*$J126</f>
        <v>1143.9371156811176</v>
      </c>
      <c r="AE126" s="706">
        <f t="shared" si="111"/>
        <v>6322.0628843188824</v>
      </c>
      <c r="AF126" s="706">
        <f>IF($C126="other",(1-$C120)*AD126,(1-(VLOOKUP($C126,'S3 - Screening Tool Metrics'!$C$3:$G$17,5,FALSE)/100))*AD126)</f>
        <v>176.16631581489213</v>
      </c>
      <c r="AG126" s="706">
        <f>IF($C126="other",$C120*AD126,(VLOOKUP($C126,'S3 - Screening Tool Metrics'!$C$3:$G$17,5,FALSE)/100)*AD126)</f>
        <v>967.77079986622539</v>
      </c>
      <c r="AH126" s="708">
        <f t="shared" si="105"/>
        <v>12.962373424406984</v>
      </c>
      <c r="AI126" s="707">
        <f t="shared" si="106"/>
        <v>35021.833333333328</v>
      </c>
      <c r="AJ126" s="706">
        <f>VLOOKUP("*"&amp;$B126&amp;"*",'S4 - Summ PRS Characteristics'!$C$21:$Q$28,15,FALSE)*$J126</f>
        <v>329.77549244012209</v>
      </c>
      <c r="AK126" s="706">
        <f t="shared" si="110"/>
        <v>7136.2245075598776</v>
      </c>
      <c r="AL126" s="706">
        <f>IF($C126="other",(1-$C120)*AJ126,(1-(VLOOKUP($C126,'S3 - Screening Tool Metrics'!$C$3:$G$17,5,FALSE)/100))*AJ126)</f>
        <v>50.78542583577881</v>
      </c>
      <c r="AM126" s="706">
        <f>IF($C126="other",$C120*AJ126,(VLOOKUP($C126,'S3 - Screening Tool Metrics'!$C$3:$G$17,5,FALSE)/100)*AJ126)</f>
        <v>278.99006660434327</v>
      </c>
      <c r="AN126" s="709">
        <f t="shared" si="107"/>
        <v>3.7368077498572636</v>
      </c>
    </row>
    <row r="127" spans="2:40" x14ac:dyDescent="0.15">
      <c r="B127" s="700" t="s">
        <v>32</v>
      </c>
      <c r="C127" s="721" t="str">
        <f>$C121</f>
        <v>Low dose CT</v>
      </c>
      <c r="D127" s="552" t="s">
        <v>198</v>
      </c>
      <c r="E127" s="710">
        <f>VLOOKUP($B127&amp;"_"&amp;$D127,'App5 - CRUK Inci Rates'!C:H,6,FALSE)</f>
        <v>335</v>
      </c>
      <c r="F127" s="711">
        <f>VLOOKUP($B127&amp;"_"&amp;$D127,'App5 - CRUK Inci Rates'!C:H,3,FALSE)</f>
        <v>278.10000000000002</v>
      </c>
      <c r="G127" s="712">
        <f>VLOOKUP($B127&amp;"_"&amp;$D127,'App5 - CRUK Inci Rates'!C:J,8,FALSE)</f>
        <v>3071574.666666667</v>
      </c>
      <c r="H127" s="713">
        <f>VLOOKUP($B127&amp;"_"&amp;$D127,'App5 - CRUK Inci Rates'!C:J,7,FALSE)</f>
        <v>1467965</v>
      </c>
      <c r="I127" s="713">
        <f>VLOOKUP($B127&amp;"_"&amp;$D127,'App5 - CRUK Inci Rates'!C:J,4,FALSE)</f>
        <v>1603609.6666666667</v>
      </c>
      <c r="J127" s="709">
        <f>VLOOKUP($B127&amp;"_"&amp;$D127,'App5 - CRUK Inci Rates'!C:K,9,FALSE)</f>
        <v>9378</v>
      </c>
      <c r="K127" s="706">
        <f t="shared" si="69"/>
        <v>1535787.3333333335</v>
      </c>
      <c r="L127" s="706">
        <f>VLOOKUP("*"&amp;$B127&amp;"*",'S4 - Summ PRS Characteristics'!$C$21:$Q$28,11,FALSE)*$J127</f>
        <v>6874.7509800926036</v>
      </c>
      <c r="M127" s="706">
        <f t="shared" si="70"/>
        <v>2503.2490199073964</v>
      </c>
      <c r="N127" s="706">
        <f>IF($C127="other",(1-$C$7)*L127,(1-(VLOOKUP($C127,'S3 - Screening Tool Metrics'!$C$3:$G$17,5,FALSE)/100))*L127)</f>
        <v>1058.7116509342611</v>
      </c>
      <c r="O127" s="706">
        <f>IF($C127="other",$C$7*L127,(VLOOKUP($C127,'S3 - Screening Tool Metrics'!$C$3:$G$17,5,FALSE)/100)*L127)</f>
        <v>5816.0393291583423</v>
      </c>
      <c r="P127" s="706">
        <f t="shared" si="71"/>
        <v>62.017907114079144</v>
      </c>
      <c r="Q127" s="707">
        <f t="shared" si="100"/>
        <v>614314.93333333347</v>
      </c>
      <c r="R127" s="706">
        <f>VLOOKUP("*"&amp;$B127&amp;"*",'S4 - Summ PRS Characteristics'!$C$21:$Q$28,12,FALSE)*$J127</f>
        <v>3874.3721314658533</v>
      </c>
      <c r="S127" s="706">
        <f t="shared" si="108"/>
        <v>5503.6278685341467</v>
      </c>
      <c r="T127" s="706">
        <f>IF($C127="other",(1-$C120)*R127,(1-(VLOOKUP($C127,'S3 - Screening Tool Metrics'!$C$3:$G$17,5,FALSE)/100))*R127)</f>
        <v>596.65330824574153</v>
      </c>
      <c r="U127" s="706">
        <f>IF($C127="other",$C120*R127,(VLOOKUP($C127,'S3 - Screening Tool Metrics'!$C$3:$G$17,5,FALSE)/100)*R127)</f>
        <v>3277.718823220112</v>
      </c>
      <c r="V127" s="708">
        <f t="shared" si="101"/>
        <v>34.951149746429003</v>
      </c>
      <c r="W127" s="707">
        <f t="shared" si="102"/>
        <v>307157.46666666673</v>
      </c>
      <c r="X127" s="706">
        <f>VLOOKUP("*"&amp;$B127&amp;"*",'S4 - Summ PRS Characteristics'!$C$21:$Q$28,13,FALSE)*$J127</f>
        <v>2389.6355897726366</v>
      </c>
      <c r="Y127" s="706">
        <f t="shared" si="109"/>
        <v>6988.3644102273629</v>
      </c>
      <c r="Z127" s="706">
        <f>IF($C127="other",(1-$C120)*X127,(1-(VLOOKUP($C127,'S3 - Screening Tool Metrics'!$C$3:$G$17,5,FALSE)/100))*X127)</f>
        <v>368.00388082498608</v>
      </c>
      <c r="AA127" s="706">
        <f>IF($C127="other",$C120*X127,(VLOOKUP($C127,'S3 - Screening Tool Metrics'!$C$3:$G$17,5,FALSE)/100)*X127)</f>
        <v>2021.6317089476506</v>
      </c>
      <c r="AB127" s="708">
        <f t="shared" si="103"/>
        <v>21.557173266662939</v>
      </c>
      <c r="AC127" s="707">
        <f t="shared" si="104"/>
        <v>153578.73333333337</v>
      </c>
      <c r="AD127" s="706">
        <f>VLOOKUP("*"&amp;$B127&amp;"*",'S4 - Summ PRS Characteristics'!$C$21:$Q$28,14,FALSE)*$J127</f>
        <v>1436.8928838544764</v>
      </c>
      <c r="AE127" s="706">
        <f t="shared" si="111"/>
        <v>7941.1071161455238</v>
      </c>
      <c r="AF127" s="706">
        <f>IF($C127="other",(1-$C120)*AD127,(1-(VLOOKUP($C127,'S3 - Screening Tool Metrics'!$C$3:$G$17,5,FALSE)/100))*AD127)</f>
        <v>221.28150411358939</v>
      </c>
      <c r="AG127" s="706">
        <f>IF($C127="other",$C120*AD127,(VLOOKUP($C127,'S3 - Screening Tool Metrics'!$C$3:$G$17,5,FALSE)/100)*AD127)</f>
        <v>1215.6113797408871</v>
      </c>
      <c r="AH127" s="708">
        <f t="shared" si="105"/>
        <v>12.962373424406984</v>
      </c>
      <c r="AI127" s="707">
        <f t="shared" si="106"/>
        <v>30715.74666666667</v>
      </c>
      <c r="AJ127" s="706">
        <f>VLOOKUP("*"&amp;$B127&amp;"*",'S4 - Summ PRS Characteristics'!$C$21:$Q$28,15,FALSE)*$J127</f>
        <v>414.22911439907114</v>
      </c>
      <c r="AK127" s="706">
        <f t="shared" si="110"/>
        <v>8963.7708856009285</v>
      </c>
      <c r="AL127" s="706">
        <f>IF($C127="other",(1-$C120)*AJ127,(1-(VLOOKUP($C127,'S3 - Screening Tool Metrics'!$C$3:$G$17,5,FALSE)/100))*AJ127)</f>
        <v>63.791283617456969</v>
      </c>
      <c r="AM127" s="706">
        <f>IF($C127="other",$C120*AJ127,(VLOOKUP($C127,'S3 - Screening Tool Metrics'!$C$3:$G$17,5,FALSE)/100)*AJ127)</f>
        <v>350.4378307816142</v>
      </c>
      <c r="AN127" s="709">
        <f t="shared" si="107"/>
        <v>3.736807749857264</v>
      </c>
    </row>
    <row r="128" spans="2:40" x14ac:dyDescent="0.15">
      <c r="B128" s="700" t="s">
        <v>32</v>
      </c>
      <c r="C128" s="721" t="str">
        <f>$C121</f>
        <v>Low dose CT</v>
      </c>
      <c r="D128" s="552" t="s">
        <v>199</v>
      </c>
      <c r="E128" s="710">
        <f>VLOOKUP($B128&amp;"_"&amp;$D128,'App5 - CRUK Inci Rates'!C:H,6,FALSE)</f>
        <v>462.2</v>
      </c>
      <c r="F128" s="711">
        <f>VLOOKUP($B128&amp;"_"&amp;$D128,'App5 - CRUK Inci Rates'!C:H,3,FALSE)</f>
        <v>340.5</v>
      </c>
      <c r="G128" s="712">
        <f>VLOOKUP($B128&amp;"_"&amp;$D128,'App5 - CRUK Inci Rates'!C:J,8,FALSE)</f>
        <v>2189010.6666666665</v>
      </c>
      <c r="H128" s="713">
        <f>VLOOKUP($B128&amp;"_"&amp;$D128,'App5 - CRUK Inci Rates'!C:J,7,FALSE)</f>
        <v>1007365.3333333334</v>
      </c>
      <c r="I128" s="713">
        <f>VLOOKUP($B128&amp;"_"&amp;$D128,'App5 - CRUK Inci Rates'!C:J,4,FALSE)</f>
        <v>1181645.3333333333</v>
      </c>
      <c r="J128" s="709">
        <f>VLOOKUP($B128&amp;"_"&amp;$D128,'App5 - CRUK Inci Rates'!C:K,9,FALSE)</f>
        <v>8680</v>
      </c>
      <c r="K128" s="706">
        <f t="shared" si="69"/>
        <v>1094505.3333333333</v>
      </c>
      <c r="L128" s="706">
        <f>VLOOKUP("*"&amp;$B128&amp;"*",'S4 - Summ PRS Characteristics'!$C$21:$Q$28,11,FALSE)*$J128</f>
        <v>6363.0665927920454</v>
      </c>
      <c r="M128" s="706">
        <f t="shared" si="70"/>
        <v>2316.9334072079546</v>
      </c>
      <c r="N128" s="706">
        <f>IF($C128="other",(1-$C$7)*L128,(1-(VLOOKUP($C128,'S3 - Screening Tool Metrics'!$C$3:$G$17,5,FALSE)/100))*L128)</f>
        <v>979.91225528997518</v>
      </c>
      <c r="O128" s="706">
        <f>IF($C128="other",$C$7*L128,(VLOOKUP($C128,'S3 - Screening Tool Metrics'!$C$3:$G$17,5,FALSE)/100)*L128)</f>
        <v>5383.1543375020701</v>
      </c>
      <c r="P128" s="706">
        <f t="shared" si="71"/>
        <v>62.017907114079151</v>
      </c>
      <c r="Q128" s="707">
        <f t="shared" si="100"/>
        <v>437802.1333333333</v>
      </c>
      <c r="R128" s="706">
        <f>VLOOKUP("*"&amp;$B128&amp;"*",'S4 - Summ PRS Characteristics'!$C$21:$Q$28,12,FALSE)*$J128</f>
        <v>3586.0044893499262</v>
      </c>
      <c r="S128" s="706">
        <f t="shared" si="108"/>
        <v>5093.9955106500738</v>
      </c>
      <c r="T128" s="706">
        <f>IF($C128="other",(1-$C120)*R128,(1-(VLOOKUP($C128,'S3 - Screening Tool Metrics'!$C$3:$G$17,5,FALSE)/100))*R128)</f>
        <v>552.24469135988875</v>
      </c>
      <c r="U128" s="706">
        <f>IF($C128="other",$C120*R128,(VLOOKUP($C128,'S3 - Screening Tool Metrics'!$C$3:$G$17,5,FALSE)/100)*R128)</f>
        <v>3033.7597979900374</v>
      </c>
      <c r="V128" s="708">
        <f t="shared" si="101"/>
        <v>34.951149746429003</v>
      </c>
      <c r="W128" s="707">
        <f t="shared" si="102"/>
        <v>218901.06666666665</v>
      </c>
      <c r="X128" s="706">
        <f>VLOOKUP("*"&amp;$B128&amp;"*",'S4 - Summ PRS Characteristics'!$C$21:$Q$28,13,FALSE)*$J128</f>
        <v>2211.7761696765288</v>
      </c>
      <c r="Y128" s="706">
        <f t="shared" si="109"/>
        <v>6468.2238303234717</v>
      </c>
      <c r="Z128" s="706">
        <f>IF($C128="other",(1-$C120)*X128,(1-(VLOOKUP($C128,'S3 - Screening Tool Metrics'!$C$3:$G$17,5,FALSE)/100))*X128)</f>
        <v>340.6135301301855</v>
      </c>
      <c r="AA128" s="706">
        <f>IF($C128="other",$C120*X128,(VLOOKUP($C128,'S3 - Screening Tool Metrics'!$C$3:$G$17,5,FALSE)/100)*X128)</f>
        <v>1871.1626395463434</v>
      </c>
      <c r="AB128" s="708">
        <f t="shared" si="103"/>
        <v>21.557173266662943</v>
      </c>
      <c r="AC128" s="707">
        <f t="shared" si="104"/>
        <v>109450.53333333333</v>
      </c>
      <c r="AD128" s="706">
        <f>VLOOKUP("*"&amp;$B128&amp;"*",'S4 - Summ PRS Characteristics'!$C$21:$Q$28,14,FALSE)*$J128</f>
        <v>1329.9456421259176</v>
      </c>
      <c r="AE128" s="706">
        <f t="shared" si="111"/>
        <v>7350.0543578740826</v>
      </c>
      <c r="AF128" s="706">
        <f>IF($C128="other",(1-$C120)*AD128,(1-(VLOOKUP($C128,'S3 - Screening Tool Metrics'!$C$3:$G$17,5,FALSE)/100))*AD128)</f>
        <v>204.81162888739135</v>
      </c>
      <c r="AG128" s="706">
        <f>IF($C128="other",$C120*AD128,(VLOOKUP($C128,'S3 - Screening Tool Metrics'!$C$3:$G$17,5,FALSE)/100)*AD128)</f>
        <v>1125.1340132385262</v>
      </c>
      <c r="AH128" s="708">
        <f t="shared" si="105"/>
        <v>12.962373424406984</v>
      </c>
      <c r="AI128" s="707">
        <f t="shared" si="106"/>
        <v>21890.106666666667</v>
      </c>
      <c r="AJ128" s="706">
        <f>VLOOKUP("*"&amp;$B128&amp;"*",'S4 - Summ PRS Characteristics'!$C$21:$Q$28,15,FALSE)*$J128</f>
        <v>383.3982419475301</v>
      </c>
      <c r="AK128" s="706">
        <f t="shared" si="110"/>
        <v>8296.6017580524694</v>
      </c>
      <c r="AL128" s="706">
        <f>IF($C128="other",(1-$C120)*AJ128,(1-(VLOOKUP($C128,'S3 - Screening Tool Metrics'!$C$3:$G$17,5,FALSE)/100))*AJ128)</f>
        <v>59.043329259919645</v>
      </c>
      <c r="AM128" s="706">
        <f>IF($C128="other",$C120*AJ128,(VLOOKUP($C128,'S3 - Screening Tool Metrics'!$C$3:$G$17,5,FALSE)/100)*AJ128)</f>
        <v>324.35491268761047</v>
      </c>
      <c r="AN128" s="709">
        <f t="shared" si="107"/>
        <v>3.7368077498572636</v>
      </c>
    </row>
    <row r="129" spans="2:40" x14ac:dyDescent="0.15">
      <c r="B129" s="700" t="s">
        <v>32</v>
      </c>
      <c r="C129" s="721" t="str">
        <f>$C121</f>
        <v>Low dose CT</v>
      </c>
      <c r="D129" s="552" t="s">
        <v>200</v>
      </c>
      <c r="E129" s="710">
        <f>VLOOKUP($B129&amp;"_"&amp;$D129,'App5 - CRUK Inci Rates'!C:H,6,FALSE)</f>
        <v>74.762553006779655</v>
      </c>
      <c r="F129" s="711">
        <f>VLOOKUP($B129&amp;"_"&amp;$D129,'App5 - CRUK Inci Rates'!C:H,3,FALSE)</f>
        <v>67.955614708629497</v>
      </c>
      <c r="G129" s="712">
        <f>VLOOKUP($B129&amp;"_"&amp;$D129,'App5 - CRUK Inci Rates'!C:J,8,FALSE)</f>
        <v>24586669.333333336</v>
      </c>
      <c r="H129" s="713">
        <f>VLOOKUP($B129&amp;"_"&amp;$D129,'App5 - CRUK Inci Rates'!C:J,7,FALSE)</f>
        <v>12090277.333333334</v>
      </c>
      <c r="I129" s="713">
        <f>VLOOKUP($B129&amp;"_"&amp;$D129,'App5 - CRUK Inci Rates'!C:J,4,FALSE)</f>
        <v>12496392</v>
      </c>
      <c r="J129" s="709">
        <f>VLOOKUP($B129&amp;"_"&amp;$D129,'App5 - CRUK Inci Rates'!C:K,9,FALSE)</f>
        <v>17531</v>
      </c>
      <c r="K129" s="706">
        <f t="shared" si="69"/>
        <v>12293334.666666668</v>
      </c>
      <c r="L129" s="706">
        <f>VLOOKUP("*"&amp;$B129&amp;"*",'S4 - Summ PRS Characteristics'!$C$21:$Q$28,11,FALSE)*$J129</f>
        <v>12851.488529750846</v>
      </c>
      <c r="M129" s="706">
        <f t="shared" si="70"/>
        <v>4679.5114702491537</v>
      </c>
      <c r="N129" s="706">
        <f>IF($C129="other",(1-$C$7)*L129,(1-(VLOOKUP($C129,'S3 - Screening Tool Metrics'!$C$3:$G$17,5,FALSE)/100))*L129)</f>
        <v>1979.1292335816306</v>
      </c>
      <c r="O129" s="706">
        <f>IF($C129="other",$C$7*L129,(VLOOKUP($C129,'S3 - Screening Tool Metrics'!$C$3:$G$17,5,FALSE)/100)*L129)</f>
        <v>10872.359296169216</v>
      </c>
      <c r="P129" s="706">
        <f t="shared" si="71"/>
        <v>62.017907114079151</v>
      </c>
      <c r="Q129" s="707">
        <f t="shared" si="100"/>
        <v>4917333.8666666672</v>
      </c>
      <c r="R129" s="706">
        <f>VLOOKUP("*"&amp;$B129&amp;"*",'S4 - Summ PRS Characteristics'!$C$21:$Q$28,12,FALSE)*$J129</f>
        <v>7242.6549196766773</v>
      </c>
      <c r="S129" s="706">
        <f t="shared" si="108"/>
        <v>10288.345080323323</v>
      </c>
      <c r="T129" s="706">
        <f>IF($C129="other",(1-$C120)*R129,(1-(VLOOKUP($C129,'S3 - Screening Tool Metrics'!$C$3:$G$17,5,FALSE)/100))*R129)</f>
        <v>1115.3688576302086</v>
      </c>
      <c r="U129" s="706">
        <f>IF($C129="other",$C120*R129,(VLOOKUP($C129,'S3 - Screening Tool Metrics'!$C$3:$G$17,5,FALSE)/100)*R129)</f>
        <v>6127.2860620464689</v>
      </c>
      <c r="V129" s="708">
        <f t="shared" si="101"/>
        <v>34.951149746429003</v>
      </c>
      <c r="W129" s="707">
        <f t="shared" si="102"/>
        <v>2458666.9333333336</v>
      </c>
      <c r="X129" s="706">
        <f>VLOOKUP("*"&amp;$B129&amp;"*",'S4 - Summ PRS Characteristics'!$C$21:$Q$28,13,FALSE)*$J129</f>
        <v>4467.1253491473763</v>
      </c>
      <c r="Y129" s="706">
        <f t="shared" si="109"/>
        <v>13063.874650852624</v>
      </c>
      <c r="Z129" s="706">
        <f>IF($C129="other",(1-$C120)*X129,(1-(VLOOKUP($C129,'S3 - Screening Tool Metrics'!$C$3:$G$17,5,FALSE)/100))*X129)</f>
        <v>687.9373037686961</v>
      </c>
      <c r="AA129" s="706">
        <f>IF($C129="other",$C120*X129,(VLOOKUP($C129,'S3 - Screening Tool Metrics'!$C$3:$G$17,5,FALSE)/100)*X129)</f>
        <v>3779.1880453786803</v>
      </c>
      <c r="AB129" s="708">
        <f t="shared" si="103"/>
        <v>21.557173266662939</v>
      </c>
      <c r="AC129" s="707">
        <f t="shared" si="104"/>
        <v>1229333.4666666668</v>
      </c>
      <c r="AD129" s="706">
        <f>VLOOKUP("*"&amp;$B129&amp;"*",'S4 - Summ PRS Characteristics'!$C$21:$Q$28,14,FALSE)*$J129</f>
        <v>2686.0918262798918</v>
      </c>
      <c r="AE129" s="706">
        <f t="shared" si="111"/>
        <v>14844.908173720109</v>
      </c>
      <c r="AF129" s="706">
        <f>IF($C129="other",(1-$C120)*AD129,(1-(VLOOKUP($C129,'S3 - Screening Tool Metrics'!$C$3:$G$17,5,FALSE)/100))*AD129)</f>
        <v>413.6581412471034</v>
      </c>
      <c r="AG129" s="706">
        <f>IF($C129="other",$C120*AD129,(VLOOKUP($C129,'S3 - Screening Tool Metrics'!$C$3:$G$17,5,FALSE)/100)*AD129)</f>
        <v>2272.4336850327886</v>
      </c>
      <c r="AH129" s="708">
        <f t="shared" si="105"/>
        <v>12.962373424406987</v>
      </c>
      <c r="AI129" s="707">
        <f t="shared" si="106"/>
        <v>245866.69333333336</v>
      </c>
      <c r="AJ129" s="706">
        <f>VLOOKUP("*"&amp;$B129&amp;"*",'S4 - Summ PRS Characteristics'!$C$21:$Q$28,15,FALSE)*$J129</f>
        <v>774.34960594264408</v>
      </c>
      <c r="AK129" s="706">
        <f t="shared" si="110"/>
        <v>16756.650394057357</v>
      </c>
      <c r="AL129" s="706">
        <f>IF($C129="other",(1-$C120)*AJ129,(1-(VLOOKUP($C129,'S3 - Screening Tool Metrics'!$C$3:$G$17,5,FALSE)/100))*AJ129)</f>
        <v>119.24983931516721</v>
      </c>
      <c r="AM129" s="706">
        <f>IF($C129="other",$C120*AJ129,(VLOOKUP($C129,'S3 - Screening Tool Metrics'!$C$3:$G$17,5,FALSE)/100)*AJ129)</f>
        <v>655.09976662747692</v>
      </c>
      <c r="AN129" s="709">
        <f t="shared" si="107"/>
        <v>3.736807749857264</v>
      </c>
    </row>
    <row r="130" spans="2:40" x14ac:dyDescent="0.15">
      <c r="B130" s="700" t="s">
        <v>32</v>
      </c>
      <c r="C130" s="721" t="str">
        <f>$C121</f>
        <v>Low dose CT</v>
      </c>
      <c r="D130" s="552" t="s">
        <v>201</v>
      </c>
      <c r="E130" s="710">
        <f>VLOOKUP($B130&amp;"_"&amp;$D130,'App5 - CRUK Inci Rates'!C:H,6,FALSE)</f>
        <v>11.420374791114012</v>
      </c>
      <c r="F130" s="711">
        <f>VLOOKUP($B130&amp;"_"&amp;$D130,'App5 - CRUK Inci Rates'!C:H,3,FALSE)</f>
        <v>10.481262340656587</v>
      </c>
      <c r="G130" s="712">
        <f>VLOOKUP($B130&amp;"_"&amp;$D130,'App5 - CRUK Inci Rates'!C:J,8,FALSE)</f>
        <v>8642767.333333334</v>
      </c>
      <c r="H130" s="713">
        <f>VLOOKUP($B130&amp;"_"&amp;$D130,'App5 - CRUK Inci Rates'!C:J,7,FALSE)</f>
        <v>4273064.666666667</v>
      </c>
      <c r="I130" s="713">
        <f>VLOOKUP($B130&amp;"_"&amp;$D130,'App5 - CRUK Inci Rates'!C:J,4,FALSE)</f>
        <v>4369702.666666667</v>
      </c>
      <c r="J130" s="709">
        <f>VLOOKUP($B130&amp;"_"&amp;$D130,'App5 - CRUK Inci Rates'!C:K,9,FALSE)</f>
        <v>946</v>
      </c>
      <c r="K130" s="706">
        <f t="shared" si="69"/>
        <v>4321383.666666667</v>
      </c>
      <c r="L130" s="706">
        <f>VLOOKUP("*"&amp;$B130&amp;"*",'S4 - Summ PRS Characteristics'!$C$21:$Q$28,11,FALSE)*$J130</f>
        <v>693.48628995175977</v>
      </c>
      <c r="M130" s="706">
        <f t="shared" si="70"/>
        <v>252.51371004824023</v>
      </c>
      <c r="N130" s="706">
        <f>IF($C130="other",(1-$C$7)*L130,(1-(VLOOKUP($C130,'S3 - Screening Tool Metrics'!$C$3:$G$17,5,FALSE)/100))*L130)</f>
        <v>106.79688865257103</v>
      </c>
      <c r="O130" s="706">
        <f>IF($C130="other",$C$7*L130,(VLOOKUP($C130,'S3 - Screening Tool Metrics'!$C$3:$G$17,5,FALSE)/100)*L130)</f>
        <v>586.68940129918872</v>
      </c>
      <c r="P130" s="706">
        <f t="shared" si="71"/>
        <v>62.017907114079144</v>
      </c>
      <c r="Q130" s="707">
        <f t="shared" si="100"/>
        <v>1728553.4666666668</v>
      </c>
      <c r="R130" s="706">
        <f>VLOOKUP("*"&amp;$B130&amp;"*",'S4 - Summ PRS Characteristics'!$C$21:$Q$28,12,FALSE)*$J130</f>
        <v>390.82491324021083</v>
      </c>
      <c r="S130" s="706">
        <f t="shared" si="108"/>
        <v>555.17508675978911</v>
      </c>
      <c r="T130" s="706">
        <f>IF($C130="other",(1-$C120)*R130,(1-(VLOOKUP($C130,'S3 - Screening Tool Metrics'!$C$3:$G$17,5,FALSE)/100))*R130)</f>
        <v>60.187036638992481</v>
      </c>
      <c r="U130" s="706">
        <f>IF($C130="other",$C120*R130,(VLOOKUP($C130,'S3 - Screening Tool Metrics'!$C$3:$G$17,5,FALSE)/100)*R130)</f>
        <v>330.63787660121835</v>
      </c>
      <c r="V130" s="708">
        <f t="shared" si="101"/>
        <v>34.951149746429003</v>
      </c>
      <c r="W130" s="707">
        <f t="shared" si="102"/>
        <v>864276.7333333334</v>
      </c>
      <c r="X130" s="706">
        <f>VLOOKUP("*"&amp;$B130&amp;"*",'S4 - Summ PRS Characteristics'!$C$21:$Q$28,13,FALSE)*$J130</f>
        <v>241.05302494400877</v>
      </c>
      <c r="Y130" s="706">
        <f t="shared" si="109"/>
        <v>704.94697505599129</v>
      </c>
      <c r="Z130" s="706">
        <f>IF($C130="other",(1-$C120)*X130,(1-(VLOOKUP($C130,'S3 - Screening Tool Metrics'!$C$3:$G$17,5,FALSE)/100))*X130)</f>
        <v>37.12216584137736</v>
      </c>
      <c r="AA130" s="706">
        <f>IF($C130="other",$C120*X130,(VLOOKUP($C130,'S3 - Screening Tool Metrics'!$C$3:$G$17,5,FALSE)/100)*X130)</f>
        <v>203.93085910263142</v>
      </c>
      <c r="AB130" s="708">
        <f t="shared" si="103"/>
        <v>21.557173266662939</v>
      </c>
      <c r="AC130" s="707">
        <f t="shared" si="104"/>
        <v>432138.3666666667</v>
      </c>
      <c r="AD130" s="706">
        <f>VLOOKUP("*"&amp;$B130&amp;"*",'S4 - Summ PRS Characteristics'!$C$21:$Q$28,14,FALSE)*$J130</f>
        <v>144.94568864644216</v>
      </c>
      <c r="AE130" s="706">
        <f t="shared" si="111"/>
        <v>801.05431135355786</v>
      </c>
      <c r="AF130" s="706">
        <f>IF($C130="other",(1-$C120)*AD130,(1-(VLOOKUP($C130,'S3 - Screening Tool Metrics'!$C$3:$G$17,5,FALSE)/100))*AD130)</f>
        <v>22.321636051552098</v>
      </c>
      <c r="AG130" s="706">
        <f>IF($C130="other",$C120*AD130,(VLOOKUP($C130,'S3 - Screening Tool Metrics'!$C$3:$G$17,5,FALSE)/100)*AD130)</f>
        <v>122.62405259489007</v>
      </c>
      <c r="AH130" s="708">
        <f t="shared" si="105"/>
        <v>12.962373424406984</v>
      </c>
      <c r="AI130" s="707">
        <f t="shared" si="106"/>
        <v>86427.67333333334</v>
      </c>
      <c r="AJ130" s="706">
        <f>VLOOKUP("*"&amp;$B130&amp;"*",'S4 - Summ PRS Characteristics'!$C$21:$Q$28,15,FALSE)*$J130</f>
        <v>41.785107935756159</v>
      </c>
      <c r="AK130" s="706">
        <f t="shared" si="110"/>
        <v>904.21489206424383</v>
      </c>
      <c r="AL130" s="706">
        <f>IF($C130="other",(1-$C120)*AJ130,(1-(VLOOKUP($C130,'S3 - Screening Tool Metrics'!$C$3:$G$17,5,FALSE)/100))*AJ130)</f>
        <v>6.4349066221064497</v>
      </c>
      <c r="AM130" s="706">
        <f>IF($C130="other",$C120*AJ130,(VLOOKUP($C130,'S3 - Screening Tool Metrics'!$C$3:$G$17,5,FALSE)/100)*AJ130)</f>
        <v>35.350201313649713</v>
      </c>
      <c r="AN130" s="709">
        <f t="shared" si="107"/>
        <v>3.7368077498572636</v>
      </c>
    </row>
    <row r="131" spans="2:40" x14ac:dyDescent="0.15">
      <c r="B131" s="700" t="s">
        <v>32</v>
      </c>
      <c r="C131" s="721" t="str">
        <f>$C121</f>
        <v>Low dose CT</v>
      </c>
      <c r="D131" s="552" t="s">
        <v>202</v>
      </c>
      <c r="E131" s="710">
        <f>VLOOKUP($B131&amp;"_"&amp;$D131,'App5 - CRUK Inci Rates'!C:H,6,FALSE)</f>
        <v>51.407550519379285</v>
      </c>
      <c r="F131" s="711">
        <f>VLOOKUP($B131&amp;"_"&amp;$D131,'App5 - CRUK Inci Rates'!C:H,3,FALSE)</f>
        <v>48.368479955661847</v>
      </c>
      <c r="G131" s="712">
        <f>VLOOKUP($B131&amp;"_"&amp;$D131,'App5 - CRUK Inci Rates'!C:J,8,FALSE)</f>
        <v>8839716.6666666679</v>
      </c>
      <c r="H131" s="713">
        <f>VLOOKUP($B131&amp;"_"&amp;$D131,'App5 - CRUK Inci Rates'!C:J,7,FALSE)</f>
        <v>4355391.333333333</v>
      </c>
      <c r="I131" s="713">
        <f>VLOOKUP($B131&amp;"_"&amp;$D131,'App5 - CRUK Inci Rates'!C:J,4,FALSE)</f>
        <v>4484325.333333334</v>
      </c>
      <c r="J131" s="709">
        <f>VLOOKUP($B131&amp;"_"&amp;$D131,'App5 - CRUK Inci Rates'!C:K,9,FALSE)</f>
        <v>4408</v>
      </c>
      <c r="K131" s="706">
        <f t="shared" si="69"/>
        <v>4419858.333333334</v>
      </c>
      <c r="L131" s="706">
        <f>VLOOKUP("*"&amp;$B131&amp;"*",'S4 - Summ PRS Characteristics'!$C$21:$Q$28,11,FALSE)*$J131</f>
        <v>3231.3822051874813</v>
      </c>
      <c r="M131" s="706">
        <f t="shared" si="70"/>
        <v>1176.6177948125187</v>
      </c>
      <c r="N131" s="706">
        <f>IF($C131="other",(1-$C$7)*L131,(1-(VLOOKUP($C131,'S3 - Screening Tool Metrics'!$C$3:$G$17,5,FALSE)/100))*L131)</f>
        <v>497.63285959887219</v>
      </c>
      <c r="O131" s="706">
        <f>IF($C131="other",$C$7*L131,(VLOOKUP($C131,'S3 - Screening Tool Metrics'!$C$3:$G$17,5,FALSE)/100)*L131)</f>
        <v>2733.7493455886092</v>
      </c>
      <c r="P131" s="706">
        <f t="shared" si="71"/>
        <v>62.017907114079151</v>
      </c>
      <c r="Q131" s="707">
        <f t="shared" si="100"/>
        <v>1767943.3333333337</v>
      </c>
      <c r="R131" s="706">
        <f>VLOOKUP("*"&amp;$B131&amp;"*",'S4 - Summ PRS Characteristics'!$C$21:$Q$28,12,FALSE)*$J131</f>
        <v>1821.0953674025893</v>
      </c>
      <c r="S131" s="706">
        <f t="shared" si="108"/>
        <v>2586.9046325974105</v>
      </c>
      <c r="T131" s="706">
        <f>IF($C131="other",(1-$C120)*R131,(1-(VLOOKUP($C131,'S3 - Screening Tool Metrics'!$C$3:$G$17,5,FALSE)/100))*R131)</f>
        <v>280.44868657999882</v>
      </c>
      <c r="U131" s="706">
        <f>IF($C131="other",$C120*R131,(VLOOKUP($C131,'S3 - Screening Tool Metrics'!$C$3:$G$17,5,FALSE)/100)*R131)</f>
        <v>1540.6466808225905</v>
      </c>
      <c r="V131" s="708">
        <f t="shared" si="101"/>
        <v>34.951149746429003</v>
      </c>
      <c r="W131" s="707">
        <f t="shared" si="102"/>
        <v>883971.66666666686</v>
      </c>
      <c r="X131" s="706">
        <f>VLOOKUP("*"&amp;$B131&amp;"*",'S4 - Summ PRS Characteristics'!$C$21:$Q$28,13,FALSE)*$J131</f>
        <v>1123.2153635868824</v>
      </c>
      <c r="Y131" s="706">
        <f t="shared" si="109"/>
        <v>3284.7846364131174</v>
      </c>
      <c r="Z131" s="706">
        <f>IF($C131="other",(1-$C120)*X131,(1-(VLOOKUP($C131,'S3 - Screening Tool Metrics'!$C$3:$G$17,5,FALSE)/100))*X131)</f>
        <v>172.97516599237991</v>
      </c>
      <c r="AA131" s="706">
        <f>IF($C131="other",$C120*X131,(VLOOKUP($C131,'S3 - Screening Tool Metrics'!$C$3:$G$17,5,FALSE)/100)*X131)</f>
        <v>950.24019759450243</v>
      </c>
      <c r="AB131" s="708">
        <f t="shared" si="103"/>
        <v>21.557173266662939</v>
      </c>
      <c r="AC131" s="707">
        <f t="shared" si="104"/>
        <v>441985.83333333343</v>
      </c>
      <c r="AD131" s="706">
        <f>VLOOKUP("*"&amp;$B131&amp;"*",'S4 - Summ PRS Characteristics'!$C$21:$Q$28,14,FALSE)*$J131</f>
        <v>675.39175005657205</v>
      </c>
      <c r="AE131" s="706">
        <f t="shared" si="111"/>
        <v>3732.6082499434278</v>
      </c>
      <c r="AF131" s="706">
        <f>IF($C131="other",(1-$C120)*AD131,(1-(VLOOKUP($C131,'S3 - Screening Tool Metrics'!$C$3:$G$17,5,FALSE)/100))*AD131)</f>
        <v>104.01032950871212</v>
      </c>
      <c r="AG131" s="706">
        <f>IF($C131="other",$C120*AD131,(VLOOKUP($C131,'S3 - Screening Tool Metrics'!$C$3:$G$17,5,FALSE)/100)*AD131)</f>
        <v>571.38142054785999</v>
      </c>
      <c r="AH131" s="708">
        <f t="shared" si="105"/>
        <v>12.962373424406987</v>
      </c>
      <c r="AI131" s="707">
        <f t="shared" si="106"/>
        <v>88397.166666666686</v>
      </c>
      <c r="AJ131" s="706">
        <f>VLOOKUP("*"&amp;$B131&amp;"*",'S4 - Summ PRS Characteristics'!$C$21:$Q$28,15,FALSE)*$J131</f>
        <v>194.70270167104985</v>
      </c>
      <c r="AK131" s="706">
        <f t="shared" si="110"/>
        <v>4213.2972983289501</v>
      </c>
      <c r="AL131" s="706">
        <f>IF($C131="other",(1-$C120)*AJ131,(1-(VLOOKUP($C131,'S3 - Screening Tool Metrics'!$C$3:$G$17,5,FALSE)/100))*AJ131)</f>
        <v>29.984216057341683</v>
      </c>
      <c r="AM131" s="706">
        <f>IF($C131="other",$C120*AJ131,(VLOOKUP($C131,'S3 - Screening Tool Metrics'!$C$3:$G$17,5,FALSE)/100)*AJ131)</f>
        <v>164.71848561370817</v>
      </c>
      <c r="AN131" s="709">
        <f t="shared" si="107"/>
        <v>3.7368077498572636</v>
      </c>
    </row>
    <row r="132" spans="2:40" x14ac:dyDescent="0.15">
      <c r="B132" s="700" t="s">
        <v>32</v>
      </c>
      <c r="C132" s="721" t="str">
        <f>$C121</f>
        <v>Low dose CT</v>
      </c>
      <c r="D132" s="552" t="s">
        <v>203</v>
      </c>
      <c r="E132" s="710">
        <f>VLOOKUP($B132&amp;"_"&amp;$D132,'App5 - CRUK Inci Rates'!C:H,6,FALSE)</f>
        <v>109.38681553928132</v>
      </c>
      <c r="F132" s="711">
        <f>VLOOKUP($B132&amp;"_"&amp;$D132,'App5 - CRUK Inci Rates'!C:H,3,FALSE)</f>
        <v>98.859445346912068</v>
      </c>
      <c r="G132" s="712">
        <f>VLOOKUP($B132&amp;"_"&amp;$D132,'App5 - CRUK Inci Rates'!C:J,8,FALSE)</f>
        <v>15943902</v>
      </c>
      <c r="H132" s="713">
        <f>VLOOKUP($B132&amp;"_"&amp;$D132,'App5 - CRUK Inci Rates'!C:J,7,FALSE)</f>
        <v>7817212.666666666</v>
      </c>
      <c r="I132" s="713">
        <f>VLOOKUP($B132&amp;"_"&amp;$D132,'App5 - CRUK Inci Rates'!C:J,4,FALSE)</f>
        <v>8126689.333333334</v>
      </c>
      <c r="J132" s="709">
        <f>VLOOKUP($B132&amp;"_"&amp;$D132,'App5 - CRUK Inci Rates'!C:K,9,FALSE)</f>
        <v>16585</v>
      </c>
      <c r="K132" s="706">
        <f t="shared" si="69"/>
        <v>7971951</v>
      </c>
      <c r="L132" s="706">
        <f>VLOOKUP("*"&amp;$B132&amp;"*",'S4 - Summ PRS Characteristics'!$C$21:$Q$28,11,FALSE)*$J132</f>
        <v>12158.002239799087</v>
      </c>
      <c r="M132" s="706">
        <f t="shared" si="70"/>
        <v>4426.997760200913</v>
      </c>
      <c r="N132" s="706">
        <f>IF($C132="other",(1-$C$7)*L132,(1-(VLOOKUP($C132,'S3 - Screening Tool Metrics'!$C$3:$G$17,5,FALSE)/100))*L132)</f>
        <v>1872.3323449290597</v>
      </c>
      <c r="O132" s="706">
        <f>IF($C132="other",$C$7*L132,(VLOOKUP($C132,'S3 - Screening Tool Metrics'!$C$3:$G$17,5,FALSE)/100)*L132)</f>
        <v>10285.669894870027</v>
      </c>
      <c r="P132" s="706">
        <f t="shared" si="71"/>
        <v>62.017907114079151</v>
      </c>
      <c r="Q132" s="707">
        <f t="shared" si="100"/>
        <v>3188780.4000000004</v>
      </c>
      <c r="R132" s="706">
        <f>VLOOKUP("*"&amp;$B132&amp;"*",'S4 - Summ PRS Characteristics'!$C$21:$Q$28,12,FALSE)*$J132</f>
        <v>6851.8300064364657</v>
      </c>
      <c r="S132" s="706">
        <f t="shared" si="108"/>
        <v>9733.1699935635334</v>
      </c>
      <c r="T132" s="706">
        <f>IF($C132="other",(1-$C120)*R132,(1-(VLOOKUP($C132,'S3 - Screening Tool Metrics'!$C$3:$G$17,5,FALSE)/100))*R132)</f>
        <v>1055.181820991216</v>
      </c>
      <c r="U132" s="706">
        <f>IF($C132="other",$C120*R132,(VLOOKUP($C132,'S3 - Screening Tool Metrics'!$C$3:$G$17,5,FALSE)/100)*R132)</f>
        <v>5796.6481854452495</v>
      </c>
      <c r="V132" s="708">
        <f t="shared" si="101"/>
        <v>34.951149746429003</v>
      </c>
      <c r="W132" s="707">
        <f t="shared" si="102"/>
        <v>1594390.2000000002</v>
      </c>
      <c r="X132" s="706">
        <f>VLOOKUP("*"&amp;$B132&amp;"*",'S4 - Summ PRS Characteristics'!$C$21:$Q$28,13,FALSE)*$J132</f>
        <v>4226.0723242033673</v>
      </c>
      <c r="Y132" s="706">
        <f t="shared" si="109"/>
        <v>12358.927675796633</v>
      </c>
      <c r="Z132" s="706">
        <f>IF($C132="other",(1-$C120)*X132,(1-(VLOOKUP($C132,'S3 - Screening Tool Metrics'!$C$3:$G$17,5,FALSE)/100))*X132)</f>
        <v>650.81513792731869</v>
      </c>
      <c r="AA132" s="706">
        <f>IF($C132="other",$C120*X132,(VLOOKUP($C132,'S3 - Screening Tool Metrics'!$C$3:$G$17,5,FALSE)/100)*X132)</f>
        <v>3575.2571862760487</v>
      </c>
      <c r="AB132" s="708">
        <f t="shared" si="103"/>
        <v>21.557173266662939</v>
      </c>
      <c r="AC132" s="707">
        <f t="shared" si="104"/>
        <v>797195.10000000009</v>
      </c>
      <c r="AD132" s="706">
        <f>VLOOKUP("*"&amp;$B132&amp;"*",'S4 - Summ PRS Characteristics'!$C$21:$Q$28,14,FALSE)*$J132</f>
        <v>2541.1461376334496</v>
      </c>
      <c r="AE132" s="706">
        <f t="shared" si="111"/>
        <v>14043.85386236655</v>
      </c>
      <c r="AF132" s="706">
        <f>IF($C132="other",(1-$C120)*AD132,(1-(VLOOKUP($C132,'S3 - Screening Tool Metrics'!$C$3:$G$17,5,FALSE)/100))*AD132)</f>
        <v>391.3365051955513</v>
      </c>
      <c r="AG132" s="706">
        <f>IF($C132="other",$C120*AD132,(VLOOKUP($C132,'S3 - Screening Tool Metrics'!$C$3:$G$17,5,FALSE)/100)*AD132)</f>
        <v>2149.8096324378985</v>
      </c>
      <c r="AH132" s="708">
        <f t="shared" si="105"/>
        <v>12.962373424406984</v>
      </c>
      <c r="AI132" s="707">
        <f t="shared" si="106"/>
        <v>159439.01999999999</v>
      </c>
      <c r="AJ132" s="706">
        <f>VLOOKUP("*"&amp;$B132&amp;"*",'S4 - Summ PRS Characteristics'!$C$21:$Q$28,15,FALSE)*$J132</f>
        <v>732.5644980068879</v>
      </c>
      <c r="AK132" s="706">
        <f t="shared" si="110"/>
        <v>15852.435501993112</v>
      </c>
      <c r="AL132" s="706">
        <f>IF($C132="other",(1-$C120)*AJ132,(1-(VLOOKUP($C132,'S3 - Screening Tool Metrics'!$C$3:$G$17,5,FALSE)/100))*AJ132)</f>
        <v>112.81493269306075</v>
      </c>
      <c r="AM132" s="706">
        <f>IF($C132="other",$C120*AJ132,(VLOOKUP($C132,'S3 - Screening Tool Metrics'!$C$3:$G$17,5,FALSE)/100)*AJ132)</f>
        <v>619.74956531382713</v>
      </c>
      <c r="AN132" s="709">
        <f t="shared" si="107"/>
        <v>3.7368077498572636</v>
      </c>
    </row>
    <row r="133" spans="2:40" x14ac:dyDescent="0.15">
      <c r="B133" s="700" t="s">
        <v>32</v>
      </c>
      <c r="C133" s="721" t="str">
        <f>$C122</f>
        <v>Low dose CT</v>
      </c>
      <c r="D133" s="552" t="s">
        <v>292</v>
      </c>
      <c r="E133" s="710">
        <f>VLOOKUP($B133&amp;"_"&amp;$D133,'App5 - CRUK Inci Rates'!C:H,6,FALSE)</f>
        <v>227.79891947987741</v>
      </c>
      <c r="F133" s="711">
        <f>VLOOKUP($B133&amp;"_"&amp;$D133,'App5 - CRUK Inci Rates'!C:H,3,FALSE)</f>
        <v>196.8176101532089</v>
      </c>
      <c r="G133" s="712">
        <f>VLOOKUP($B133&amp;"_"&amp;$D133,'App5 - CRUK Inci Rates'!C:J,8,FALSE)</f>
        <v>8881256.9603638444</v>
      </c>
      <c r="H133" s="713">
        <f>VLOOKUP($B133&amp;"_"&amp;$D133,'App5 - CRUK Inci Rates'!C:J,7,FALSE)</f>
        <v>4929786.333333333</v>
      </c>
      <c r="I133" s="713">
        <f>VLOOKUP($B133&amp;"_"&amp;$D133,'App5 - CRUK Inci Rates'!C:J,4,FALSE)</f>
        <v>5245973.666666667</v>
      </c>
      <c r="J133" s="709">
        <f>VLOOKUP($B133&amp;"_"&amp;$D133,'App5 - CRUK Inci Rates'!C:K,9,FALSE)</f>
        <v>21555</v>
      </c>
      <c r="K133" s="706">
        <f t="shared" si="69"/>
        <v>4440628.4801819222</v>
      </c>
      <c r="L133" s="706">
        <f>VLOOKUP("*"&amp;$B133&amp;"*",'S4 - Summ PRS Characteristics'!$C$21:$Q$28,11,FALSE)*$J133</f>
        <v>15801.371014704209</v>
      </c>
      <c r="M133" s="706">
        <f t="shared" si="70"/>
        <v>5753.6289852957907</v>
      </c>
      <c r="N133" s="706">
        <f>IF($C133="other",(1-$C$7)*L133,(1-(VLOOKUP($C133,'S3 - Screening Tool Metrics'!$C$3:$G$17,5,FALSE)/100))*L133)</f>
        <v>2433.4111362644485</v>
      </c>
      <c r="O133" s="706">
        <f>IF($C133="other",$C$7*L133,(VLOOKUP($C133,'S3 - Screening Tool Metrics'!$C$3:$G$17,5,FALSE)/100)*L133)</f>
        <v>13367.95987843976</v>
      </c>
      <c r="P133" s="706">
        <f t="shared" si="71"/>
        <v>62.017907114079151</v>
      </c>
      <c r="Q133" s="707">
        <f>$G133*Q$3</f>
        <v>1776251.3920727689</v>
      </c>
      <c r="R133" s="706">
        <f>VLOOKUP("*"&amp;$B133&amp;"*",'S4 - Summ PRS Characteristics'!$C$21:$Q$28,12,FALSE)*$J133</f>
        <v>8905.1067704997295</v>
      </c>
      <c r="S133" s="706">
        <f t="shared" si="108"/>
        <v>12649.893229500271</v>
      </c>
      <c r="T133" s="706">
        <f>IF($C133="other",(1-$C120)*R133,(1-(VLOOKUP($C133,'S3 - Screening Tool Metrics'!$C$3:$G$17,5,FALSE)/100))*R133)</f>
        <v>1371.3864426569585</v>
      </c>
      <c r="U133" s="706">
        <f>IF($C133="other",$C120*R133,(VLOOKUP($C133,'S3 - Screening Tool Metrics'!$C$3:$G$17,5,FALSE)/100)*R133)</f>
        <v>7533.7203278427705</v>
      </c>
      <c r="V133" s="708">
        <f t="shared" si="101"/>
        <v>34.951149746429003</v>
      </c>
      <c r="W133" s="707">
        <f t="shared" si="102"/>
        <v>888125.69603638444</v>
      </c>
      <c r="X133" s="706">
        <f>VLOOKUP("*"&amp;$B133&amp;"*",'S4 - Summ PRS Characteristics'!$C$21:$Q$28,13,FALSE)*$J133</f>
        <v>5492.4925503891218</v>
      </c>
      <c r="Y133" s="706">
        <f t="shared" si="109"/>
        <v>16062.507449610879</v>
      </c>
      <c r="Z133" s="706">
        <f>IF($C133="other",(1-$C120)*X133,(1-(VLOOKUP($C133,'S3 - Screening Tool Metrics'!$C$3:$G$17,5,FALSE)/100))*X133)</f>
        <v>845.84385275992486</v>
      </c>
      <c r="AA133" s="706">
        <f>IF($C133="other",$C120*X133,(VLOOKUP($C133,'S3 - Screening Tool Metrics'!$C$3:$G$17,5,FALSE)/100)*X133)</f>
        <v>4646.6486976291972</v>
      </c>
      <c r="AB133" s="708">
        <f t="shared" si="103"/>
        <v>21.557173266662943</v>
      </c>
      <c r="AC133" s="707">
        <f t="shared" si="104"/>
        <v>444062.84801819222</v>
      </c>
      <c r="AD133" s="706">
        <f>VLOOKUP("*"&amp;$B133&amp;"*",'S4 - Summ PRS Characteristics'!$C$21:$Q$28,14,FALSE)*$J133</f>
        <v>3302.6472714313541</v>
      </c>
      <c r="AE133" s="706">
        <f t="shared" si="111"/>
        <v>18252.352728568647</v>
      </c>
      <c r="AF133" s="706">
        <f>IF($C133="other",(1-$C120)*AD133,(1-(VLOOKUP($C133,'S3 - Screening Tool Metrics'!$C$3:$G$17,5,FALSE)/100))*AD133)</f>
        <v>508.60767980042863</v>
      </c>
      <c r="AG133" s="706">
        <f>IF($C133="other",$C120*AD133,(VLOOKUP($C133,'S3 - Screening Tool Metrics'!$C$3:$G$17,5,FALSE)/100)*AD133)</f>
        <v>2794.0395916309253</v>
      </c>
      <c r="AH133" s="708">
        <f t="shared" si="105"/>
        <v>12.962373424406984</v>
      </c>
      <c r="AI133" s="707">
        <f t="shared" si="106"/>
        <v>88812.569603638447</v>
      </c>
      <c r="AJ133" s="706">
        <f>VLOOKUP("*"&amp;$B133&amp;"*",'S4 - Summ PRS Characteristics'!$C$21:$Q$28,15,FALSE)*$J133</f>
        <v>952.09091073490913</v>
      </c>
      <c r="AK133" s="706">
        <f t="shared" si="110"/>
        <v>20602.909089265089</v>
      </c>
      <c r="AL133" s="706">
        <f>IF($C133="other",(1-$C120)*AJ133,(1-(VLOOKUP($C133,'S3 - Screening Tool Metrics'!$C$3:$G$17,5,FALSE)/100))*AJ133)</f>
        <v>146.62200025317603</v>
      </c>
      <c r="AM133" s="706">
        <f>IF($C133="other",$C120*AJ133,(VLOOKUP($C133,'S3 - Screening Tool Metrics'!$C$3:$G$17,5,FALSE)/100)*AJ133)</f>
        <v>805.46891048173313</v>
      </c>
      <c r="AN133" s="709">
        <f t="shared" si="107"/>
        <v>3.7368077498572636</v>
      </c>
    </row>
    <row r="134" spans="2:40" x14ac:dyDescent="0.15">
      <c r="B134" s="700" t="s">
        <v>32</v>
      </c>
      <c r="C134" s="721" t="str">
        <f>$C121</f>
        <v>Low dose CT</v>
      </c>
      <c r="D134" s="552" t="s">
        <v>204</v>
      </c>
      <c r="E134" s="710">
        <f>VLOOKUP($B134&amp;"_"&amp;$D134,'App5 - CRUK Inci Rates'!C:H,6,FALSE)</f>
        <v>127.78732220417946</v>
      </c>
      <c r="F134" s="711">
        <f>VLOOKUP($B134&amp;"_"&amp;$D134,'App5 - CRUK Inci Rates'!C:H,3,FALSE)</f>
        <v>111.08750254471916</v>
      </c>
      <c r="G134" s="712">
        <f>VLOOKUP($B134&amp;"_"&amp;$D134,'App5 - CRUK Inci Rates'!C:J,8,FALSE)</f>
        <v>29847254.666666668</v>
      </c>
      <c r="H134" s="713">
        <f>VLOOKUP($B134&amp;"_"&amp;$D134,'App5 - CRUK Inci Rates'!C:J,7,FALSE)</f>
        <v>14565607.666666668</v>
      </c>
      <c r="I134" s="713">
        <f>VLOOKUP($B134&amp;"_"&amp;$D134,'App5 - CRUK Inci Rates'!C:J,4,FALSE)</f>
        <v>15281647</v>
      </c>
      <c r="J134" s="709">
        <f>VLOOKUP($B134&amp;"_"&amp;$D134,'App5 - CRUK Inci Rates'!C:K,9,FALSE)</f>
        <v>35589</v>
      </c>
      <c r="K134" s="706">
        <f t="shared" si="69"/>
        <v>14923627.333333334</v>
      </c>
      <c r="L134" s="706">
        <f>VLOOKUP("*"&amp;$B134&amp;"*",'S4 - Summ PRS Characteristics'!$C$21:$Q$28,11,FALSE)*$J134</f>
        <v>26089.306102635495</v>
      </c>
      <c r="M134" s="706">
        <f t="shared" si="70"/>
        <v>9499.6938973645047</v>
      </c>
      <c r="N134" s="706">
        <f>IF($C134="other",(1-$C$7)*L134,(1-(VLOOKUP($C134,'S3 - Screening Tool Metrics'!$C$3:$G$17,5,FALSE)/100))*L134)</f>
        <v>4017.7531398058668</v>
      </c>
      <c r="O134" s="706">
        <f>IF($C134="other",$C$7*L134,(VLOOKUP($C134,'S3 - Screening Tool Metrics'!$C$3:$G$17,5,FALSE)/100)*L134)</f>
        <v>22071.552962829628</v>
      </c>
      <c r="P134" s="706">
        <f t="shared" si="71"/>
        <v>62.017907114079151</v>
      </c>
      <c r="Q134" s="707">
        <f t="shared" si="100"/>
        <v>5969450.9333333336</v>
      </c>
      <c r="R134" s="706">
        <f>VLOOKUP("*"&amp;$B134&amp;"*",'S4 - Summ PRS Characteristics'!$C$21:$Q$28,12,FALSE)*$J134</f>
        <v>14703.031540492457</v>
      </c>
      <c r="S134" s="706">
        <f t="shared" si="108"/>
        <v>20885.968459507545</v>
      </c>
      <c r="T134" s="706">
        <f>IF($C134="other",(1-$C120)*R134,(1-(VLOOKUP($C134,'S3 - Screening Tool Metrics'!$C$3:$G$17,5,FALSE)/100))*R134)</f>
        <v>2264.2668572358389</v>
      </c>
      <c r="U134" s="706">
        <f>IF($C134="other",$C120*R134,(VLOOKUP($C134,'S3 - Screening Tool Metrics'!$C$3:$G$17,5,FALSE)/100)*R134)</f>
        <v>12438.764683256619</v>
      </c>
      <c r="V134" s="708">
        <f t="shared" si="101"/>
        <v>34.951149746429003</v>
      </c>
      <c r="W134" s="707">
        <f t="shared" si="102"/>
        <v>2984725.4666666668</v>
      </c>
      <c r="X134" s="706">
        <f>VLOOKUP("*"&amp;$B134&amp;"*",'S4 - Summ PRS Characteristics'!$C$21:$Q$28,13,FALSE)*$J134</f>
        <v>9068.5371085965417</v>
      </c>
      <c r="Y134" s="706">
        <f t="shared" si="109"/>
        <v>26520.462891403458</v>
      </c>
      <c r="Z134" s="706">
        <f>IF($C134="other",(1-$C120)*X134,(1-(VLOOKUP($C134,'S3 - Screening Tool Metrics'!$C$3:$G$17,5,FALSE)/100))*X134)</f>
        <v>1396.5547147238676</v>
      </c>
      <c r="AA134" s="706">
        <f>IF($C134="other",$C120*X134,(VLOOKUP($C134,'S3 - Screening Tool Metrics'!$C$3:$G$17,5,FALSE)/100)*X134)</f>
        <v>7671.982393872674</v>
      </c>
      <c r="AB134" s="708">
        <f t="shared" si="103"/>
        <v>21.557173266662939</v>
      </c>
      <c r="AC134" s="707">
        <f t="shared" si="104"/>
        <v>1492362.7333333334</v>
      </c>
      <c r="AD134" s="706">
        <f>VLOOKUP("*"&amp;$B134&amp;"*",'S4 - Summ PRS Characteristics'!$C$21:$Q$28,14,FALSE)*$J134</f>
        <v>5452.9303522602859</v>
      </c>
      <c r="AE134" s="706">
        <f t="shared" si="111"/>
        <v>30136.069647739714</v>
      </c>
      <c r="AF134" s="706">
        <f>IF($C134="other",(1-$C120)*AD134,(1-(VLOOKUP($C134,'S3 - Screening Tool Metrics'!$C$3:$G$17,5,FALSE)/100))*AD134)</f>
        <v>839.7512742480842</v>
      </c>
      <c r="AG134" s="706">
        <f>IF($C134="other",$C120*AD134,(VLOOKUP($C134,'S3 - Screening Tool Metrics'!$C$3:$G$17,5,FALSE)/100)*AD134)</f>
        <v>4613.1790780122019</v>
      </c>
      <c r="AH134" s="708">
        <f t="shared" si="105"/>
        <v>12.962373424406984</v>
      </c>
      <c r="AI134" s="707">
        <f t="shared" si="106"/>
        <v>298472.54666666669</v>
      </c>
      <c r="AJ134" s="706">
        <f>VLOOKUP("*"&amp;$B134&amp;"*",'S4 - Summ PRS Characteristics'!$C$21:$Q$28,15,FALSE)*$J134</f>
        <v>1571.9769622892452</v>
      </c>
      <c r="AK134" s="706">
        <f t="shared" si="110"/>
        <v>34017.023037710758</v>
      </c>
      <c r="AL134" s="706">
        <f>IF($C134="other",(1-$C120)*AJ134,(1-(VLOOKUP($C134,'S3 - Screening Tool Metrics'!$C$3:$G$17,5,FALSE)/100))*AJ134)</f>
        <v>242.08445219254381</v>
      </c>
      <c r="AM134" s="706">
        <f>IF($C134="other",$C120*AJ134,(VLOOKUP($C134,'S3 - Screening Tool Metrics'!$C$3:$G$17,5,FALSE)/100)*AJ134)</f>
        <v>1329.8925100967015</v>
      </c>
      <c r="AN134" s="709">
        <f t="shared" si="107"/>
        <v>3.7368077498572636</v>
      </c>
    </row>
    <row r="135" spans="2:40" ht="14" thickBot="1" x14ac:dyDescent="0.2">
      <c r="B135" s="700" t="s">
        <v>32</v>
      </c>
      <c r="C135" s="721" t="str">
        <f>$C122</f>
        <v>Low dose CT</v>
      </c>
      <c r="D135" s="552" t="s">
        <v>205</v>
      </c>
      <c r="E135" s="710">
        <f>VLOOKUP($B135&amp;"_"&amp;$D135,'App5 - CRUK Inci Rates'!C:H,6,FALSE)</f>
        <v>90.6</v>
      </c>
      <c r="F135" s="711">
        <f>VLOOKUP($B135&amp;"_"&amp;$D135,'App5 - CRUK Inci Rates'!C:H,3,FALSE)</f>
        <v>70.099999999999994</v>
      </c>
      <c r="G135" s="712">
        <f>VLOOKUP($B135&amp;"_"&amp;$D135,'App5 - CRUK Inci Rates'!C:J,8,FALSE)</f>
        <v>66041277.666666664</v>
      </c>
      <c r="H135" s="713">
        <f>VLOOKUP($B135&amp;"_"&amp;$D135,'App5 - CRUK Inci Rates'!C:J,7,FALSE)</f>
        <v>32583225.666666668</v>
      </c>
      <c r="I135" s="713">
        <f>VLOOKUP($B135&amp;"_"&amp;$D135,'App5 - CRUK Inci Rates'!C:J,4,FALSE)</f>
        <v>33458051.999999996</v>
      </c>
      <c r="J135" s="709">
        <f>VLOOKUP($B135&amp;"_"&amp;$D135,'App5 - CRUK Inci Rates'!C:K,9,FALSE)</f>
        <v>48549</v>
      </c>
      <c r="K135" s="716"/>
      <c r="L135" s="716"/>
      <c r="M135" s="716"/>
      <c r="N135" s="716"/>
      <c r="O135" s="716"/>
      <c r="P135" s="716"/>
      <c r="Q135" s="715"/>
      <c r="R135" s="716"/>
      <c r="S135" s="716"/>
      <c r="T135" s="716"/>
      <c r="U135" s="716"/>
      <c r="V135" s="717"/>
      <c r="W135" s="715"/>
      <c r="X135" s="716"/>
      <c r="Y135" s="716"/>
      <c r="Z135" s="716"/>
      <c r="AA135" s="716"/>
      <c r="AB135" s="717"/>
      <c r="AC135" s="716"/>
      <c r="AD135" s="716"/>
      <c r="AE135" s="716"/>
      <c r="AF135" s="716"/>
      <c r="AG135" s="716"/>
      <c r="AH135" s="717"/>
      <c r="AI135" s="715"/>
      <c r="AJ135" s="716"/>
      <c r="AK135" s="716"/>
      <c r="AL135" s="716"/>
      <c r="AM135" s="716"/>
      <c r="AN135" s="718"/>
    </row>
    <row r="136" spans="2:40" ht="21" customHeight="1" thickBot="1" x14ac:dyDescent="0.2">
      <c r="B136" s="686" t="s">
        <v>17</v>
      </c>
      <c r="C136" s="687"/>
      <c r="D136" s="688"/>
      <c r="E136" s="689"/>
      <c r="F136" s="690"/>
      <c r="G136" s="691"/>
      <c r="H136" s="692"/>
      <c r="I136" s="692"/>
      <c r="J136" s="693"/>
      <c r="K136" s="694"/>
      <c r="L136" s="694"/>
      <c r="M136" s="694"/>
      <c r="N136" s="694"/>
      <c r="O136" s="694"/>
      <c r="P136" s="694"/>
      <c r="Q136" s="695"/>
      <c r="R136" s="696"/>
      <c r="S136" s="696"/>
      <c r="T136" s="696"/>
      <c r="U136" s="696"/>
      <c r="V136" s="697"/>
      <c r="W136" s="695"/>
      <c r="X136" s="696"/>
      <c r="Y136" s="696"/>
      <c r="Z136" s="696"/>
      <c r="AA136" s="696"/>
      <c r="AB136" s="697"/>
      <c r="AC136" s="695"/>
      <c r="AD136" s="696"/>
      <c r="AE136" s="696"/>
      <c r="AF136" s="696"/>
      <c r="AG136" s="696"/>
      <c r="AH136" s="697"/>
      <c r="AI136" s="695"/>
      <c r="AJ136" s="696"/>
      <c r="AK136" s="696"/>
      <c r="AL136" s="696"/>
      <c r="AM136" s="696"/>
      <c r="AN136" s="699"/>
    </row>
    <row r="137" spans="2:40" x14ac:dyDescent="0.15">
      <c r="B137" s="728" t="s">
        <v>17</v>
      </c>
      <c r="C137" s="742" t="s">
        <v>174</v>
      </c>
      <c r="D137" s="593" t="s">
        <v>192</v>
      </c>
      <c r="E137" s="701">
        <f>VLOOKUP($B137&amp;"_"&amp;$D137,'App5 - CRUK Inci Rates'!C:H,6,FALSE)</f>
        <v>12.3</v>
      </c>
      <c r="F137" s="702">
        <f>VLOOKUP($B137&amp;"_"&amp;$D137,'App5 - CRUK Inci Rates'!C:H,3,FALSE)</f>
        <v>0</v>
      </c>
      <c r="G137" s="703">
        <f>VLOOKUP($B137&amp;"_"&amp;$D137,'App5 - CRUK Inci Rates'!C:J,8,FALSE)</f>
        <v>2021384.6666666667</v>
      </c>
      <c r="H137" s="704">
        <f>VLOOKUP($B137&amp;"_"&amp;$D137,'App5 - CRUK Inci Rates'!C:J,7,FALSE)</f>
        <v>2021384.6666666667</v>
      </c>
      <c r="I137" s="704">
        <f>VLOOKUP($B137&amp;"_"&amp;$D137,'App5 - CRUK Inci Rates'!C:J,4,FALSE)</f>
        <v>0</v>
      </c>
      <c r="J137" s="705">
        <f>VLOOKUP($B137&amp;"_"&amp;$D137,'App5 - CRUK Inci Rates'!C:K,9,FALSE)</f>
        <v>248</v>
      </c>
      <c r="K137" s="729">
        <f t="shared" si="69"/>
        <v>1010692.3333333334</v>
      </c>
      <c r="L137" s="729">
        <f>VLOOKUP("*"&amp;$B137&amp;"*",'S4 - Summ PRS Characteristics'!$C$21:$Q$28,11,FALSE)*$J137</f>
        <v>236.02451393163284</v>
      </c>
      <c r="M137" s="729">
        <f t="shared" si="70"/>
        <v>11.975486068367161</v>
      </c>
      <c r="N137" s="729">
        <f>IF($C137="other",(1-$C$7)*L137,(1-(VLOOKUP($C137,'S3 - Screening Tool Metrics'!$C$3:$G$17,5,FALSE)/100))*L137)</f>
        <v>77.888089597438821</v>
      </c>
      <c r="O137" s="729">
        <f>IF($C137="other",$C$7*L137,(VLOOKUP($C137,'S3 - Screening Tool Metrics'!$C$3:$G$17,5,FALSE)/100)*L137)</f>
        <v>158.136424334194</v>
      </c>
      <c r="P137" s="729">
        <f t="shared" si="71"/>
        <v>63.764687231529834</v>
      </c>
      <c r="Q137" s="730">
        <f t="shared" ref="Q137:Q151" si="112">$G137*Q$3</f>
        <v>404276.93333333335</v>
      </c>
      <c r="R137" s="729">
        <f>VLOOKUP("*"&amp;$B137&amp;"*",'S4 - Summ PRS Characteristics'!$C$21:$Q$28,12,FALSE)*$J137</f>
        <v>196.8895162852632</v>
      </c>
      <c r="S137" s="729">
        <f>$J137-R137</f>
        <v>51.110483714736802</v>
      </c>
      <c r="T137" s="729">
        <f>IF($C137="other",(1-$C136)*R137,(1-(VLOOKUP($C137,'S3 - Screening Tool Metrics'!$C$3:$G$17,5,FALSE)/100))*R137)</f>
        <v>64.973540374136846</v>
      </c>
      <c r="U137" s="729">
        <f>IF($C137="other",$C136*R137,(VLOOKUP($C137,'S3 - Screening Tool Metrics'!$C$3:$G$17,5,FALSE)/100)*R137)</f>
        <v>131.91597591112634</v>
      </c>
      <c r="V137" s="743">
        <f t="shared" ref="V137:V151" si="113">U137/J137*100</f>
        <v>53.191925770615455</v>
      </c>
      <c r="W137" s="730">
        <f t="shared" ref="W137:W151" si="114">$G137*W$3</f>
        <v>202138.46666666667</v>
      </c>
      <c r="X137" s="729">
        <f>VLOOKUP("*"&amp;$B137&amp;"*",'S4 - Summ PRS Characteristics'!$C$21:$Q$28,13,FALSE)*$J137</f>
        <v>160.72279786465367</v>
      </c>
      <c r="Y137" s="729">
        <f>$J137-X137</f>
        <v>87.277202135346329</v>
      </c>
      <c r="Z137" s="729">
        <f>IF($C137="other",(1-$C136)*X137,(1-(VLOOKUP($C137,'S3 - Screening Tool Metrics'!$C$3:$G$17,5,FALSE)/100))*X137)</f>
        <v>53.038523295335708</v>
      </c>
      <c r="AA137" s="729">
        <f>IF($C137="other",$C136*X137,(VLOOKUP($C137,'S3 - Screening Tool Metrics'!$C$3:$G$17,5,FALSE)/100)*X137)</f>
        <v>107.68427456931796</v>
      </c>
      <c r="AB137" s="743">
        <f t="shared" ref="AB137:AB151" si="115">$AA137/$J137*100</f>
        <v>43.42107845537015</v>
      </c>
      <c r="AC137" s="730">
        <f t="shared" ref="AC137:AC151" si="116">$G137*AC$3</f>
        <v>101069.23333333334</v>
      </c>
      <c r="AD137" s="729">
        <f>VLOOKUP("*"&amp;$B137&amp;"*",'S4 - Summ PRS Characteristics'!$C$21:$Q$28,14,FALSE)*$J137</f>
        <v>125.66490711800846</v>
      </c>
      <c r="AE137" s="729">
        <f>$J137-AD137</f>
        <v>122.33509288199154</v>
      </c>
      <c r="AF137" s="729">
        <f>IF($C137="other",(1-$C136)*AD137,(1-(VLOOKUP($C137,'S3 - Screening Tool Metrics'!$C$3:$G$17,5,FALSE)/100))*AD137)</f>
        <v>41.469419348942786</v>
      </c>
      <c r="AG137" s="729">
        <f>IF($C137="other",$C136*AD137,(VLOOKUP($C137,'S3 - Screening Tool Metrics'!$C$3:$G$17,5,FALSE)/100)*AD137)</f>
        <v>84.195487769065679</v>
      </c>
      <c r="AH137" s="743">
        <f t="shared" ref="AH137:AH151" si="117">$AG137/$J137*100</f>
        <v>33.94979345526842</v>
      </c>
      <c r="AI137" s="730">
        <f t="shared" ref="AI137:AI151" si="118">$G137*AI$3</f>
        <v>20213.846666666668</v>
      </c>
      <c r="AJ137" s="729">
        <f>VLOOKUP("*"&amp;$B137&amp;"*",'S4 - Summ PRS Characteristics'!$C$21:$Q$28,15,FALSE)*$J137</f>
        <v>62.776784355799855</v>
      </c>
      <c r="AK137" s="729">
        <f>$J137-AJ137</f>
        <v>185.22321564420014</v>
      </c>
      <c r="AL137" s="729">
        <f>IF($C137="other",(1-$C136)*AJ137,(1-(VLOOKUP($C137,'S3 - Screening Tool Metrics'!$C$3:$G$17,5,FALSE)/100))*AJ137)</f>
        <v>20.71633883741395</v>
      </c>
      <c r="AM137" s="729">
        <f>IF($C137="other",$C136*AJ137,(VLOOKUP($C137,'S3 - Screening Tool Metrics'!$C$3:$G$17,5,FALSE)/100)*AJ137)</f>
        <v>42.060445518385905</v>
      </c>
      <c r="AN137" s="705">
        <f t="shared" ref="AN137:AN151" si="119">$AM137/$J137*100</f>
        <v>16.959857063865282</v>
      </c>
    </row>
    <row r="138" spans="2:40" x14ac:dyDescent="0.15">
      <c r="B138" s="700" t="s">
        <v>17</v>
      </c>
      <c r="C138" s="721" t="str">
        <f>$C137</f>
        <v>Semen assay</v>
      </c>
      <c r="D138" s="552" t="s">
        <v>193</v>
      </c>
      <c r="E138" s="710">
        <f>VLOOKUP($B138&amp;"_"&amp;$D138,'App5 - CRUK Inci Rates'!C:H,6,FALSE)</f>
        <v>9.4</v>
      </c>
      <c r="F138" s="711">
        <f>VLOOKUP($B138&amp;"_"&amp;$D138,'App5 - CRUK Inci Rates'!C:H,3,FALSE)</f>
        <v>0</v>
      </c>
      <c r="G138" s="712">
        <f>VLOOKUP($B138&amp;"_"&amp;$D138,'App5 - CRUK Inci Rates'!C:J,8,FALSE)</f>
        <v>2251680</v>
      </c>
      <c r="H138" s="713">
        <f>VLOOKUP($B138&amp;"_"&amp;$D138,'App5 - CRUK Inci Rates'!C:J,7,FALSE)</f>
        <v>2251680</v>
      </c>
      <c r="I138" s="713">
        <f>VLOOKUP($B138&amp;"_"&amp;$D138,'App5 - CRUK Inci Rates'!C:J,4,FALSE)</f>
        <v>0</v>
      </c>
      <c r="J138" s="709">
        <f>VLOOKUP($B138&amp;"_"&amp;$D138,'App5 - CRUK Inci Rates'!C:K,9,FALSE)</f>
        <v>211</v>
      </c>
      <c r="K138" s="706">
        <f t="shared" ref="K138:K151" si="120">$G138*$K$3</f>
        <v>1125840</v>
      </c>
      <c r="L138" s="706">
        <f>VLOOKUP("*"&amp;$B138&amp;"*",'S4 - Summ PRS Characteristics'!$C$21:$Q$28,11,FALSE)*$J138</f>
        <v>200.81117919183276</v>
      </c>
      <c r="M138" s="706">
        <f t="shared" ref="M138:M151" si="121">$J138-$L138</f>
        <v>10.188820808167236</v>
      </c>
      <c r="N138" s="706">
        <f>IF($C138="other",(1-$C$7)*L138,(1-(VLOOKUP($C138,'S3 - Screening Tool Metrics'!$C$3:$G$17,5,FALSE)/100))*L138)</f>
        <v>66.267689133304799</v>
      </c>
      <c r="O138" s="706">
        <f>IF($C138="other",$C$7*L138,(VLOOKUP($C138,'S3 - Screening Tool Metrics'!$C$3:$G$17,5,FALSE)/100)*L138)</f>
        <v>134.54349005852796</v>
      </c>
      <c r="P138" s="706">
        <f t="shared" ref="P138:P151" si="122">$O138/$J138*100</f>
        <v>63.764687231529834</v>
      </c>
      <c r="Q138" s="707">
        <f t="shared" si="112"/>
        <v>450336</v>
      </c>
      <c r="R138" s="706">
        <f>VLOOKUP("*"&amp;$B138&amp;"*",'S4 - Summ PRS Characteristics'!$C$21:$Q$28,12,FALSE)*$J138</f>
        <v>167.51487071044571</v>
      </c>
      <c r="S138" s="706">
        <f t="shared" ref="S138:S151" si="123">$J138-R138</f>
        <v>43.485129289554294</v>
      </c>
      <c r="T138" s="706">
        <f>IF($C138="other",(1-$C136)*R138,(1-(VLOOKUP($C138,'S3 - Screening Tool Metrics'!$C$3:$G$17,5,FALSE)/100))*R138)</f>
        <v>55.279907334447074</v>
      </c>
      <c r="U138" s="706">
        <f>IF($C138="other",$C136*R138,(VLOOKUP($C138,'S3 - Screening Tool Metrics'!$C$3:$G$17,5,FALSE)/100)*R138)</f>
        <v>112.23496337599863</v>
      </c>
      <c r="V138" s="708">
        <f t="shared" si="113"/>
        <v>53.19192577061547</v>
      </c>
      <c r="W138" s="707">
        <f t="shared" si="114"/>
        <v>225168</v>
      </c>
      <c r="X138" s="706">
        <f>VLOOKUP("*"&amp;$B138&amp;"*",'S4 - Summ PRS Characteristics'!$C$21:$Q$28,13,FALSE)*$J138</f>
        <v>136.74399334452391</v>
      </c>
      <c r="Y138" s="706">
        <f t="shared" ref="Y138:Y151" si="124">$J138-X138</f>
        <v>74.256006655476085</v>
      </c>
      <c r="Z138" s="706">
        <f>IF($C138="other",(1-$C136)*X138,(1-(VLOOKUP($C138,'S3 - Screening Tool Metrics'!$C$3:$G$17,5,FALSE)/100))*X138)</f>
        <v>45.125517803692887</v>
      </c>
      <c r="AA138" s="706">
        <f>IF($C138="other",$C136*X138,(VLOOKUP($C138,'S3 - Screening Tool Metrics'!$C$3:$G$17,5,FALSE)/100)*X138)</f>
        <v>91.618475540831028</v>
      </c>
      <c r="AB138" s="708">
        <f t="shared" si="115"/>
        <v>43.421078455370157</v>
      </c>
      <c r="AC138" s="707">
        <f t="shared" si="116"/>
        <v>112584</v>
      </c>
      <c r="AD138" s="706">
        <f>VLOOKUP("*"&amp;$B138&amp;"*",'S4 - Summ PRS Characteristics'!$C$21:$Q$28,14,FALSE)*$J138</f>
        <v>106.91651371733784</v>
      </c>
      <c r="AE138" s="706">
        <f>$J138-AD138</f>
        <v>104.08348628266216</v>
      </c>
      <c r="AF138" s="706">
        <f>IF($C138="other",(1-$C136)*AD138,(1-(VLOOKUP($C138,'S3 - Screening Tool Metrics'!$C$3:$G$17,5,FALSE)/100))*AD138)</f>
        <v>35.282449526721479</v>
      </c>
      <c r="AG138" s="706">
        <f>IF($C138="other",$C136*AD138,(VLOOKUP($C138,'S3 - Screening Tool Metrics'!$C$3:$G$17,5,FALSE)/100)*AD138)</f>
        <v>71.634064190616357</v>
      </c>
      <c r="AH138" s="708">
        <f t="shared" si="117"/>
        <v>33.94979345526842</v>
      </c>
      <c r="AI138" s="707">
        <f t="shared" si="118"/>
        <v>22516.799999999999</v>
      </c>
      <c r="AJ138" s="706">
        <f>VLOOKUP("*"&amp;$B138&amp;"*",'S4 - Summ PRS Characteristics'!$C$21:$Q$28,15,FALSE)*$J138</f>
        <v>53.410893141426492</v>
      </c>
      <c r="AK138" s="706">
        <f t="shared" ref="AK138:AK151" si="125">$J138-AJ138</f>
        <v>157.5891068585735</v>
      </c>
      <c r="AL138" s="706">
        <f>IF($C138="other",(1-$C136)*AJ138,(1-(VLOOKUP($C138,'S3 - Screening Tool Metrics'!$C$3:$G$17,5,FALSE)/100))*AJ138)</f>
        <v>17.625594736670742</v>
      </c>
      <c r="AM138" s="706">
        <f>IF($C138="other",$C136*AJ138,(VLOOKUP($C138,'S3 - Screening Tool Metrics'!$C$3:$G$17,5,FALSE)/100)*AJ138)</f>
        <v>35.78529840475575</v>
      </c>
      <c r="AN138" s="709">
        <f t="shared" si="119"/>
        <v>16.959857063865282</v>
      </c>
    </row>
    <row r="139" spans="2:40" x14ac:dyDescent="0.15">
      <c r="B139" s="700" t="s">
        <v>17</v>
      </c>
      <c r="C139" s="721" t="str">
        <f>$C137</f>
        <v>Semen assay</v>
      </c>
      <c r="D139" s="552" t="s">
        <v>194</v>
      </c>
      <c r="E139" s="710">
        <f>VLOOKUP($B139&amp;"_"&amp;$D139,'App5 - CRUK Inci Rates'!C:H,6,FALSE)</f>
        <v>7</v>
      </c>
      <c r="F139" s="711">
        <f>VLOOKUP($B139&amp;"_"&amp;$D139,'App5 - CRUK Inci Rates'!C:H,3,FALSE)</f>
        <v>0</v>
      </c>
      <c r="G139" s="712">
        <f>VLOOKUP($B139&amp;"_"&amp;$D139,'App5 - CRUK Inci Rates'!C:J,8,FALSE)</f>
        <v>2293472.6666666665</v>
      </c>
      <c r="H139" s="713">
        <f>VLOOKUP($B139&amp;"_"&amp;$D139,'App5 - CRUK Inci Rates'!C:J,7,FALSE)</f>
        <v>2293472.6666666665</v>
      </c>
      <c r="I139" s="713">
        <f>VLOOKUP($B139&amp;"_"&amp;$D139,'App5 - CRUK Inci Rates'!C:J,4,FALSE)</f>
        <v>0</v>
      </c>
      <c r="J139" s="709">
        <f>VLOOKUP($B139&amp;"_"&amp;$D139,'App5 - CRUK Inci Rates'!C:K,9,FALSE)</f>
        <v>160</v>
      </c>
      <c r="K139" s="706">
        <f t="shared" si="120"/>
        <v>1146736.3333333333</v>
      </c>
      <c r="L139" s="706">
        <f>VLOOKUP("*"&amp;$B139&amp;"*",'S4 - Summ PRS Characteristics'!$C$21:$Q$28,11,FALSE)*$J139</f>
        <v>152.27387995589214</v>
      </c>
      <c r="M139" s="706">
        <f t="shared" si="121"/>
        <v>7.7261200441078586</v>
      </c>
      <c r="N139" s="706">
        <f>IF($C139="other",(1-$C$7)*L139,(1-(VLOOKUP($C139,'S3 - Screening Tool Metrics'!$C$3:$G$17,5,FALSE)/100))*L139)</f>
        <v>50.250380385444402</v>
      </c>
      <c r="O139" s="706">
        <f>IF($C139="other",$C$7*L139,(VLOOKUP($C139,'S3 - Screening Tool Metrics'!$C$3:$G$17,5,FALSE)/100)*L139)</f>
        <v>102.02349957044774</v>
      </c>
      <c r="P139" s="706">
        <f t="shared" si="122"/>
        <v>63.764687231529834</v>
      </c>
      <c r="Q139" s="707">
        <f t="shared" si="112"/>
        <v>458694.53333333333</v>
      </c>
      <c r="R139" s="706">
        <f>VLOOKUP("*"&amp;$B139&amp;"*",'S4 - Summ PRS Characteristics'!$C$21:$Q$28,12,FALSE)*$J139</f>
        <v>127.02549437758917</v>
      </c>
      <c r="S139" s="706">
        <f t="shared" si="123"/>
        <v>32.974505622410831</v>
      </c>
      <c r="T139" s="706">
        <f>IF($C139="other",(1-$C136)*R139,(1-(VLOOKUP($C139,'S3 - Screening Tool Metrics'!$C$3:$G$17,5,FALSE)/100))*R139)</f>
        <v>41.918413144604422</v>
      </c>
      <c r="U139" s="706">
        <f>IF($C139="other",$C136*R139,(VLOOKUP($C139,'S3 - Screening Tool Metrics'!$C$3:$G$17,5,FALSE)/100)*R139)</f>
        <v>85.107081232984754</v>
      </c>
      <c r="V139" s="708">
        <f t="shared" si="113"/>
        <v>53.19192577061547</v>
      </c>
      <c r="W139" s="707">
        <f t="shared" si="114"/>
        <v>229347.26666666666</v>
      </c>
      <c r="X139" s="706">
        <f>VLOOKUP("*"&amp;$B139&amp;"*",'S4 - Summ PRS Characteristics'!$C$21:$Q$28,13,FALSE)*$J139</f>
        <v>103.69212765461528</v>
      </c>
      <c r="Y139" s="706">
        <f t="shared" si="124"/>
        <v>56.307872345384723</v>
      </c>
      <c r="Z139" s="706">
        <f>IF($C139="other",(1-$C136)*X139,(1-(VLOOKUP($C139,'S3 - Screening Tool Metrics'!$C$3:$G$17,5,FALSE)/100))*X139)</f>
        <v>34.218402126023037</v>
      </c>
      <c r="AA139" s="706">
        <f>IF($C139="other",$C136*X139,(VLOOKUP($C139,'S3 - Screening Tool Metrics'!$C$3:$G$17,5,FALSE)/100)*X139)</f>
        <v>69.47372552859224</v>
      </c>
      <c r="AB139" s="708">
        <f t="shared" si="115"/>
        <v>43.42107845537015</v>
      </c>
      <c r="AC139" s="707">
        <f t="shared" si="116"/>
        <v>114673.63333333333</v>
      </c>
      <c r="AD139" s="706">
        <f>VLOOKUP("*"&amp;$B139&amp;"*",'S4 - Summ PRS Characteristics'!$C$21:$Q$28,14,FALSE)*$J139</f>
        <v>81.074133624521579</v>
      </c>
      <c r="AE139" s="706">
        <f t="shared" ref="AE139:AE151" si="126">$J139-AD139</f>
        <v>78.925866375478421</v>
      </c>
      <c r="AF139" s="706">
        <f>IF($C139="other",(1-$C136)*AD139,(1-(VLOOKUP($C139,'S3 - Screening Tool Metrics'!$C$3:$G$17,5,FALSE)/100))*AD139)</f>
        <v>26.754464096092118</v>
      </c>
      <c r="AG139" s="706">
        <f>IF($C139="other",$C136*AD139,(VLOOKUP($C139,'S3 - Screening Tool Metrics'!$C$3:$G$17,5,FALSE)/100)*AD139)</f>
        <v>54.319669528429458</v>
      </c>
      <c r="AH139" s="708">
        <f t="shared" si="117"/>
        <v>33.949793455268413</v>
      </c>
      <c r="AI139" s="707">
        <f t="shared" si="118"/>
        <v>22934.726666666666</v>
      </c>
      <c r="AJ139" s="706">
        <f>VLOOKUP("*"&amp;$B139&amp;"*",'S4 - Summ PRS Characteristics'!$C$21:$Q$28,15,FALSE)*$J139</f>
        <v>40.501151197290227</v>
      </c>
      <c r="AK139" s="706">
        <f t="shared" si="125"/>
        <v>119.49884880270977</v>
      </c>
      <c r="AL139" s="706">
        <f>IF($C139="other",(1-$C136)*AJ139,(1-(VLOOKUP($C139,'S3 - Screening Tool Metrics'!$C$3:$G$17,5,FALSE)/100))*AJ139)</f>
        <v>13.365379895105773</v>
      </c>
      <c r="AM139" s="706">
        <f>IF($C139="other",$C136*AJ139,(VLOOKUP($C139,'S3 - Screening Tool Metrics'!$C$3:$G$17,5,FALSE)/100)*AJ139)</f>
        <v>27.135771302184455</v>
      </c>
      <c r="AN139" s="709">
        <f t="shared" si="119"/>
        <v>16.959857063865286</v>
      </c>
    </row>
    <row r="140" spans="2:40" x14ac:dyDescent="0.15">
      <c r="B140" s="700" t="s">
        <v>17</v>
      </c>
      <c r="C140" s="721" t="str">
        <f>$C137</f>
        <v>Semen assay</v>
      </c>
      <c r="D140" s="552" t="s">
        <v>195</v>
      </c>
      <c r="E140" s="710">
        <f>VLOOKUP($B140&amp;"_"&amp;$D140,'App5 - CRUK Inci Rates'!C:H,6,FALSE)</f>
        <v>5.2</v>
      </c>
      <c r="F140" s="711">
        <f>VLOOKUP($B140&amp;"_"&amp;$D140,'App5 - CRUK Inci Rates'!C:H,3,FALSE)</f>
        <v>0</v>
      </c>
      <c r="G140" s="712">
        <f>VLOOKUP($B140&amp;"_"&amp;$D140,'App5 - CRUK Inci Rates'!C:J,8,FALSE)</f>
        <v>2061918.6666666667</v>
      </c>
      <c r="H140" s="713">
        <f>VLOOKUP($B140&amp;"_"&amp;$D140,'App5 - CRUK Inci Rates'!C:J,7,FALSE)</f>
        <v>2061918.6666666667</v>
      </c>
      <c r="I140" s="713">
        <f>VLOOKUP($B140&amp;"_"&amp;$D140,'App5 - CRUK Inci Rates'!C:J,4,FALSE)</f>
        <v>0</v>
      </c>
      <c r="J140" s="709">
        <f>VLOOKUP($B140&amp;"_"&amp;$D140,'App5 - CRUK Inci Rates'!C:K,9,FALSE)</f>
        <v>108</v>
      </c>
      <c r="K140" s="706">
        <f t="shared" si="120"/>
        <v>1030959.3333333334</v>
      </c>
      <c r="L140" s="706">
        <f>VLOOKUP("*"&amp;$B140&amp;"*",'S4 - Summ PRS Characteristics'!$C$21:$Q$28,11,FALSE)*$J140</f>
        <v>102.78486897022719</v>
      </c>
      <c r="M140" s="706">
        <f t="shared" si="121"/>
        <v>5.215131029772806</v>
      </c>
      <c r="N140" s="706">
        <f>IF($C140="other",(1-$C$7)*L140,(1-(VLOOKUP($C140,'S3 - Screening Tool Metrics'!$C$3:$G$17,5,FALSE)/100))*L140)</f>
        <v>33.919006760174973</v>
      </c>
      <c r="O140" s="706">
        <f>IF($C140="other",$C$7*L140,(VLOOKUP($C140,'S3 - Screening Tool Metrics'!$C$3:$G$17,5,FALSE)/100)*L140)</f>
        <v>68.865862210052228</v>
      </c>
      <c r="P140" s="706">
        <f t="shared" si="122"/>
        <v>63.764687231529834</v>
      </c>
      <c r="Q140" s="707">
        <f t="shared" si="112"/>
        <v>412383.7333333334</v>
      </c>
      <c r="R140" s="706">
        <f>VLOOKUP("*"&amp;$B140&amp;"*",'S4 - Summ PRS Characteristics'!$C$21:$Q$28,12,FALSE)*$J140</f>
        <v>85.742208704872681</v>
      </c>
      <c r="S140" s="706">
        <f t="shared" si="123"/>
        <v>22.257791295127319</v>
      </c>
      <c r="T140" s="706">
        <f>IF($C140="other",(1-$C136)*R140,(1-(VLOOKUP($C140,'S3 - Screening Tool Metrics'!$C$3:$G$17,5,FALSE)/100))*R140)</f>
        <v>28.294928872607983</v>
      </c>
      <c r="U140" s="706">
        <f>IF($C140="other",$C136*R140,(VLOOKUP($C140,'S3 - Screening Tool Metrics'!$C$3:$G$17,5,FALSE)/100)*R140)</f>
        <v>57.447279832264698</v>
      </c>
      <c r="V140" s="708">
        <f t="shared" si="113"/>
        <v>53.191925770615455</v>
      </c>
      <c r="W140" s="707">
        <f t="shared" si="114"/>
        <v>206191.8666666667</v>
      </c>
      <c r="X140" s="706">
        <f>VLOOKUP("*"&amp;$B140&amp;"*",'S4 - Summ PRS Characteristics'!$C$21:$Q$28,13,FALSE)*$J140</f>
        <v>69.992186166865309</v>
      </c>
      <c r="Y140" s="706">
        <f t="shared" si="124"/>
        <v>38.007813833134691</v>
      </c>
      <c r="Z140" s="706">
        <f>IF($C140="other",(1-$C136)*X140,(1-(VLOOKUP($C140,'S3 - Screening Tool Metrics'!$C$3:$G$17,5,FALSE)/100))*X140)</f>
        <v>23.097421435065549</v>
      </c>
      <c r="AA140" s="706">
        <f>IF($C140="other",$C136*X140,(VLOOKUP($C140,'S3 - Screening Tool Metrics'!$C$3:$G$17,5,FALSE)/100)*X140)</f>
        <v>46.894764731799761</v>
      </c>
      <c r="AB140" s="708">
        <f t="shared" si="115"/>
        <v>43.42107845537015</v>
      </c>
      <c r="AC140" s="707">
        <f t="shared" si="116"/>
        <v>103095.93333333335</v>
      </c>
      <c r="AD140" s="706">
        <f>VLOOKUP("*"&amp;$B140&amp;"*",'S4 - Summ PRS Characteristics'!$C$21:$Q$28,14,FALSE)*$J140</f>
        <v>54.725040196552065</v>
      </c>
      <c r="AE140" s="706">
        <f t="shared" si="126"/>
        <v>53.274959803447935</v>
      </c>
      <c r="AF140" s="706">
        <f>IF($C140="other",(1-$C136)*AD140,(1-(VLOOKUP($C140,'S3 - Screening Tool Metrics'!$C$3:$G$17,5,FALSE)/100))*AD140)</f>
        <v>18.059263264862178</v>
      </c>
      <c r="AG140" s="706">
        <f>IF($C140="other",$C136*AD140,(VLOOKUP($C140,'S3 - Screening Tool Metrics'!$C$3:$G$17,5,FALSE)/100)*AD140)</f>
        <v>36.665776931689884</v>
      </c>
      <c r="AH140" s="708">
        <f t="shared" si="117"/>
        <v>33.949793455268413</v>
      </c>
      <c r="AI140" s="707">
        <f t="shared" si="118"/>
        <v>20619.186666666668</v>
      </c>
      <c r="AJ140" s="706">
        <f>VLOOKUP("*"&amp;$B140&amp;"*",'S4 - Summ PRS Characteristics'!$C$21:$Q$28,15,FALSE)*$J140</f>
        <v>27.338277058170906</v>
      </c>
      <c r="AK140" s="706">
        <f t="shared" si="125"/>
        <v>80.661722941829098</v>
      </c>
      <c r="AL140" s="706">
        <f>IF($C140="other",(1-$C136)*AJ140,(1-(VLOOKUP($C140,'S3 - Screening Tool Metrics'!$C$3:$G$17,5,FALSE)/100))*AJ140)</f>
        <v>9.0216314291963986</v>
      </c>
      <c r="AM140" s="706">
        <f>IF($C140="other",$C136*AJ140,(VLOOKUP($C140,'S3 - Screening Tool Metrics'!$C$3:$G$17,5,FALSE)/100)*AJ140)</f>
        <v>18.316645628974509</v>
      </c>
      <c r="AN140" s="709">
        <f t="shared" si="119"/>
        <v>16.959857063865286</v>
      </c>
    </row>
    <row r="141" spans="2:40" x14ac:dyDescent="0.15">
      <c r="B141" s="700" t="s">
        <v>17</v>
      </c>
      <c r="C141" s="721" t="str">
        <f>$C137</f>
        <v>Semen assay</v>
      </c>
      <c r="D141" s="552" t="s">
        <v>196</v>
      </c>
      <c r="E141" s="710">
        <f>VLOOKUP($B141&amp;"_"&amp;$D141,'App5 - CRUK Inci Rates'!C:H,6,FALSE)</f>
        <v>3</v>
      </c>
      <c r="F141" s="711">
        <f>VLOOKUP($B141&amp;"_"&amp;$D141,'App5 - CRUK Inci Rates'!C:H,3,FALSE)</f>
        <v>0</v>
      </c>
      <c r="G141" s="712">
        <f>VLOOKUP($B141&amp;"_"&amp;$D141,'App5 - CRUK Inci Rates'!C:J,8,FALSE)</f>
        <v>1764828</v>
      </c>
      <c r="H141" s="713">
        <f>VLOOKUP($B141&amp;"_"&amp;$D141,'App5 - CRUK Inci Rates'!C:J,7,FALSE)</f>
        <v>1764828</v>
      </c>
      <c r="I141" s="713">
        <f>VLOOKUP($B141&amp;"_"&amp;$D141,'App5 - CRUK Inci Rates'!C:J,4,FALSE)</f>
        <v>0</v>
      </c>
      <c r="J141" s="709">
        <f>VLOOKUP($B141&amp;"_"&amp;$D141,'App5 - CRUK Inci Rates'!C:K,9,FALSE)</f>
        <v>52</v>
      </c>
      <c r="K141" s="706">
        <f t="shared" si="120"/>
        <v>882414</v>
      </c>
      <c r="L141" s="706">
        <f>VLOOKUP("*"&amp;$B141&amp;"*",'S4 - Summ PRS Characteristics'!$C$21:$Q$28,11,FALSE)*$J141</f>
        <v>49.489010985664947</v>
      </c>
      <c r="M141" s="706">
        <f t="shared" si="121"/>
        <v>2.5109890143350526</v>
      </c>
      <c r="N141" s="706">
        <f>IF($C141="other",(1-$C$7)*L141,(1-(VLOOKUP($C141,'S3 - Screening Tool Metrics'!$C$3:$G$17,5,FALSE)/100))*L141)</f>
        <v>16.331373625269432</v>
      </c>
      <c r="O141" s="706">
        <f>IF($C141="other",$C$7*L141,(VLOOKUP($C141,'S3 - Screening Tool Metrics'!$C$3:$G$17,5,FALSE)/100)*L141)</f>
        <v>33.157637360395519</v>
      </c>
      <c r="P141" s="706">
        <f t="shared" si="122"/>
        <v>63.764687231529848</v>
      </c>
      <c r="Q141" s="707">
        <f t="shared" si="112"/>
        <v>352965.60000000003</v>
      </c>
      <c r="R141" s="706">
        <f>VLOOKUP("*"&amp;$B141&amp;"*",'S4 - Summ PRS Characteristics'!$C$21:$Q$28,12,FALSE)*$J141</f>
        <v>41.283285672716481</v>
      </c>
      <c r="S141" s="706">
        <f t="shared" si="123"/>
        <v>10.716714327283519</v>
      </c>
      <c r="T141" s="706">
        <f>IF($C141="other",(1-$C136)*R141,(1-(VLOOKUP($C141,'S3 - Screening Tool Metrics'!$C$3:$G$17,5,FALSE)/100))*R141)</f>
        <v>13.623484271996437</v>
      </c>
      <c r="U141" s="706">
        <f>IF($C141="other",$C136*R141,(VLOOKUP($C141,'S3 - Screening Tool Metrics'!$C$3:$G$17,5,FALSE)/100)*R141)</f>
        <v>27.659801400720045</v>
      </c>
      <c r="V141" s="708">
        <f t="shared" si="113"/>
        <v>53.19192577061547</v>
      </c>
      <c r="W141" s="707">
        <f t="shared" si="114"/>
        <v>176482.80000000002</v>
      </c>
      <c r="X141" s="706">
        <f>VLOOKUP("*"&amp;$B141&amp;"*",'S4 - Summ PRS Characteristics'!$C$21:$Q$28,13,FALSE)*$J141</f>
        <v>33.699941487749967</v>
      </c>
      <c r="Y141" s="706">
        <f t="shared" si="124"/>
        <v>18.300058512250033</v>
      </c>
      <c r="Z141" s="706">
        <f>IF($C141="other",(1-$C136)*X141,(1-(VLOOKUP($C141,'S3 - Screening Tool Metrics'!$C$3:$G$17,5,FALSE)/100))*X141)</f>
        <v>11.120980690957488</v>
      </c>
      <c r="AA141" s="706">
        <f>IF($C141="other",$C136*X141,(VLOOKUP($C141,'S3 - Screening Tool Metrics'!$C$3:$G$17,5,FALSE)/100)*X141)</f>
        <v>22.578960796792479</v>
      </c>
      <c r="AB141" s="708">
        <f t="shared" si="115"/>
        <v>43.421078455370157</v>
      </c>
      <c r="AC141" s="707">
        <f t="shared" si="116"/>
        <v>88241.400000000009</v>
      </c>
      <c r="AD141" s="706">
        <f>VLOOKUP("*"&amp;$B141&amp;"*",'S4 - Summ PRS Characteristics'!$C$21:$Q$28,14,FALSE)*$J141</f>
        <v>26.349093427969514</v>
      </c>
      <c r="AE141" s="706">
        <f t="shared" si="126"/>
        <v>25.650906572030486</v>
      </c>
      <c r="AF141" s="706">
        <f>IF($C141="other",(1-$C136)*AD141,(1-(VLOOKUP($C141,'S3 - Screening Tool Metrics'!$C$3:$G$17,5,FALSE)/100))*AD141)</f>
        <v>8.695200831229938</v>
      </c>
      <c r="AG141" s="706">
        <f>IF($C141="other",$C136*AD141,(VLOOKUP($C141,'S3 - Screening Tool Metrics'!$C$3:$G$17,5,FALSE)/100)*AD141)</f>
        <v>17.653892596739574</v>
      </c>
      <c r="AH141" s="708">
        <f t="shared" si="117"/>
        <v>33.949793455268413</v>
      </c>
      <c r="AI141" s="707">
        <f t="shared" si="118"/>
        <v>17648.28</v>
      </c>
      <c r="AJ141" s="706">
        <f>VLOOKUP("*"&amp;$B141&amp;"*",'S4 - Summ PRS Characteristics'!$C$21:$Q$28,15,FALSE)*$J141</f>
        <v>13.162874139119324</v>
      </c>
      <c r="AK141" s="706">
        <f t="shared" si="125"/>
        <v>38.837125860880676</v>
      </c>
      <c r="AL141" s="706">
        <f>IF($C141="other",(1-$C136)*AJ141,(1-(VLOOKUP($C141,'S3 - Screening Tool Metrics'!$C$3:$G$17,5,FALSE)/100))*AJ141)</f>
        <v>4.3437484659093766</v>
      </c>
      <c r="AM141" s="706">
        <f>IF($C141="other",$C136*AJ141,(VLOOKUP($C141,'S3 - Screening Tool Metrics'!$C$3:$G$17,5,FALSE)/100)*AJ141)</f>
        <v>8.8191256732099479</v>
      </c>
      <c r="AN141" s="709">
        <f t="shared" si="119"/>
        <v>16.959857063865286</v>
      </c>
    </row>
    <row r="142" spans="2:40" x14ac:dyDescent="0.15">
      <c r="B142" s="700" t="s">
        <v>17</v>
      </c>
      <c r="C142" s="721" t="str">
        <f>$C137</f>
        <v>Semen assay</v>
      </c>
      <c r="D142" s="552" t="s">
        <v>197</v>
      </c>
      <c r="E142" s="710">
        <f>VLOOKUP($B142&amp;"_"&amp;$D142,'App5 - CRUK Inci Rates'!C:H,6,FALSE)</f>
        <v>2.4</v>
      </c>
      <c r="F142" s="711">
        <f>VLOOKUP($B142&amp;"_"&amp;$D142,'App5 - CRUK Inci Rates'!C:H,3,FALSE)</f>
        <v>0</v>
      </c>
      <c r="G142" s="712">
        <f>VLOOKUP($B142&amp;"_"&amp;$D142,'App5 - CRUK Inci Rates'!C:J,8,FALSE)</f>
        <v>1696993.3333333333</v>
      </c>
      <c r="H142" s="713">
        <f>VLOOKUP($B142&amp;"_"&amp;$D142,'App5 - CRUK Inci Rates'!C:J,7,FALSE)</f>
        <v>1696993.3333333333</v>
      </c>
      <c r="I142" s="713">
        <f>VLOOKUP($B142&amp;"_"&amp;$D142,'App5 - CRUK Inci Rates'!C:J,4,FALSE)</f>
        <v>0</v>
      </c>
      <c r="J142" s="709">
        <f>VLOOKUP($B142&amp;"_"&amp;$D142,'App5 - CRUK Inci Rates'!C:K,9,FALSE)</f>
        <v>41</v>
      </c>
      <c r="K142" s="706">
        <f t="shared" si="120"/>
        <v>848496.66666666663</v>
      </c>
      <c r="L142" s="706">
        <f>VLOOKUP("*"&amp;$B142&amp;"*",'S4 - Summ PRS Characteristics'!$C$21:$Q$28,11,FALSE)*$J142</f>
        <v>39.02018173869736</v>
      </c>
      <c r="M142" s="706">
        <f t="shared" si="121"/>
        <v>1.9798182613026398</v>
      </c>
      <c r="N142" s="706">
        <f>IF($C142="other",(1-$C$7)*L142,(1-(VLOOKUP($C142,'S3 - Screening Tool Metrics'!$C$3:$G$17,5,FALSE)/100))*L142)</f>
        <v>12.876659973770128</v>
      </c>
      <c r="O142" s="706">
        <f>IF($C142="other",$C$7*L142,(VLOOKUP($C142,'S3 - Screening Tool Metrics'!$C$3:$G$17,5,FALSE)/100)*L142)</f>
        <v>26.143521764927232</v>
      </c>
      <c r="P142" s="706">
        <f t="shared" si="122"/>
        <v>63.764687231529834</v>
      </c>
      <c r="Q142" s="707">
        <f t="shared" si="112"/>
        <v>339398.66666666669</v>
      </c>
      <c r="R142" s="706">
        <f>VLOOKUP("*"&amp;$B142&amp;"*",'S4 - Summ PRS Characteristics'!$C$21:$Q$28,12,FALSE)*$J142</f>
        <v>32.550282934257226</v>
      </c>
      <c r="S142" s="706">
        <f t="shared" si="123"/>
        <v>8.4497170657427745</v>
      </c>
      <c r="T142" s="706">
        <f>IF($C142="other",(1-$C136)*R142,(1-(VLOOKUP($C142,'S3 - Screening Tool Metrics'!$C$3:$G$17,5,FALSE)/100))*R142)</f>
        <v>10.741593368304883</v>
      </c>
      <c r="U142" s="706">
        <f>IF($C142="other",$C136*R142,(VLOOKUP($C142,'S3 - Screening Tool Metrics'!$C$3:$G$17,5,FALSE)/100)*R142)</f>
        <v>21.808689565952342</v>
      </c>
      <c r="V142" s="708">
        <f t="shared" si="113"/>
        <v>53.19192577061547</v>
      </c>
      <c r="W142" s="707">
        <f t="shared" si="114"/>
        <v>169699.33333333334</v>
      </c>
      <c r="X142" s="706">
        <f>VLOOKUP("*"&amp;$B142&amp;"*",'S4 - Summ PRS Characteristics'!$C$21:$Q$28,13,FALSE)*$J142</f>
        <v>26.571107711495166</v>
      </c>
      <c r="Y142" s="706">
        <f t="shared" si="124"/>
        <v>14.428892288504834</v>
      </c>
      <c r="Z142" s="706">
        <f>IF($C142="other",(1-$C136)*X142,(1-(VLOOKUP($C142,'S3 - Screening Tool Metrics'!$C$3:$G$17,5,FALSE)/100))*X142)</f>
        <v>8.7684655447934041</v>
      </c>
      <c r="AA142" s="706">
        <f>IF($C142="other",$C136*X142,(VLOOKUP($C142,'S3 - Screening Tool Metrics'!$C$3:$G$17,5,FALSE)/100)*X142)</f>
        <v>17.802642166701762</v>
      </c>
      <c r="AB142" s="708">
        <f t="shared" si="115"/>
        <v>43.421078455370157</v>
      </c>
      <c r="AC142" s="707">
        <f t="shared" si="116"/>
        <v>84849.666666666672</v>
      </c>
      <c r="AD142" s="706">
        <f>VLOOKUP("*"&amp;$B142&amp;"*",'S4 - Summ PRS Characteristics'!$C$21:$Q$28,14,FALSE)*$J142</f>
        <v>20.775246741283656</v>
      </c>
      <c r="AE142" s="706">
        <f t="shared" si="126"/>
        <v>20.224753258716344</v>
      </c>
      <c r="AF142" s="706">
        <f>IF($C142="other",(1-$C136)*AD142,(1-(VLOOKUP($C142,'S3 - Screening Tool Metrics'!$C$3:$G$17,5,FALSE)/100))*AD142)</f>
        <v>6.8558314246236058</v>
      </c>
      <c r="AG142" s="706">
        <f>IF($C142="other",$C136*AD142,(VLOOKUP($C142,'S3 - Screening Tool Metrics'!$C$3:$G$17,5,FALSE)/100)*AD142)</f>
        <v>13.91941531666005</v>
      </c>
      <c r="AH142" s="708">
        <f t="shared" si="117"/>
        <v>33.949793455268413</v>
      </c>
      <c r="AI142" s="707">
        <f t="shared" si="118"/>
        <v>16969.933333333334</v>
      </c>
      <c r="AJ142" s="706">
        <f>VLOOKUP("*"&amp;$B142&amp;"*",'S4 - Summ PRS Characteristics'!$C$21:$Q$28,15,FALSE)*$J142</f>
        <v>10.378419994305622</v>
      </c>
      <c r="AK142" s="706">
        <f t="shared" si="125"/>
        <v>30.621580005694376</v>
      </c>
      <c r="AL142" s="706">
        <f>IF($C142="other",(1-$C136)*AJ142,(1-(VLOOKUP($C142,'S3 - Screening Tool Metrics'!$C$3:$G$17,5,FALSE)/100))*AJ142)</f>
        <v>3.4248785981208547</v>
      </c>
      <c r="AM142" s="706">
        <f>IF($C142="other",$C136*AJ142,(VLOOKUP($C142,'S3 - Screening Tool Metrics'!$C$3:$G$17,5,FALSE)/100)*AJ142)</f>
        <v>6.9535413961847672</v>
      </c>
      <c r="AN142" s="709">
        <f t="shared" si="119"/>
        <v>16.959857063865286</v>
      </c>
    </row>
    <row r="143" spans="2:40" x14ac:dyDescent="0.15">
      <c r="B143" s="700" t="s">
        <v>17</v>
      </c>
      <c r="C143" s="721" t="str">
        <f>$C137</f>
        <v>Semen assay</v>
      </c>
      <c r="D143" s="552" t="s">
        <v>198</v>
      </c>
      <c r="E143" s="710">
        <f>VLOOKUP($B143&amp;"_"&amp;$D143,'App5 - CRUK Inci Rates'!C:H,6,FALSE)</f>
        <v>2.4</v>
      </c>
      <c r="F143" s="711">
        <f>VLOOKUP($B143&amp;"_"&amp;$D143,'App5 - CRUK Inci Rates'!C:H,3,FALSE)</f>
        <v>0</v>
      </c>
      <c r="G143" s="712">
        <f>VLOOKUP($B143&amp;"_"&amp;$D143,'App5 - CRUK Inci Rates'!C:J,8,FALSE)</f>
        <v>1467965</v>
      </c>
      <c r="H143" s="713">
        <f>VLOOKUP($B143&amp;"_"&amp;$D143,'App5 - CRUK Inci Rates'!C:J,7,FALSE)</f>
        <v>1467965</v>
      </c>
      <c r="I143" s="713">
        <f>VLOOKUP($B143&amp;"_"&amp;$D143,'App5 - CRUK Inci Rates'!C:J,4,FALSE)</f>
        <v>0</v>
      </c>
      <c r="J143" s="709">
        <f>VLOOKUP($B143&amp;"_"&amp;$D143,'App5 - CRUK Inci Rates'!C:K,9,FALSE)</f>
        <v>35</v>
      </c>
      <c r="K143" s="706">
        <f t="shared" si="120"/>
        <v>733982.5</v>
      </c>
      <c r="L143" s="706">
        <f>VLOOKUP("*"&amp;$B143&amp;"*",'S4 - Summ PRS Characteristics'!$C$21:$Q$28,11,FALSE)*$J143</f>
        <v>33.309911240351404</v>
      </c>
      <c r="M143" s="706">
        <f t="shared" si="121"/>
        <v>1.6900887596485958</v>
      </c>
      <c r="N143" s="706">
        <f>IF($C143="other",(1-$C$7)*L143,(1-(VLOOKUP($C143,'S3 - Screening Tool Metrics'!$C$3:$G$17,5,FALSE)/100))*L143)</f>
        <v>10.992270709315962</v>
      </c>
      <c r="O143" s="706">
        <f>IF($C143="other",$C$7*L143,(VLOOKUP($C143,'S3 - Screening Tool Metrics'!$C$3:$G$17,5,FALSE)/100)*L143)</f>
        <v>22.31764053103544</v>
      </c>
      <c r="P143" s="706">
        <f t="shared" si="122"/>
        <v>63.764687231529827</v>
      </c>
      <c r="Q143" s="707">
        <f t="shared" si="112"/>
        <v>293593</v>
      </c>
      <c r="R143" s="706">
        <f>VLOOKUP("*"&amp;$B143&amp;"*",'S4 - Summ PRS Characteristics'!$C$21:$Q$28,12,FALSE)*$J143</f>
        <v>27.786826895097629</v>
      </c>
      <c r="S143" s="706">
        <f t="shared" si="123"/>
        <v>7.2131731049023706</v>
      </c>
      <c r="T143" s="706">
        <f>IF($C143="other",(1-$C136)*R143,(1-(VLOOKUP($C143,'S3 - Screening Tool Metrics'!$C$3:$G$17,5,FALSE)/100))*R143)</f>
        <v>9.1696528753822157</v>
      </c>
      <c r="U143" s="706">
        <f>IF($C143="other",$C136*R143,(VLOOKUP($C143,'S3 - Screening Tool Metrics'!$C$3:$G$17,5,FALSE)/100)*R143)</f>
        <v>18.617174019715414</v>
      </c>
      <c r="V143" s="708">
        <f t="shared" si="113"/>
        <v>53.19192577061547</v>
      </c>
      <c r="W143" s="707">
        <f t="shared" si="114"/>
        <v>146796.5</v>
      </c>
      <c r="X143" s="706">
        <f>VLOOKUP("*"&amp;$B143&amp;"*",'S4 - Summ PRS Characteristics'!$C$21:$Q$28,13,FALSE)*$J143</f>
        <v>22.682652924447094</v>
      </c>
      <c r="Y143" s="706">
        <f t="shared" si="124"/>
        <v>12.317347075552906</v>
      </c>
      <c r="Z143" s="706">
        <f>IF($C143="other",(1-$C136)*X143,(1-(VLOOKUP($C143,'S3 - Screening Tool Metrics'!$C$3:$G$17,5,FALSE)/100))*X143)</f>
        <v>7.4852754650675397</v>
      </c>
      <c r="AA143" s="706">
        <f>IF($C143="other",$C136*X143,(VLOOKUP($C143,'S3 - Screening Tool Metrics'!$C$3:$G$17,5,FALSE)/100)*X143)</f>
        <v>15.197377459379554</v>
      </c>
      <c r="AB143" s="708">
        <f t="shared" si="115"/>
        <v>43.421078455370157</v>
      </c>
      <c r="AC143" s="707">
        <f t="shared" si="116"/>
        <v>73398.25</v>
      </c>
      <c r="AD143" s="706">
        <f>VLOOKUP("*"&amp;$B143&amp;"*",'S4 - Summ PRS Characteristics'!$C$21:$Q$28,14,FALSE)*$J143</f>
        <v>17.734966730364096</v>
      </c>
      <c r="AE143" s="706">
        <f t="shared" si="126"/>
        <v>17.265033269635904</v>
      </c>
      <c r="AF143" s="706">
        <f>IF($C143="other",(1-$C136)*AD143,(1-(VLOOKUP($C143,'S3 - Screening Tool Metrics'!$C$3:$G$17,5,FALSE)/100))*AD143)</f>
        <v>5.8525390210201511</v>
      </c>
      <c r="AG143" s="706">
        <f>IF($C143="other",$C136*AD143,(VLOOKUP($C143,'S3 - Screening Tool Metrics'!$C$3:$G$17,5,FALSE)/100)*AD143)</f>
        <v>11.882427709343945</v>
      </c>
      <c r="AH143" s="708">
        <f t="shared" si="117"/>
        <v>33.949793455268413</v>
      </c>
      <c r="AI143" s="707">
        <f t="shared" si="118"/>
        <v>14679.65</v>
      </c>
      <c r="AJ143" s="706">
        <f>VLOOKUP("*"&amp;$B143&amp;"*",'S4 - Summ PRS Characteristics'!$C$21:$Q$28,15,FALSE)*$J143</f>
        <v>8.859626824407238</v>
      </c>
      <c r="AK143" s="706">
        <f t="shared" si="125"/>
        <v>26.140373175592764</v>
      </c>
      <c r="AL143" s="706">
        <f>IF($C143="other",(1-$C136)*AJ143,(1-(VLOOKUP($C143,'S3 - Screening Tool Metrics'!$C$3:$G$17,5,FALSE)/100))*AJ143)</f>
        <v>2.9236768520543883</v>
      </c>
      <c r="AM143" s="706">
        <f>IF($C143="other",$C136*AJ143,(VLOOKUP($C143,'S3 - Screening Tool Metrics'!$C$3:$G$17,5,FALSE)/100)*AJ143)</f>
        <v>5.9359499723528497</v>
      </c>
      <c r="AN143" s="709">
        <f t="shared" si="119"/>
        <v>16.959857063865286</v>
      </c>
    </row>
    <row r="144" spans="2:40" x14ac:dyDescent="0.15">
      <c r="B144" s="700" t="s">
        <v>17</v>
      </c>
      <c r="C144" s="721" t="str">
        <f>$C137</f>
        <v>Semen assay</v>
      </c>
      <c r="D144" s="552" t="s">
        <v>199</v>
      </c>
      <c r="E144" s="710">
        <f>VLOOKUP($B144&amp;"_"&amp;$D144,'App5 - CRUK Inci Rates'!C:H,6,FALSE)</f>
        <v>1.4</v>
      </c>
      <c r="F144" s="711">
        <f>VLOOKUP($B144&amp;"_"&amp;$D144,'App5 - CRUK Inci Rates'!C:H,3,FALSE)</f>
        <v>0</v>
      </c>
      <c r="G144" s="712">
        <f>VLOOKUP($B144&amp;"_"&amp;$D144,'App5 - CRUK Inci Rates'!C:J,8,FALSE)</f>
        <v>1007365.3333333334</v>
      </c>
      <c r="H144" s="713">
        <f>VLOOKUP($B144&amp;"_"&amp;$D144,'App5 - CRUK Inci Rates'!C:J,7,FALSE)</f>
        <v>1007365.3333333334</v>
      </c>
      <c r="I144" s="713">
        <f>VLOOKUP($B144&amp;"_"&amp;$D144,'App5 - CRUK Inci Rates'!C:J,4,FALSE)</f>
        <v>0</v>
      </c>
      <c r="J144" s="709">
        <f>VLOOKUP($B144&amp;"_"&amp;$D144,'App5 - CRUK Inci Rates'!C:K,9,FALSE)</f>
        <v>14</v>
      </c>
      <c r="K144" s="706">
        <f t="shared" si="120"/>
        <v>503682.66666666669</v>
      </c>
      <c r="L144" s="706">
        <f>VLOOKUP("*"&amp;$B144&amp;"*",'S4 - Summ PRS Characteristics'!$C$21:$Q$28,11,FALSE)*$J144</f>
        <v>13.323964496140563</v>
      </c>
      <c r="M144" s="706">
        <f t="shared" si="121"/>
        <v>0.67603550385943656</v>
      </c>
      <c r="N144" s="706">
        <f>IF($C144="other",(1-$C$7)*L144,(1-(VLOOKUP($C144,'S3 - Screening Tool Metrics'!$C$3:$G$17,5,FALSE)/100))*L144)</f>
        <v>4.3969082837263853</v>
      </c>
      <c r="O144" s="706">
        <f>IF($C144="other",$C$7*L144,(VLOOKUP($C144,'S3 - Screening Tool Metrics'!$C$3:$G$17,5,FALSE)/100)*L144)</f>
        <v>8.9270562124141772</v>
      </c>
      <c r="P144" s="706">
        <f t="shared" si="122"/>
        <v>63.764687231529834</v>
      </c>
      <c r="Q144" s="707">
        <f t="shared" si="112"/>
        <v>201473.06666666668</v>
      </c>
      <c r="R144" s="706">
        <f>VLOOKUP("*"&amp;$B144&amp;"*",'S4 - Summ PRS Characteristics'!$C$21:$Q$28,12,FALSE)*$J144</f>
        <v>11.114730758039052</v>
      </c>
      <c r="S144" s="706">
        <f t="shared" si="123"/>
        <v>2.8852692419609482</v>
      </c>
      <c r="T144" s="706">
        <f>IF($C144="other",(1-$C136)*R144,(1-(VLOOKUP($C144,'S3 - Screening Tool Metrics'!$C$3:$G$17,5,FALSE)/100))*R144)</f>
        <v>3.6678611501528868</v>
      </c>
      <c r="U144" s="706">
        <f>IF($C144="other",$C136*R144,(VLOOKUP($C144,'S3 - Screening Tool Metrics'!$C$3:$G$17,5,FALSE)/100)*R144)</f>
        <v>7.4468696078861649</v>
      </c>
      <c r="V144" s="708">
        <f t="shared" si="113"/>
        <v>53.19192577061547</v>
      </c>
      <c r="W144" s="707">
        <f t="shared" si="114"/>
        <v>100736.53333333334</v>
      </c>
      <c r="X144" s="706">
        <f>VLOOKUP("*"&amp;$B144&amp;"*",'S4 - Summ PRS Characteristics'!$C$21:$Q$28,13,FALSE)*$J144</f>
        <v>9.0730611697788373</v>
      </c>
      <c r="Y144" s="706">
        <f t="shared" si="124"/>
        <v>4.9269388302211627</v>
      </c>
      <c r="Z144" s="706">
        <f>IF($C144="other",(1-$C136)*X144,(1-(VLOOKUP($C144,'S3 - Screening Tool Metrics'!$C$3:$G$17,5,FALSE)/100))*X144)</f>
        <v>2.9941101860270161</v>
      </c>
      <c r="AA144" s="706">
        <f>IF($C144="other",$C136*X144,(VLOOKUP($C144,'S3 - Screening Tool Metrics'!$C$3:$G$17,5,FALSE)/100)*X144)</f>
        <v>6.0789509837518212</v>
      </c>
      <c r="AB144" s="708">
        <f t="shared" si="115"/>
        <v>43.42107845537015</v>
      </c>
      <c r="AC144" s="707">
        <f t="shared" si="116"/>
        <v>50368.26666666667</v>
      </c>
      <c r="AD144" s="706">
        <f>VLOOKUP("*"&amp;$B144&amp;"*",'S4 - Summ PRS Characteristics'!$C$21:$Q$28,14,FALSE)*$J144</f>
        <v>7.0939866921456387</v>
      </c>
      <c r="AE144" s="706">
        <f t="shared" si="126"/>
        <v>6.9060133078543613</v>
      </c>
      <c r="AF144" s="706">
        <f>IF($C144="other",(1-$C136)*AD144,(1-(VLOOKUP($C144,'S3 - Screening Tool Metrics'!$C$3:$G$17,5,FALSE)/100))*AD144)</f>
        <v>2.3410156084080604</v>
      </c>
      <c r="AG144" s="706">
        <f>IF($C144="other",$C136*AD144,(VLOOKUP($C144,'S3 - Screening Tool Metrics'!$C$3:$G$17,5,FALSE)/100)*AD144)</f>
        <v>4.7529710837375783</v>
      </c>
      <c r="AH144" s="708">
        <f t="shared" si="117"/>
        <v>33.94979345526842</v>
      </c>
      <c r="AI144" s="707">
        <f t="shared" si="118"/>
        <v>10073.653333333334</v>
      </c>
      <c r="AJ144" s="706">
        <f>VLOOKUP("*"&amp;$B144&amp;"*",'S4 - Summ PRS Characteristics'!$C$21:$Q$28,15,FALSE)*$J144</f>
        <v>3.5438507297628954</v>
      </c>
      <c r="AK144" s="706">
        <f t="shared" si="125"/>
        <v>10.456149270237105</v>
      </c>
      <c r="AL144" s="706">
        <f>IF($C144="other",(1-$C136)*AJ144,(1-(VLOOKUP($C144,'S3 - Screening Tool Metrics'!$C$3:$G$17,5,FALSE)/100))*AJ144)</f>
        <v>1.1694707408217553</v>
      </c>
      <c r="AM144" s="706">
        <f>IF($C144="other",$C136*AJ144,(VLOOKUP($C144,'S3 - Screening Tool Metrics'!$C$3:$G$17,5,FALSE)/100)*AJ144)</f>
        <v>2.3743799889411399</v>
      </c>
      <c r="AN144" s="709">
        <f t="shared" si="119"/>
        <v>16.959857063865286</v>
      </c>
    </row>
    <row r="145" spans="2:40" x14ac:dyDescent="0.15">
      <c r="B145" s="700" t="s">
        <v>17</v>
      </c>
      <c r="C145" s="721" t="str">
        <f>$C137</f>
        <v>Semen assay</v>
      </c>
      <c r="D145" s="552" t="s">
        <v>206</v>
      </c>
      <c r="E145" s="710">
        <f>VLOOKUP($B145&amp;"_"&amp;$D145,'App5 - CRUK Inci Rates'!C:H,6,FALSE)</f>
        <v>16.008675806590755</v>
      </c>
      <c r="F145" s="711">
        <f>VLOOKUP($B145&amp;"_"&amp;$D145,'App5 - CRUK Inci Rates'!C:H,3,FALSE)</f>
        <v>0</v>
      </c>
      <c r="G145" s="712">
        <f>VLOOKUP($B145&amp;"_"&amp;$D145,'App5 - CRUK Inci Rates'!C:J,8,FALSE)</f>
        <v>8782737.666666666</v>
      </c>
      <c r="H145" s="713">
        <f>VLOOKUP($B145&amp;"_"&amp;$D145,'App5 - CRUK Inci Rates'!C:J,7,FALSE)</f>
        <v>8782737.666666666</v>
      </c>
      <c r="I145" s="713">
        <f>VLOOKUP($B145&amp;"_"&amp;$D145,'App5 - CRUK Inci Rates'!C:J,4,FALSE)</f>
        <v>0</v>
      </c>
      <c r="J145" s="709">
        <f>VLOOKUP($B145&amp;"_"&amp;$D145,'App5 - CRUK Inci Rates'!C:K,9,FALSE)</f>
        <v>1406</v>
      </c>
      <c r="K145" s="706">
        <f t="shared" si="120"/>
        <v>4391368.833333333</v>
      </c>
      <c r="L145" s="706">
        <f>VLOOKUP("*"&amp;$B145&amp;"*",'S4 - Summ PRS Characteristics'!$C$21:$Q$28,11,FALSE)*$J145</f>
        <v>1338.1067201124022</v>
      </c>
      <c r="M145" s="706">
        <f t="shared" si="121"/>
        <v>67.893279887597828</v>
      </c>
      <c r="N145" s="706">
        <f>IF($C145="other",(1-$C$7)*L145,(1-(VLOOKUP($C145,'S3 - Screening Tool Metrics'!$C$3:$G$17,5,FALSE)/100))*L145)</f>
        <v>441.57521763709263</v>
      </c>
      <c r="O145" s="706">
        <f>IF($C145="other",$C$7*L145,(VLOOKUP($C145,'S3 - Screening Tool Metrics'!$C$3:$G$17,5,FALSE)/100)*L145)</f>
        <v>896.53150247530948</v>
      </c>
      <c r="P145" s="706">
        <f t="shared" si="122"/>
        <v>63.764687231529834</v>
      </c>
      <c r="Q145" s="707">
        <f t="shared" si="112"/>
        <v>1756547.5333333332</v>
      </c>
      <c r="R145" s="706">
        <f>VLOOKUP("*"&amp;$B145&amp;"*",'S4 - Summ PRS Characteristics'!$C$21:$Q$28,12,FALSE)*$J145</f>
        <v>1116.2365318430648</v>
      </c>
      <c r="S145" s="706">
        <f t="shared" si="123"/>
        <v>289.76346815693523</v>
      </c>
      <c r="T145" s="706">
        <f>IF($C145="other",(1-$C136)*R145,(1-(VLOOKUP($C145,'S3 - Screening Tool Metrics'!$C$3:$G$17,5,FALSE)/100))*R145)</f>
        <v>368.35805550821135</v>
      </c>
      <c r="U145" s="706">
        <f>IF($C145="other",$C136*R145,(VLOOKUP($C145,'S3 - Screening Tool Metrics'!$C$3:$G$17,5,FALSE)/100)*R145)</f>
        <v>747.87847633485342</v>
      </c>
      <c r="V145" s="708">
        <f t="shared" si="113"/>
        <v>53.19192577061547</v>
      </c>
      <c r="W145" s="707">
        <f t="shared" si="114"/>
        <v>878273.7666666666</v>
      </c>
      <c r="X145" s="706">
        <f>VLOOKUP("*"&amp;$B145&amp;"*",'S4 - Summ PRS Characteristics'!$C$21:$Q$28,13,FALSE)*$J145</f>
        <v>911.19457176493177</v>
      </c>
      <c r="Y145" s="706">
        <f t="shared" si="124"/>
        <v>494.80542823506823</v>
      </c>
      <c r="Z145" s="706">
        <f>IF($C145="other",(1-$C136)*X145,(1-(VLOOKUP($C145,'S3 - Screening Tool Metrics'!$C$3:$G$17,5,FALSE)/100))*X145)</f>
        <v>300.69420868242747</v>
      </c>
      <c r="AA145" s="706">
        <f>IF($C145="other",$C136*X145,(VLOOKUP($C145,'S3 - Screening Tool Metrics'!$C$3:$G$17,5,FALSE)/100)*X145)</f>
        <v>610.50036308250435</v>
      </c>
      <c r="AB145" s="708">
        <f t="shared" si="115"/>
        <v>43.421078455370157</v>
      </c>
      <c r="AC145" s="707">
        <f t="shared" si="116"/>
        <v>439136.8833333333</v>
      </c>
      <c r="AD145" s="706">
        <f>VLOOKUP("*"&amp;$B145&amp;"*",'S4 - Summ PRS Characteristics'!$C$21:$Q$28,14,FALSE)*$J145</f>
        <v>712.43894922548338</v>
      </c>
      <c r="AE145" s="706">
        <f t="shared" si="126"/>
        <v>693.56105077451662</v>
      </c>
      <c r="AF145" s="706">
        <f>IF($C145="other",(1-$C136)*AD145,(1-(VLOOKUP($C145,'S3 - Screening Tool Metrics'!$C$3:$G$17,5,FALSE)/100))*AD145)</f>
        <v>235.1048532444095</v>
      </c>
      <c r="AG145" s="706">
        <f>IF($C145="other",$C136*AD145,(VLOOKUP($C145,'S3 - Screening Tool Metrics'!$C$3:$G$17,5,FALSE)/100)*AD145)</f>
        <v>477.33409598107392</v>
      </c>
      <c r="AH145" s="708">
        <f t="shared" si="117"/>
        <v>33.94979345526842</v>
      </c>
      <c r="AI145" s="707">
        <f t="shared" si="118"/>
        <v>87827.376666666663</v>
      </c>
      <c r="AJ145" s="706">
        <f>VLOOKUP("*"&amp;$B145&amp;"*",'S4 - Summ PRS Characteristics'!$C$21:$Q$28,15,FALSE)*$J145</f>
        <v>355.90386614618791</v>
      </c>
      <c r="AK145" s="706">
        <f t="shared" si="125"/>
        <v>1050.096133853812</v>
      </c>
      <c r="AL145" s="706">
        <f>IF($C145="other",(1-$C136)*AJ145,(1-(VLOOKUP($C145,'S3 - Screening Tool Metrics'!$C$3:$G$17,5,FALSE)/100))*AJ145)</f>
        <v>117.44827582824199</v>
      </c>
      <c r="AM145" s="706">
        <f>IF($C145="other",$C136*AJ145,(VLOOKUP($C145,'S3 - Screening Tool Metrics'!$C$3:$G$17,5,FALSE)/100)*AJ145)</f>
        <v>238.45559031794591</v>
      </c>
      <c r="AN145" s="709">
        <f t="shared" si="119"/>
        <v>16.959857063865286</v>
      </c>
    </row>
    <row r="146" spans="2:40" x14ac:dyDescent="0.15">
      <c r="B146" s="700" t="s">
        <v>17</v>
      </c>
      <c r="C146" s="721" t="str">
        <f>$C137</f>
        <v>Semen assay</v>
      </c>
      <c r="D146" s="552" t="s">
        <v>200</v>
      </c>
      <c r="E146" s="710">
        <f>VLOOKUP($B146&amp;"_"&amp;$D146,'App5 - CRUK Inci Rates'!C:H,6,FALSE)</f>
        <v>6.782309267126819</v>
      </c>
      <c r="F146" s="711">
        <f>VLOOKUP($B146&amp;"_"&amp;$D146,'App5 - CRUK Inci Rates'!C:H,3,FALSE)</f>
        <v>0</v>
      </c>
      <c r="G146" s="712">
        <f>VLOOKUP($B146&amp;"_"&amp;$D146,'App5 - CRUK Inci Rates'!C:J,8,FALSE)</f>
        <v>12090277.333333334</v>
      </c>
      <c r="H146" s="713">
        <f>VLOOKUP($B146&amp;"_"&amp;$D146,'App5 - CRUK Inci Rates'!C:J,7,FALSE)</f>
        <v>12090277.333333334</v>
      </c>
      <c r="I146" s="713">
        <f>VLOOKUP($B146&amp;"_"&amp;$D146,'App5 - CRUK Inci Rates'!C:J,4,FALSE)</f>
        <v>0</v>
      </c>
      <c r="J146" s="709">
        <f>VLOOKUP($B146&amp;"_"&amp;$D146,'App5 - CRUK Inci Rates'!C:K,9,FALSE)</f>
        <v>820</v>
      </c>
      <c r="K146" s="706">
        <f t="shared" si="120"/>
        <v>6045138.666666667</v>
      </c>
      <c r="L146" s="706">
        <f>VLOOKUP("*"&amp;$B146&amp;"*",'S4 - Summ PRS Characteristics'!$C$21:$Q$28,11,FALSE)*$J146</f>
        <v>780.40363477394726</v>
      </c>
      <c r="M146" s="706">
        <f t="shared" si="121"/>
        <v>39.59636522605274</v>
      </c>
      <c r="N146" s="706">
        <f>IF($C146="other",(1-$C$7)*L146,(1-(VLOOKUP($C146,'S3 - Screening Tool Metrics'!$C$3:$G$17,5,FALSE)/100))*L146)</f>
        <v>257.53319947540257</v>
      </c>
      <c r="O146" s="706">
        <f>IF($C146="other",$C$7*L146,(VLOOKUP($C146,'S3 - Screening Tool Metrics'!$C$3:$G$17,5,FALSE)/100)*L146)</f>
        <v>522.87043529854475</v>
      </c>
      <c r="P146" s="706">
        <f t="shared" si="122"/>
        <v>63.764687231529848</v>
      </c>
      <c r="Q146" s="707">
        <f t="shared" si="112"/>
        <v>2418055.4666666668</v>
      </c>
      <c r="R146" s="706">
        <f>VLOOKUP("*"&amp;$B146&amp;"*",'S4 - Summ PRS Characteristics'!$C$21:$Q$28,12,FALSE)*$J146</f>
        <v>651.00565868514445</v>
      </c>
      <c r="S146" s="706">
        <f t="shared" si="123"/>
        <v>168.99434131485555</v>
      </c>
      <c r="T146" s="706">
        <f>IF($C146="other",(1-$C136)*R146,(1-(VLOOKUP($C146,'S3 - Screening Tool Metrics'!$C$3:$G$17,5,FALSE)/100))*R146)</f>
        <v>214.83186736609764</v>
      </c>
      <c r="U146" s="706">
        <f>IF($C146="other",$C136*R146,(VLOOKUP($C146,'S3 - Screening Tool Metrics'!$C$3:$G$17,5,FALSE)/100)*R146)</f>
        <v>436.17379131904681</v>
      </c>
      <c r="V146" s="708">
        <f t="shared" si="113"/>
        <v>53.19192577061547</v>
      </c>
      <c r="W146" s="707">
        <f t="shared" si="114"/>
        <v>1209027.7333333334</v>
      </c>
      <c r="X146" s="706">
        <f>VLOOKUP("*"&amp;$B146&amp;"*",'S4 - Summ PRS Characteristics'!$C$21:$Q$28,13,FALSE)*$J146</f>
        <v>531.4221542299033</v>
      </c>
      <c r="Y146" s="706">
        <f t="shared" si="124"/>
        <v>288.5778457700967</v>
      </c>
      <c r="Z146" s="706">
        <f>IF($C146="other",(1-$C136)*X146,(1-(VLOOKUP($C146,'S3 - Screening Tool Metrics'!$C$3:$G$17,5,FALSE)/100))*X146)</f>
        <v>175.36931089586807</v>
      </c>
      <c r="AA146" s="706">
        <f>IF($C146="other",$C136*X146,(VLOOKUP($C146,'S3 - Screening Tool Metrics'!$C$3:$G$17,5,FALSE)/100)*X146)</f>
        <v>356.05284333403523</v>
      </c>
      <c r="AB146" s="708">
        <f t="shared" si="115"/>
        <v>43.42107845537015</v>
      </c>
      <c r="AC146" s="707">
        <f t="shared" si="116"/>
        <v>604513.8666666667</v>
      </c>
      <c r="AD146" s="706">
        <f>VLOOKUP("*"&amp;$B146&amp;"*",'S4 - Summ PRS Characteristics'!$C$21:$Q$28,14,FALSE)*$J146</f>
        <v>415.5049348256731</v>
      </c>
      <c r="AE146" s="706">
        <f t="shared" si="126"/>
        <v>404.4950651743269</v>
      </c>
      <c r="AF146" s="706">
        <f>IF($C146="other",(1-$C136)*AD146,(1-(VLOOKUP($C146,'S3 - Screening Tool Metrics'!$C$3:$G$17,5,FALSE)/100))*AD146)</f>
        <v>137.1166284924721</v>
      </c>
      <c r="AG146" s="706">
        <f>IF($C146="other",$C136*AD146,(VLOOKUP($C146,'S3 - Screening Tool Metrics'!$C$3:$G$17,5,FALSE)/100)*AD146)</f>
        <v>278.388306333201</v>
      </c>
      <c r="AH146" s="708">
        <f t="shared" si="117"/>
        <v>33.949793455268413</v>
      </c>
      <c r="AI146" s="707">
        <f t="shared" si="118"/>
        <v>120902.77333333335</v>
      </c>
      <c r="AJ146" s="706">
        <f>VLOOKUP("*"&amp;$B146&amp;"*",'S4 - Summ PRS Characteristics'!$C$21:$Q$28,15,FALSE)*$J146</f>
        <v>207.56839988611245</v>
      </c>
      <c r="AK146" s="706">
        <f t="shared" si="125"/>
        <v>612.4316001138875</v>
      </c>
      <c r="AL146" s="706">
        <f>IF($C146="other",(1-$C136)*AJ146,(1-(VLOOKUP($C146,'S3 - Screening Tool Metrics'!$C$3:$G$17,5,FALSE)/100))*AJ146)</f>
        <v>68.497571962417098</v>
      </c>
      <c r="AM146" s="706">
        <f>IF($C146="other",$C136*AJ146,(VLOOKUP($C146,'S3 - Screening Tool Metrics'!$C$3:$G$17,5,FALSE)/100)*AJ146)</f>
        <v>139.07082792369533</v>
      </c>
      <c r="AN146" s="709">
        <f t="shared" si="119"/>
        <v>16.959857063865286</v>
      </c>
    </row>
    <row r="147" spans="2:40" x14ac:dyDescent="0.15">
      <c r="B147" s="700" t="s">
        <v>17</v>
      </c>
      <c r="C147" s="721" t="str">
        <f>$C137</f>
        <v>Semen assay</v>
      </c>
      <c r="D147" s="552" t="s">
        <v>201</v>
      </c>
      <c r="E147" s="710">
        <f>VLOOKUP($B147&amp;"_"&amp;$D147,'App5 - CRUK Inci Rates'!C:H,6,FALSE)</f>
        <v>10.741704977707645</v>
      </c>
      <c r="F147" s="711">
        <f>VLOOKUP($B147&amp;"_"&amp;$D147,'App5 - CRUK Inci Rates'!C:H,3,FALSE)</f>
        <v>0</v>
      </c>
      <c r="G147" s="712">
        <f>VLOOKUP($B147&amp;"_"&amp;$D147,'App5 - CRUK Inci Rates'!C:J,8,FALSE)</f>
        <v>4273064.666666667</v>
      </c>
      <c r="H147" s="713">
        <f>VLOOKUP($B147&amp;"_"&amp;$D147,'App5 - CRUK Inci Rates'!C:J,7,FALSE)</f>
        <v>4273064.666666667</v>
      </c>
      <c r="I147" s="713">
        <f>VLOOKUP($B147&amp;"_"&amp;$D147,'App5 - CRUK Inci Rates'!C:J,4,FALSE)</f>
        <v>0</v>
      </c>
      <c r="J147" s="709">
        <f>VLOOKUP($B147&amp;"_"&amp;$D147,'App5 - CRUK Inci Rates'!C:K,9,FALSE)</f>
        <v>459</v>
      </c>
      <c r="K147" s="706">
        <f t="shared" si="120"/>
        <v>2136532.3333333335</v>
      </c>
      <c r="L147" s="706">
        <f>VLOOKUP("*"&amp;$B147&amp;"*",'S4 - Summ PRS Characteristics'!$C$21:$Q$28,11,FALSE)*$J147</f>
        <v>436.8356931234656</v>
      </c>
      <c r="M147" s="706">
        <f t="shared" si="121"/>
        <v>22.164306876534397</v>
      </c>
      <c r="N147" s="706">
        <f>IF($C147="other",(1-$C$7)*L147,(1-(VLOOKUP($C147,'S3 - Screening Tool Metrics'!$C$3:$G$17,5,FALSE)/100))*L147)</f>
        <v>144.15577873074363</v>
      </c>
      <c r="O147" s="706">
        <f>IF($C147="other",$C$7*L147,(VLOOKUP($C147,'S3 - Screening Tool Metrics'!$C$3:$G$17,5,FALSE)/100)*L147)</f>
        <v>292.67991439272197</v>
      </c>
      <c r="P147" s="706">
        <f t="shared" si="122"/>
        <v>63.764687231529834</v>
      </c>
      <c r="Q147" s="707">
        <f t="shared" si="112"/>
        <v>854612.93333333347</v>
      </c>
      <c r="R147" s="706">
        <f>VLOOKUP("*"&amp;$B147&amp;"*",'S4 - Summ PRS Characteristics'!$C$21:$Q$28,12,FALSE)*$J147</f>
        <v>364.40438699570893</v>
      </c>
      <c r="S147" s="706">
        <f t="shared" si="123"/>
        <v>94.595613004291067</v>
      </c>
      <c r="T147" s="706">
        <f>IF($C147="other",(1-$C136)*R147,(1-(VLOOKUP($C147,'S3 - Screening Tool Metrics'!$C$3:$G$17,5,FALSE)/100))*R147)</f>
        <v>120.25344770858393</v>
      </c>
      <c r="U147" s="706">
        <f>IF($C147="other",$C136*R147,(VLOOKUP($C147,'S3 - Screening Tool Metrics'!$C$3:$G$17,5,FALSE)/100)*R147)</f>
        <v>244.150939287125</v>
      </c>
      <c r="V147" s="708">
        <f t="shared" si="113"/>
        <v>53.19192577061547</v>
      </c>
      <c r="W147" s="707">
        <f t="shared" si="114"/>
        <v>427306.46666666673</v>
      </c>
      <c r="X147" s="706">
        <f>VLOOKUP("*"&amp;$B147&amp;"*",'S4 - Summ PRS Characteristics'!$C$21:$Q$28,13,FALSE)*$J147</f>
        <v>297.46679120917759</v>
      </c>
      <c r="Y147" s="706">
        <f t="shared" si="124"/>
        <v>161.53320879082241</v>
      </c>
      <c r="Z147" s="706">
        <f>IF($C147="other",(1-$C136)*X147,(1-(VLOOKUP($C147,'S3 - Screening Tool Metrics'!$C$3:$G$17,5,FALSE)/100))*X147)</f>
        <v>98.164041099028594</v>
      </c>
      <c r="AA147" s="706">
        <f>IF($C147="other",$C136*X147,(VLOOKUP($C147,'S3 - Screening Tool Metrics'!$C$3:$G$17,5,FALSE)/100)*X147)</f>
        <v>199.30275011014899</v>
      </c>
      <c r="AB147" s="708">
        <f t="shared" si="115"/>
        <v>43.42107845537015</v>
      </c>
      <c r="AC147" s="707">
        <f t="shared" si="116"/>
        <v>213653.23333333337</v>
      </c>
      <c r="AD147" s="706">
        <f>VLOOKUP("*"&amp;$B147&amp;"*",'S4 - Summ PRS Characteristics'!$C$21:$Q$28,14,FALSE)*$J147</f>
        <v>232.58142083534628</v>
      </c>
      <c r="AE147" s="706">
        <f t="shared" si="126"/>
        <v>226.41857916465372</v>
      </c>
      <c r="AF147" s="706">
        <f>IF($C147="other",(1-$C136)*AD147,(1-(VLOOKUP($C147,'S3 - Screening Tool Metrics'!$C$3:$G$17,5,FALSE)/100))*AD147)</f>
        <v>76.751868875664258</v>
      </c>
      <c r="AG147" s="706">
        <f>IF($C147="other",$C136*AD147,(VLOOKUP($C147,'S3 - Screening Tool Metrics'!$C$3:$G$17,5,FALSE)/100)*AD147)</f>
        <v>155.82955195968202</v>
      </c>
      <c r="AH147" s="708">
        <f t="shared" si="117"/>
        <v>33.949793455268413</v>
      </c>
      <c r="AI147" s="707">
        <f t="shared" si="118"/>
        <v>42730.646666666667</v>
      </c>
      <c r="AJ147" s="706">
        <f>VLOOKUP("*"&amp;$B147&amp;"*",'S4 - Summ PRS Characteristics'!$C$21:$Q$28,15,FALSE)*$J147</f>
        <v>116.18767749722635</v>
      </c>
      <c r="AK147" s="706">
        <f t="shared" si="125"/>
        <v>342.81232250277367</v>
      </c>
      <c r="AL147" s="706">
        <f>IF($C147="other",(1-$C136)*AJ147,(1-(VLOOKUP($C147,'S3 - Screening Tool Metrics'!$C$3:$G$17,5,FALSE)/100))*AJ147)</f>
        <v>38.341933574084692</v>
      </c>
      <c r="AM147" s="706">
        <f>IF($C147="other",$C136*AJ147,(VLOOKUP($C147,'S3 - Screening Tool Metrics'!$C$3:$G$17,5,FALSE)/100)*AJ147)</f>
        <v>77.845743923141654</v>
      </c>
      <c r="AN147" s="709">
        <f t="shared" si="119"/>
        <v>16.959857063865282</v>
      </c>
    </row>
    <row r="148" spans="2:40" x14ac:dyDescent="0.15">
      <c r="B148" s="700" t="s">
        <v>17</v>
      </c>
      <c r="C148" s="721" t="str">
        <f t="shared" ref="C148:C152" si="127">$C138</f>
        <v>Semen assay</v>
      </c>
      <c r="D148" s="552" t="s">
        <v>202</v>
      </c>
      <c r="E148" s="710">
        <f>VLOOKUP($B148&amp;"_"&amp;$D148,'App5 - CRUK Inci Rates'!C:H,6,FALSE)</f>
        <v>6.1532932287600035</v>
      </c>
      <c r="F148" s="711">
        <f>VLOOKUP($B148&amp;"_"&amp;$D148,'App5 - CRUK Inci Rates'!C:H,3,FALSE)</f>
        <v>0</v>
      </c>
      <c r="G148" s="712">
        <f>VLOOKUP($B148&amp;"_"&amp;$D148,'App5 - CRUK Inci Rates'!C:J,8,FALSE)</f>
        <v>4355391.333333333</v>
      </c>
      <c r="H148" s="713">
        <f>VLOOKUP($B148&amp;"_"&amp;$D148,'App5 - CRUK Inci Rates'!C:J,7,FALSE)</f>
        <v>4355391.333333333</v>
      </c>
      <c r="I148" s="713">
        <f>VLOOKUP($B148&amp;"_"&amp;$D148,'App5 - CRUK Inci Rates'!C:J,4,FALSE)</f>
        <v>0</v>
      </c>
      <c r="J148" s="709">
        <f>VLOOKUP($B148&amp;"_"&amp;$D148,'App5 - CRUK Inci Rates'!C:K,9,FALSE)</f>
        <v>268</v>
      </c>
      <c r="K148" s="706">
        <f t="shared" si="120"/>
        <v>2177695.6666666665</v>
      </c>
      <c r="L148" s="706">
        <f>VLOOKUP("*"&amp;$B148&amp;"*",'S4 - Summ PRS Characteristics'!$C$21:$Q$28,11,FALSE)*$J148</f>
        <v>255.05874892611934</v>
      </c>
      <c r="M148" s="706">
        <f t="shared" si="121"/>
        <v>12.941251073880665</v>
      </c>
      <c r="N148" s="706">
        <f>IF($C148="other",(1-$C$7)*L148,(1-(VLOOKUP($C148,'S3 - Screening Tool Metrics'!$C$3:$G$17,5,FALSE)/100))*L148)</f>
        <v>84.169387145619368</v>
      </c>
      <c r="O148" s="706">
        <f>IF($C148="other",$C$7*L148,(VLOOKUP($C148,'S3 - Screening Tool Metrics'!$C$3:$G$17,5,FALSE)/100)*L148)</f>
        <v>170.88936178049997</v>
      </c>
      <c r="P148" s="706">
        <f t="shared" si="122"/>
        <v>63.764687231529834</v>
      </c>
      <c r="Q148" s="707">
        <f t="shared" si="112"/>
        <v>871078.2666666666</v>
      </c>
      <c r="R148" s="706">
        <f>VLOOKUP("*"&amp;$B148&amp;"*",'S4 - Summ PRS Characteristics'!$C$21:$Q$28,12,FALSE)*$J148</f>
        <v>212.76770308246185</v>
      </c>
      <c r="S148" s="706">
        <f t="shared" si="123"/>
        <v>55.23229691753815</v>
      </c>
      <c r="T148" s="706">
        <f>IF($C148="other",(1-$C136)*R148,(1-(VLOOKUP($C148,'S3 - Screening Tool Metrics'!$C$3:$G$17,5,FALSE)/100))*R148)</f>
        <v>70.213342017212398</v>
      </c>
      <c r="U148" s="706">
        <f>IF($C148="other",$C136*R148,(VLOOKUP($C148,'S3 - Screening Tool Metrics'!$C$3:$G$17,5,FALSE)/100)*R148)</f>
        <v>142.55436106524945</v>
      </c>
      <c r="V148" s="708">
        <f t="shared" si="113"/>
        <v>53.19192577061547</v>
      </c>
      <c r="W148" s="707">
        <f t="shared" si="114"/>
        <v>435539.1333333333</v>
      </c>
      <c r="X148" s="706">
        <f>VLOOKUP("*"&amp;$B148&amp;"*",'S4 - Summ PRS Characteristics'!$C$21:$Q$28,13,FALSE)*$J148</f>
        <v>173.6843138214806</v>
      </c>
      <c r="Y148" s="706">
        <f t="shared" si="124"/>
        <v>94.3156861785194</v>
      </c>
      <c r="Z148" s="706">
        <f>IF($C148="other",(1-$C136)*X148,(1-(VLOOKUP($C148,'S3 - Screening Tool Metrics'!$C$3:$G$17,5,FALSE)/100))*X148)</f>
        <v>57.315823561088592</v>
      </c>
      <c r="AA148" s="706">
        <f>IF($C148="other",$C136*X148,(VLOOKUP($C148,'S3 - Screening Tool Metrics'!$C$3:$G$17,5,FALSE)/100)*X148)</f>
        <v>116.36849026039201</v>
      </c>
      <c r="AB148" s="708">
        <f t="shared" si="115"/>
        <v>43.421078455370157</v>
      </c>
      <c r="AC148" s="707">
        <f t="shared" si="116"/>
        <v>217769.56666666665</v>
      </c>
      <c r="AD148" s="706">
        <f>VLOOKUP("*"&amp;$B148&amp;"*",'S4 - Summ PRS Characteristics'!$C$21:$Q$28,14,FALSE)*$J148</f>
        <v>135.79917382107365</v>
      </c>
      <c r="AE148" s="706">
        <f t="shared" si="126"/>
        <v>132.20082617892635</v>
      </c>
      <c r="AF148" s="706">
        <f>IF($C148="other",(1-$C136)*AD148,(1-(VLOOKUP($C148,'S3 - Screening Tool Metrics'!$C$3:$G$17,5,FALSE)/100))*AD148)</f>
        <v>44.813727360954303</v>
      </c>
      <c r="AG148" s="706">
        <f>IF($C148="other",$C136*AD148,(VLOOKUP($C148,'S3 - Screening Tool Metrics'!$C$3:$G$17,5,FALSE)/100)*AD148)</f>
        <v>90.985446460119348</v>
      </c>
      <c r="AH148" s="708">
        <f t="shared" si="117"/>
        <v>33.949793455268413</v>
      </c>
      <c r="AI148" s="707">
        <f t="shared" si="118"/>
        <v>43553.91333333333</v>
      </c>
      <c r="AJ148" s="706">
        <f>VLOOKUP("*"&amp;$B148&amp;"*",'S4 - Summ PRS Characteristics'!$C$21:$Q$28,15,FALSE)*$J148</f>
        <v>67.839428255461129</v>
      </c>
      <c r="AK148" s="706">
        <f t="shared" si="125"/>
        <v>200.16057174453886</v>
      </c>
      <c r="AL148" s="706">
        <f>IF($C148="other",(1-$C136)*AJ148,(1-(VLOOKUP($C148,'S3 - Screening Tool Metrics'!$C$3:$G$17,5,FALSE)/100))*AJ148)</f>
        <v>22.387011324302168</v>
      </c>
      <c r="AM148" s="706">
        <f>IF($C148="other",$C136*AJ148,(VLOOKUP($C148,'S3 - Screening Tool Metrics'!$C$3:$G$17,5,FALSE)/100)*AJ148)</f>
        <v>45.452416931158957</v>
      </c>
      <c r="AN148" s="709">
        <f t="shared" si="119"/>
        <v>16.959857063865282</v>
      </c>
    </row>
    <row r="149" spans="2:40" x14ac:dyDescent="0.15">
      <c r="B149" s="700" t="s">
        <v>17</v>
      </c>
      <c r="C149" s="721" t="str">
        <f t="shared" si="127"/>
        <v>Semen assay</v>
      </c>
      <c r="D149" s="552" t="s">
        <v>203</v>
      </c>
      <c r="E149" s="710">
        <f>VLOOKUP($B149&amp;"_"&amp;$D149,'App5 - CRUK Inci Rates'!C:H,6,FALSE)</f>
        <v>4.6180143152474038</v>
      </c>
      <c r="F149" s="711">
        <f>VLOOKUP($B149&amp;"_"&amp;$D149,'App5 - CRUK Inci Rates'!C:H,3,FALSE)</f>
        <v>0</v>
      </c>
      <c r="G149" s="712">
        <f>VLOOKUP($B149&amp;"_"&amp;$D149,'App5 - CRUK Inci Rates'!C:J,8,FALSE)</f>
        <v>7817212.666666666</v>
      </c>
      <c r="H149" s="713">
        <f>VLOOKUP($B149&amp;"_"&amp;$D149,'App5 - CRUK Inci Rates'!C:J,7,FALSE)</f>
        <v>7817212.666666666</v>
      </c>
      <c r="I149" s="713">
        <f>VLOOKUP($B149&amp;"_"&amp;$D149,'App5 - CRUK Inci Rates'!C:J,4,FALSE)</f>
        <v>0</v>
      </c>
      <c r="J149" s="709">
        <f>VLOOKUP($B149&amp;"_"&amp;$D149,'App5 - CRUK Inci Rates'!C:K,9,FALSE)</f>
        <v>361</v>
      </c>
      <c r="K149" s="706">
        <f t="shared" si="120"/>
        <v>3908606.333333333</v>
      </c>
      <c r="L149" s="706">
        <f>VLOOKUP("*"&amp;$B149&amp;"*",'S4 - Summ PRS Characteristics'!$C$21:$Q$28,11,FALSE)*$J149</f>
        <v>343.56794165048166</v>
      </c>
      <c r="M149" s="706">
        <f t="shared" si="121"/>
        <v>17.432058349518343</v>
      </c>
      <c r="N149" s="706">
        <f>IF($C149="other",(1-$C$7)*L149,(1-(VLOOKUP($C149,'S3 - Screening Tool Metrics'!$C$3:$G$17,5,FALSE)/100))*L149)</f>
        <v>113.37742074465893</v>
      </c>
      <c r="O149" s="706">
        <f>IF($C149="other",$C$7*L149,(VLOOKUP($C149,'S3 - Screening Tool Metrics'!$C$3:$G$17,5,FALSE)/100)*L149)</f>
        <v>230.19052090582272</v>
      </c>
      <c r="P149" s="706">
        <f t="shared" si="122"/>
        <v>63.764687231529834</v>
      </c>
      <c r="Q149" s="707">
        <f t="shared" si="112"/>
        <v>1563442.5333333332</v>
      </c>
      <c r="R149" s="706">
        <f>VLOOKUP("*"&amp;$B149&amp;"*",'S4 - Summ PRS Characteristics'!$C$21:$Q$28,12,FALSE)*$J149</f>
        <v>286.60127168943558</v>
      </c>
      <c r="S149" s="706">
        <f t="shared" si="123"/>
        <v>74.398728310564422</v>
      </c>
      <c r="T149" s="706">
        <f>IF($C149="other",(1-$C136)*R149,(1-(VLOOKUP($C149,'S3 - Screening Tool Metrics'!$C$3:$G$17,5,FALSE)/100))*R149)</f>
        <v>94.578419657513734</v>
      </c>
      <c r="U149" s="706">
        <f>IF($C149="other",$C136*R149,(VLOOKUP($C149,'S3 - Screening Tool Metrics'!$C$3:$G$17,5,FALSE)/100)*R149)</f>
        <v>192.02285203192184</v>
      </c>
      <c r="V149" s="708">
        <f t="shared" si="113"/>
        <v>53.19192577061547</v>
      </c>
      <c r="W149" s="707">
        <f t="shared" si="114"/>
        <v>781721.2666666666</v>
      </c>
      <c r="X149" s="706">
        <f>VLOOKUP("*"&amp;$B149&amp;"*",'S4 - Summ PRS Characteristics'!$C$21:$Q$28,13,FALSE)*$J149</f>
        <v>233.95536302072571</v>
      </c>
      <c r="Y149" s="706">
        <f t="shared" si="124"/>
        <v>127.04463697927429</v>
      </c>
      <c r="Z149" s="706">
        <f>IF($C149="other",(1-$C136)*X149,(1-(VLOOKUP($C149,'S3 - Screening Tool Metrics'!$C$3:$G$17,5,FALSE)/100))*X149)</f>
        <v>77.205269796839474</v>
      </c>
      <c r="AA149" s="706">
        <f>IF($C149="other",$C136*X149,(VLOOKUP($C149,'S3 - Screening Tool Metrics'!$C$3:$G$17,5,FALSE)/100)*X149)</f>
        <v>156.75009322388624</v>
      </c>
      <c r="AB149" s="708">
        <f t="shared" si="115"/>
        <v>43.42107845537015</v>
      </c>
      <c r="AC149" s="707">
        <f t="shared" si="116"/>
        <v>390860.6333333333</v>
      </c>
      <c r="AD149" s="706">
        <f>VLOOKUP("*"&amp;$B149&amp;"*",'S4 - Summ PRS Characteristics'!$C$21:$Q$28,14,FALSE)*$J149</f>
        <v>182.92351399032682</v>
      </c>
      <c r="AE149" s="706">
        <f t="shared" si="126"/>
        <v>178.07648600967318</v>
      </c>
      <c r="AF149" s="706">
        <f>IF($C149="other",(1-$C136)*AD149,(1-(VLOOKUP($C149,'S3 - Screening Tool Metrics'!$C$3:$G$17,5,FALSE)/100))*AD149)</f>
        <v>60.364759616807845</v>
      </c>
      <c r="AG149" s="706">
        <f>IF($C149="other",$C136*AD149,(VLOOKUP($C149,'S3 - Screening Tool Metrics'!$C$3:$G$17,5,FALSE)/100)*AD149)</f>
        <v>122.55875437351898</v>
      </c>
      <c r="AH149" s="708">
        <f t="shared" si="117"/>
        <v>33.94979345526842</v>
      </c>
      <c r="AI149" s="707">
        <f t="shared" si="118"/>
        <v>78172.126666666663</v>
      </c>
      <c r="AJ149" s="706">
        <f>VLOOKUP("*"&amp;$B149&amp;"*",'S4 - Summ PRS Characteristics'!$C$21:$Q$28,15,FALSE)*$J149</f>
        <v>91.380722388886085</v>
      </c>
      <c r="AK149" s="706">
        <f t="shared" si="125"/>
        <v>269.61927761111394</v>
      </c>
      <c r="AL149" s="706">
        <f>IF($C149="other",(1-$C136)*AJ149,(1-(VLOOKUP($C149,'S3 - Screening Tool Metrics'!$C$3:$G$17,5,FALSE)/100))*AJ149)</f>
        <v>30.155638388332406</v>
      </c>
      <c r="AM149" s="706">
        <f>IF($C149="other",$C136*AJ149,(VLOOKUP($C149,'S3 - Screening Tool Metrics'!$C$3:$G$17,5,FALSE)/100)*AJ149)</f>
        <v>61.225084000553679</v>
      </c>
      <c r="AN149" s="709">
        <f t="shared" si="119"/>
        <v>16.959857063865286</v>
      </c>
    </row>
    <row r="150" spans="2:40" x14ac:dyDescent="0.15">
      <c r="B150" s="700" t="s">
        <v>17</v>
      </c>
      <c r="C150" s="721" t="str">
        <f t="shared" si="127"/>
        <v>Semen assay</v>
      </c>
      <c r="D150" s="552" t="s">
        <v>292</v>
      </c>
      <c r="E150" s="710">
        <f>VLOOKUP($B150&amp;"_"&amp;$D150,'App5 - CRUK Inci Rates'!C:H,6,FALSE)</f>
        <v>2.5964614152648537</v>
      </c>
      <c r="F150" s="711">
        <f>VLOOKUP($B150&amp;"_"&amp;$D150,'App5 - CRUK Inci Rates'!C:H,3,FALSE)</f>
        <v>0</v>
      </c>
      <c r="G150" s="712">
        <f>VLOOKUP($B150&amp;"_"&amp;$D150,'App5 - CRUK Inci Rates'!C:J,8,FALSE)</f>
        <v>4929786.333333333</v>
      </c>
      <c r="H150" s="713">
        <f>VLOOKUP($B150&amp;"_"&amp;$D150,'App5 - CRUK Inci Rates'!C:J,7,FALSE)</f>
        <v>4929786.333333333</v>
      </c>
      <c r="I150" s="713">
        <f>VLOOKUP($B150&amp;"_"&amp;$D150,'App5 - CRUK Inci Rates'!C:J,4,FALSE)</f>
        <v>0</v>
      </c>
      <c r="J150" s="709">
        <f>VLOOKUP($B150&amp;"_"&amp;$D150,'App5 - CRUK Inci Rates'!C:K,9,FALSE)</f>
        <v>128</v>
      </c>
      <c r="K150" s="706">
        <f t="shared" si="120"/>
        <v>2464893.1666666665</v>
      </c>
      <c r="L150" s="706">
        <f>VLOOKUP("*"&amp;$B150&amp;"*",'S4 - Summ PRS Characteristics'!$C$21:$Q$28,11,FALSE)*$J150</f>
        <v>121.81910396471372</v>
      </c>
      <c r="M150" s="706">
        <f t="shared" si="121"/>
        <v>6.1808960352862812</v>
      </c>
      <c r="N150" s="706">
        <f>IF($C150="other",(1-$C$7)*L150,(1-(VLOOKUP($C150,'S3 - Screening Tool Metrics'!$C$3:$G$17,5,FALSE)/100))*L150)</f>
        <v>40.20030430835552</v>
      </c>
      <c r="O150" s="706">
        <f>IF($C150="other",$C$7*L150,(VLOOKUP($C150,'S3 - Screening Tool Metrics'!$C$3:$G$17,5,FALSE)/100)*L150)</f>
        <v>81.618799656358192</v>
      </c>
      <c r="P150" s="706">
        <f t="shared" si="122"/>
        <v>63.764687231529834</v>
      </c>
      <c r="Q150" s="707">
        <f>$G150*Q$3</f>
        <v>985957.2666666666</v>
      </c>
      <c r="R150" s="706">
        <f>VLOOKUP("*"&amp;$B150&amp;"*",'S4 - Summ PRS Characteristics'!$C$21:$Q$28,12,FALSE)*$J150</f>
        <v>101.62039550207133</v>
      </c>
      <c r="S150" s="706">
        <f>$J150-R150</f>
        <v>26.379604497928668</v>
      </c>
      <c r="T150" s="706">
        <f>IF($C150="other",(1-$C136)*R150,(1-(VLOOKUP($C150,'S3 - Screening Tool Metrics'!$C$3:$G$17,5,FALSE)/100))*R150)</f>
        <v>33.534730515683535</v>
      </c>
      <c r="U150" s="706">
        <f>IF($C150="other",$C136*R150,(VLOOKUP($C150,'S3 - Screening Tool Metrics'!$C$3:$G$17,5,FALSE)/100)*R150)</f>
        <v>68.085664986387798</v>
      </c>
      <c r="V150" s="708">
        <f t="shared" si="113"/>
        <v>53.19192577061547</v>
      </c>
      <c r="W150" s="707">
        <f t="shared" si="114"/>
        <v>492978.6333333333</v>
      </c>
      <c r="X150" s="706">
        <f>VLOOKUP("*"&amp;$B150&amp;"*",'S4 - Summ PRS Characteristics'!$C$21:$Q$28,13,FALSE)*$J150</f>
        <v>82.953702123692224</v>
      </c>
      <c r="Y150" s="706">
        <f t="shared" si="124"/>
        <v>45.046297876307776</v>
      </c>
      <c r="Z150" s="706">
        <f>IF($C150="other",(1-$C136)*X150,(1-(VLOOKUP($C150,'S3 - Screening Tool Metrics'!$C$3:$G$17,5,FALSE)/100))*X150)</f>
        <v>27.37472170081843</v>
      </c>
      <c r="AA150" s="706">
        <f>IF($C150="other",$C136*X150,(VLOOKUP($C150,'S3 - Screening Tool Metrics'!$C$3:$G$17,5,FALSE)/100)*X150)</f>
        <v>55.578980422873791</v>
      </c>
      <c r="AB150" s="708">
        <f t="shared" si="115"/>
        <v>43.42107845537015</v>
      </c>
      <c r="AC150" s="707">
        <f t="shared" si="116"/>
        <v>246489.31666666665</v>
      </c>
      <c r="AD150" s="706">
        <f>VLOOKUP("*"&amp;$B150&amp;"*",'S4 - Summ PRS Characteristics'!$C$21:$Q$28,14,FALSE)*$J150</f>
        <v>64.859306899617266</v>
      </c>
      <c r="AE150" s="706">
        <f t="shared" si="126"/>
        <v>63.140693100382734</v>
      </c>
      <c r="AF150" s="706">
        <f>IF($C150="other",(1-$C136)*AD150,(1-(VLOOKUP($C150,'S3 - Screening Tool Metrics'!$C$3:$G$17,5,FALSE)/100))*AD150)</f>
        <v>21.403571276873695</v>
      </c>
      <c r="AG150" s="706">
        <f>IF($C150="other",$C136*AD150,(VLOOKUP($C150,'S3 - Screening Tool Metrics'!$C$3:$G$17,5,FALSE)/100)*AD150)</f>
        <v>43.455735622743568</v>
      </c>
      <c r="AH150" s="708">
        <f t="shared" si="117"/>
        <v>33.949793455268413</v>
      </c>
      <c r="AI150" s="707">
        <f t="shared" si="118"/>
        <v>49297.863333333335</v>
      </c>
      <c r="AJ150" s="706">
        <f>VLOOKUP("*"&amp;$B150&amp;"*",'S4 - Summ PRS Characteristics'!$C$21:$Q$28,15,FALSE)*$J150</f>
        <v>32.400920957832184</v>
      </c>
      <c r="AK150" s="706">
        <f t="shared" si="125"/>
        <v>95.599079042167816</v>
      </c>
      <c r="AL150" s="706">
        <f>IF($C150="other",(1-$C136)*AJ150,(1-(VLOOKUP($C150,'S3 - Screening Tool Metrics'!$C$3:$G$17,5,FALSE)/100))*AJ150)</f>
        <v>10.692303916084619</v>
      </c>
      <c r="AM150" s="706">
        <f>IF($C150="other",$C136*AJ150,(VLOOKUP($C150,'S3 - Screening Tool Metrics'!$C$3:$G$17,5,FALSE)/100)*AJ150)</f>
        <v>21.708617041747566</v>
      </c>
      <c r="AN150" s="709">
        <f t="shared" si="119"/>
        <v>16.959857063865286</v>
      </c>
    </row>
    <row r="151" spans="2:40" x14ac:dyDescent="0.15">
      <c r="B151" s="700" t="s">
        <v>17</v>
      </c>
      <c r="C151" s="721" t="str">
        <f t="shared" si="127"/>
        <v>Semen assay</v>
      </c>
      <c r="D151" s="552" t="s">
        <v>204</v>
      </c>
      <c r="E151" s="710">
        <f>VLOOKUP($B151&amp;"_"&amp;$D151,'App5 - CRUK Inci Rates'!C:H,6,FALSE)</f>
        <v>5.966108794682853</v>
      </c>
      <c r="F151" s="711">
        <f>VLOOKUP($B151&amp;"_"&amp;$D151,'App5 - CRUK Inci Rates'!C:H,3,FALSE)</f>
        <v>0</v>
      </c>
      <c r="G151" s="712">
        <f>VLOOKUP($B151&amp;"_"&amp;$D151,'App5 - CRUK Inci Rates'!C:J,8,FALSE)</f>
        <v>14565607.666666668</v>
      </c>
      <c r="H151" s="713">
        <f>VLOOKUP($B151&amp;"_"&amp;$D151,'App5 - CRUK Inci Rates'!C:J,7,FALSE)</f>
        <v>14565607.666666668</v>
      </c>
      <c r="I151" s="713">
        <f>VLOOKUP($B151&amp;"_"&amp;$D151,'App5 - CRUK Inci Rates'!C:J,4,FALSE)</f>
        <v>0</v>
      </c>
      <c r="J151" s="709">
        <f>VLOOKUP($B151&amp;"_"&amp;$D151,'App5 - CRUK Inci Rates'!C:K,9,FALSE)</f>
        <v>869</v>
      </c>
      <c r="K151" s="706">
        <f t="shared" si="120"/>
        <v>7282803.833333334</v>
      </c>
      <c r="L151" s="706">
        <f>VLOOKUP("*"&amp;$B151&amp;"*",'S4 - Summ PRS Characteristics'!$C$21:$Q$28,11,FALSE)*$J151</f>
        <v>827.03751051043923</v>
      </c>
      <c r="M151" s="706">
        <f t="shared" si="121"/>
        <v>41.962489489560767</v>
      </c>
      <c r="N151" s="706">
        <f>IF($C151="other",(1-$C$7)*L151,(1-(VLOOKUP($C151,'S3 - Screening Tool Metrics'!$C$3:$G$17,5,FALSE)/100))*L151)</f>
        <v>272.92237846844489</v>
      </c>
      <c r="O151" s="706">
        <f>IF($C151="other",$C$7*L151,(VLOOKUP($C151,'S3 - Screening Tool Metrics'!$C$3:$G$17,5,FALSE)/100)*L151)</f>
        <v>554.11513204199434</v>
      </c>
      <c r="P151" s="706">
        <f t="shared" si="122"/>
        <v>63.764687231529848</v>
      </c>
      <c r="Q151" s="707">
        <f t="shared" si="112"/>
        <v>2913121.5333333337</v>
      </c>
      <c r="R151" s="706">
        <f>VLOOKUP("*"&amp;$B151&amp;"*",'S4 - Summ PRS Characteristics'!$C$21:$Q$28,12,FALSE)*$J151</f>
        <v>689.90721633828116</v>
      </c>
      <c r="S151" s="706">
        <f t="shared" si="123"/>
        <v>179.09278366171884</v>
      </c>
      <c r="T151" s="706">
        <f>IF($C151="other",(1-$C136)*R151,(1-(VLOOKUP($C151,'S3 - Screening Tool Metrics'!$C$3:$G$17,5,FALSE)/100))*R151)</f>
        <v>227.66938139163275</v>
      </c>
      <c r="U151" s="706">
        <f>IF($C151="other",$C136*R151,(VLOOKUP($C151,'S3 - Screening Tool Metrics'!$C$3:$G$17,5,FALSE)/100)*R151)</f>
        <v>462.23783494664838</v>
      </c>
      <c r="V151" s="708">
        <f t="shared" si="113"/>
        <v>53.19192577061547</v>
      </c>
      <c r="W151" s="707">
        <f t="shared" si="114"/>
        <v>1456560.7666666668</v>
      </c>
      <c r="X151" s="706">
        <f>VLOOKUP("*"&amp;$B151&amp;"*",'S4 - Summ PRS Characteristics'!$C$21:$Q$28,13,FALSE)*$J151</f>
        <v>563.17786832412924</v>
      </c>
      <c r="Y151" s="706">
        <f t="shared" si="124"/>
        <v>305.82213167587076</v>
      </c>
      <c r="Z151" s="706">
        <f>IF($C151="other",(1-$C136)*X151,(1-(VLOOKUP($C151,'S3 - Screening Tool Metrics'!$C$3:$G$17,5,FALSE)/100))*X151)</f>
        <v>185.84869654696263</v>
      </c>
      <c r="AA151" s="706">
        <f>IF($C151="other",$C136*X151,(VLOOKUP($C151,'S3 - Screening Tool Metrics'!$C$3:$G$17,5,FALSE)/100)*X151)</f>
        <v>377.32917177716661</v>
      </c>
      <c r="AB151" s="708">
        <f t="shared" si="115"/>
        <v>43.42107845537015</v>
      </c>
      <c r="AC151" s="707">
        <f t="shared" si="116"/>
        <v>728280.38333333342</v>
      </c>
      <c r="AD151" s="706">
        <f>VLOOKUP("*"&amp;$B151&amp;"*",'S4 - Summ PRS Characteristics'!$C$21:$Q$28,14,FALSE)*$J151</f>
        <v>440.33388824818286</v>
      </c>
      <c r="AE151" s="706">
        <f t="shared" si="126"/>
        <v>428.66611175181714</v>
      </c>
      <c r="AF151" s="706">
        <f>IF($C151="other",(1-$C136)*AD151,(1-(VLOOKUP($C151,'S3 - Screening Tool Metrics'!$C$3:$G$17,5,FALSE)/100))*AD151)</f>
        <v>145.31018312190034</v>
      </c>
      <c r="AG151" s="706">
        <f>IF($C151="other",$C136*AD151,(VLOOKUP($C151,'S3 - Screening Tool Metrics'!$C$3:$G$17,5,FALSE)/100)*AD151)</f>
        <v>295.02370512628255</v>
      </c>
      <c r="AH151" s="708">
        <f t="shared" si="117"/>
        <v>33.94979345526842</v>
      </c>
      <c r="AI151" s="707">
        <f t="shared" si="118"/>
        <v>145656.07666666669</v>
      </c>
      <c r="AJ151" s="706">
        <f>VLOOKUP("*"&amp;$B151&amp;"*",'S4 - Summ PRS Characteristics'!$C$21:$Q$28,15,FALSE)*$J151</f>
        <v>219.97187744028255</v>
      </c>
      <c r="AK151" s="706">
        <f t="shared" si="125"/>
        <v>649.02812255971742</v>
      </c>
      <c r="AL151" s="706">
        <f>IF($C151="other",(1-$C136)*AJ151,(1-(VLOOKUP($C151,'S3 - Screening Tool Metrics'!$C$3:$G$17,5,FALSE)/100))*AJ151)</f>
        <v>72.590719555293234</v>
      </c>
      <c r="AM151" s="706">
        <f>IF($C151="other",$C136*AJ151,(VLOOKUP($C151,'S3 - Screening Tool Metrics'!$C$3:$G$17,5,FALSE)/100)*AJ151)</f>
        <v>147.38115788498931</v>
      </c>
      <c r="AN151" s="709">
        <f t="shared" si="119"/>
        <v>16.959857063865282</v>
      </c>
    </row>
    <row r="152" spans="2:40" ht="14" thickBot="1" x14ac:dyDescent="0.2">
      <c r="B152" s="731" t="s">
        <v>17</v>
      </c>
      <c r="C152" s="744" t="str">
        <f t="shared" si="127"/>
        <v>Semen assay</v>
      </c>
      <c r="D152" s="613" t="s">
        <v>205</v>
      </c>
      <c r="E152" s="722">
        <f>VLOOKUP($B152&amp;"_"&amp;$D152,'App5 - CRUK Inci Rates'!C:H,6,FALSE)</f>
        <v>7.2</v>
      </c>
      <c r="F152" s="723">
        <f>VLOOKUP($B152&amp;"_"&amp;$D152,'App5 - CRUK Inci Rates'!C:H,3,FALSE)</f>
        <v>0</v>
      </c>
      <c r="G152" s="724">
        <f>VLOOKUP($B152&amp;"_"&amp;$D152,'App5 - CRUK Inci Rates'!C:J,8,FALSE)</f>
        <v>32583225.666666668</v>
      </c>
      <c r="H152" s="725">
        <f>VLOOKUP($B152&amp;"_"&amp;$D152,'App5 - CRUK Inci Rates'!C:J,7,FALSE)</f>
        <v>32583225.666666668</v>
      </c>
      <c r="I152" s="725">
        <f>VLOOKUP($B152&amp;"_"&amp;$D152,'App5 - CRUK Inci Rates'!C:J,4,FALSE)</f>
        <v>0</v>
      </c>
      <c r="J152" s="732">
        <f>VLOOKUP($B152&amp;"_"&amp;$D152,'App5 - CRUK Inci Rates'!C:K,9,FALSE)</f>
        <v>2354</v>
      </c>
      <c r="K152" s="735"/>
      <c r="L152" s="735"/>
      <c r="M152" s="735"/>
      <c r="N152" s="735"/>
      <c r="O152" s="735"/>
      <c r="P152" s="735"/>
      <c r="Q152" s="734"/>
      <c r="R152" s="735"/>
      <c r="S152" s="735"/>
      <c r="T152" s="735"/>
      <c r="U152" s="735"/>
      <c r="V152" s="745"/>
      <c r="W152" s="734"/>
      <c r="X152" s="735"/>
      <c r="Y152" s="735"/>
      <c r="Z152" s="735"/>
      <c r="AA152" s="735"/>
      <c r="AB152" s="745"/>
      <c r="AC152" s="734"/>
      <c r="AD152" s="735"/>
      <c r="AE152" s="735"/>
      <c r="AF152" s="735"/>
      <c r="AG152" s="735"/>
      <c r="AH152" s="745"/>
      <c r="AI152" s="734"/>
      <c r="AJ152" s="735"/>
      <c r="AK152" s="735"/>
      <c r="AL152" s="735"/>
      <c r="AM152" s="735"/>
      <c r="AN152" s="736"/>
    </row>
    <row r="154" spans="2:40" x14ac:dyDescent="0.15">
      <c r="B154" s="1035" t="s">
        <v>382</v>
      </c>
      <c r="C154" s="1035"/>
      <c r="D154" s="1035"/>
      <c r="E154" s="1035"/>
      <c r="F154" s="1035"/>
      <c r="G154" s="1035"/>
      <c r="H154" s="1035"/>
      <c r="I154" s="1035"/>
      <c r="J154" s="1035"/>
      <c r="K154" s="1035"/>
      <c r="L154" s="1035"/>
      <c r="M154" s="1035"/>
      <c r="N154" s="1035"/>
      <c r="O154" s="1035"/>
      <c r="P154" s="1035"/>
      <c r="Q154" s="1035"/>
      <c r="R154" s="1035"/>
      <c r="S154" s="1035"/>
      <c r="T154" s="1035"/>
      <c r="U154" s="1035"/>
      <c r="V154" s="1035"/>
      <c r="W154" s="1035"/>
      <c r="X154" s="1035"/>
      <c r="Y154" s="1035"/>
      <c r="Z154" s="1035"/>
      <c r="AA154" s="1035"/>
      <c r="AB154" s="1035"/>
      <c r="AC154" s="1035"/>
      <c r="AD154" s="1035"/>
      <c r="AE154" s="1035"/>
      <c r="AF154" s="1035"/>
      <c r="AG154" s="1035"/>
      <c r="AH154" s="1035"/>
      <c r="AI154" s="1035"/>
      <c r="AJ154" s="1035"/>
      <c r="AK154" s="1035"/>
      <c r="AL154" s="1035"/>
      <c r="AM154" s="1035"/>
      <c r="AN154" s="1035"/>
    </row>
  </sheetData>
  <mergeCells count="57">
    <mergeCell ref="B2:B6"/>
    <mergeCell ref="K2:P2"/>
    <mergeCell ref="B154:AN154"/>
    <mergeCell ref="AI4:AN4"/>
    <mergeCell ref="AN5:AN6"/>
    <mergeCell ref="AL5:AL6"/>
    <mergeCell ref="AM5:AM6"/>
    <mergeCell ref="AJ5:AJ6"/>
    <mergeCell ref="AF5:AF6"/>
    <mergeCell ref="AG5:AG6"/>
    <mergeCell ref="AI5:AI6"/>
    <mergeCell ref="AH5:AH6"/>
    <mergeCell ref="AE5:AE6"/>
    <mergeCell ref="AD5:AD6"/>
    <mergeCell ref="AK5:AK6"/>
    <mergeCell ref="AC5:AC6"/>
    <mergeCell ref="Q5:Q6"/>
    <mergeCell ref="U5:U6"/>
    <mergeCell ref="AB5:AB6"/>
    <mergeCell ref="R5:R6"/>
    <mergeCell ref="S5:S6"/>
    <mergeCell ref="T5:T6"/>
    <mergeCell ref="W5:W6"/>
    <mergeCell ref="V5:V6"/>
    <mergeCell ref="X5:X6"/>
    <mergeCell ref="Y5:Y6"/>
    <mergeCell ref="Z5:Z6"/>
    <mergeCell ref="AA5:AA6"/>
    <mergeCell ref="AI2:AN2"/>
    <mergeCell ref="AI3:AN3"/>
    <mergeCell ref="Q2:V2"/>
    <mergeCell ref="Q3:V3"/>
    <mergeCell ref="Q4:V4"/>
    <mergeCell ref="W2:AB2"/>
    <mergeCell ref="W3:AB3"/>
    <mergeCell ref="W4:AB4"/>
    <mergeCell ref="AC2:AH2"/>
    <mergeCell ref="AC3:AH3"/>
    <mergeCell ref="AC4:AH4"/>
    <mergeCell ref="C2:C6"/>
    <mergeCell ref="D2:D6"/>
    <mergeCell ref="E2:F4"/>
    <mergeCell ref="G2:J4"/>
    <mergeCell ref="G5:G6"/>
    <mergeCell ref="E5:E6"/>
    <mergeCell ref="H5:H6"/>
    <mergeCell ref="I5:I6"/>
    <mergeCell ref="J5:J6"/>
    <mergeCell ref="F5:F6"/>
    <mergeCell ref="K3:P3"/>
    <mergeCell ref="K4:P4"/>
    <mergeCell ref="K5:K6"/>
    <mergeCell ref="L5:L6"/>
    <mergeCell ref="M5:M6"/>
    <mergeCell ref="N5:N6"/>
    <mergeCell ref="O5:O6"/>
    <mergeCell ref="P5:P6"/>
  </mergeCells>
  <dataValidations count="18">
    <dataValidation type="list" allowBlank="1" showInputMessage="1" showErrorMessage="1" sqref="C8" xr:uid="{11FFC8D4-5645-EE44-B9EC-0F8DEC36F6E0}">
      <formula1>Breast_sensitivity</formula1>
    </dataValidation>
    <dataValidation allowBlank="1" showInputMessage="1" showErrorMessage="1" promptTitle="Breast screening sensitivity" prompt="Select 'other' below and input screening sensitivity here. _x000a_" sqref="C7" xr:uid="{7620826E-08A4-B549-91F1-CD09ECB46A0B}"/>
    <dataValidation type="list" allowBlank="1" showInputMessage="1" showErrorMessage="1" sqref="C24" xr:uid="{4EA10DC3-6EF8-7242-BCB1-54C34C2DB25C}">
      <formula1>Prostate_sensitivity</formula1>
    </dataValidation>
    <dataValidation type="list" allowBlank="1" showInputMessage="1" showErrorMessage="1" sqref="C41" xr:uid="{B558B751-6945-E649-B205-753431E72150}">
      <formula1>Colorectal_Sensitivity</formula1>
    </dataValidation>
    <dataValidation type="list" allowBlank="1" showInputMessage="1" showErrorMessage="1" sqref="C57" xr:uid="{EF2EEDBE-5C1F-4F48-B30C-09CA36EFE379}">
      <formula1>Pancreas_Sensitivity</formula1>
    </dataValidation>
    <dataValidation type="list" allowBlank="1" showInputMessage="1" showErrorMessage="1" sqref="C73" xr:uid="{9931BF9C-F369-B34D-B1A7-ED618DB7B2CB}">
      <formula1>Ovary_sensitivity</formula1>
    </dataValidation>
    <dataValidation type="list" allowBlank="1" showInputMessage="1" showErrorMessage="1" sqref="C89" xr:uid="{4C5B6D51-27FF-264D-B841-17CF36390F61}">
      <formula1>Kidney_sensitivity</formula1>
    </dataValidation>
    <dataValidation type="list" allowBlank="1" showInputMessage="1" showErrorMessage="1" sqref="C105" xr:uid="{11E83046-C9AB-CB41-B934-B71F1B11259A}">
      <formula1>CLL_sensitivity</formula1>
    </dataValidation>
    <dataValidation type="list" allowBlank="1" showInputMessage="1" showErrorMessage="1" sqref="C121" xr:uid="{024914BD-D95E-E143-8FA5-05F441E6C450}">
      <formula1>Lung_sensitivity</formula1>
    </dataValidation>
    <dataValidation type="list" allowBlank="1" showInputMessage="1" showErrorMessage="1" sqref="C137" xr:uid="{219CDFFC-8B54-3C42-8CDF-82B6BE1DC7B2}">
      <formula1>Testis_sensitivity</formula1>
    </dataValidation>
    <dataValidation allowBlank="1" showInputMessage="1" showErrorMessage="1" promptTitle="CLL screening sensitivity" prompt="Select 'other' below and input screening sensitivity here._x000a_" sqref="C104" xr:uid="{A50EC40A-3845-5B4A-9632-38FC1AB32206}"/>
    <dataValidation allowBlank="1" showInputMessage="1" showErrorMessage="1" promptTitle="Prostate screening sensitivity" prompt="Select 'other' below and input screening sensitivity here. _x000a_" sqref="C23" xr:uid="{971B7820-0B43-7A4B-8C83-DCF94DB8A4D5}"/>
    <dataValidation allowBlank="1" showInputMessage="1" showErrorMessage="1" promptTitle="Colorectal screening sensitivity" prompt="Select 'other' below and input screening sensitivity here. _x000a_" sqref="C40" xr:uid="{57D53D60-6C87-034A-8AF5-143E7353DC09}"/>
    <dataValidation allowBlank="1" showInputMessage="1" showErrorMessage="1" promptTitle="Pancreas screening sensitivity" prompt="Select 'other' below and input screening sensitivity here. _x000a_" sqref="C56" xr:uid="{649B5F5A-059A-6848-8A08-B0DD7A7C4AAE}"/>
    <dataValidation allowBlank="1" showInputMessage="1" showErrorMessage="1" promptTitle="Ovary screening sensitivity" prompt="Select 'other' below and input screening sensitivity here. _x000a_" sqref="C72" xr:uid="{B5200067-B3F6-1E4D-9888-A54CEAD00176}"/>
    <dataValidation allowBlank="1" showInputMessage="1" showErrorMessage="1" promptTitle="Kidney screening sensitivity" prompt="Select 'other' below and input screening sensitivity here. _x000a_" sqref="C88" xr:uid="{5A264FE7-FFE2-4C41-97AC-EB0277B8F354}"/>
    <dataValidation allowBlank="1" showInputMessage="1" showErrorMessage="1" promptTitle="Lung screening sensitivity" prompt="Select 'other' below and input screening sensitivity here. _x000a_" sqref="C120" xr:uid="{6EAAEC76-BF12-4845-9053-9BBC40E259DE}"/>
    <dataValidation allowBlank="1" showInputMessage="1" showErrorMessage="1" promptTitle="Testis screening sensitivity" prompt="Select 'other' below and input screening sensitivity here. _x000a_" sqref="C136" xr:uid="{9D20836F-AB88-244D-AF3F-0CECABC2242D}"/>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822A-91A5-43F3-8150-59DDABFE5EDF}">
  <dimension ref="B1:AN154"/>
  <sheetViews>
    <sheetView zoomScale="90" zoomScaleNormal="90" workbookViewId="0">
      <selection activeCell="AJ51" sqref="AJ51"/>
    </sheetView>
  </sheetViews>
  <sheetFormatPr baseColWidth="10" defaultColWidth="11.1640625" defaultRowHeight="13" x14ac:dyDescent="0.15"/>
  <cols>
    <col min="1" max="1" width="3.83203125" style="546" customWidth="1"/>
    <col min="2" max="2" width="8.83203125" style="546" customWidth="1"/>
    <col min="3" max="3" width="12.5" style="740" hidden="1" customWidth="1"/>
    <col min="4" max="4" width="14.33203125" style="546" customWidth="1"/>
    <col min="5" max="6" width="8.33203125" style="546" customWidth="1"/>
    <col min="7" max="7" width="9.83203125" style="706" customWidth="1"/>
    <col min="8" max="9" width="12.83203125" style="546" hidden="1" customWidth="1"/>
    <col min="10" max="10" width="9.83203125" style="546" customWidth="1"/>
    <col min="11" max="16" width="8.33203125" style="546" customWidth="1"/>
    <col min="17" max="22" width="8.33203125" style="706" customWidth="1"/>
    <col min="23" max="40" width="8.33203125" style="546" customWidth="1"/>
    <col min="41" max="16384" width="11.1640625" style="546"/>
  </cols>
  <sheetData>
    <row r="1" spans="2:40" ht="14" thickBot="1" x14ac:dyDescent="0.2">
      <c r="B1" s="737"/>
      <c r="C1" s="738"/>
    </row>
    <row r="2" spans="2:40" ht="13" customHeight="1" x14ac:dyDescent="0.15">
      <c r="B2" s="1161" t="s">
        <v>181</v>
      </c>
      <c r="C2" s="1116" t="s">
        <v>207</v>
      </c>
      <c r="D2" s="1136" t="s">
        <v>182</v>
      </c>
      <c r="E2" s="1164" t="s">
        <v>183</v>
      </c>
      <c r="F2" s="1164"/>
      <c r="G2" s="1166" t="s">
        <v>184</v>
      </c>
      <c r="H2" s="1167"/>
      <c r="I2" s="1167"/>
      <c r="J2" s="1168"/>
      <c r="K2" s="1087" t="s">
        <v>208</v>
      </c>
      <c r="L2" s="1088"/>
      <c r="M2" s="1088"/>
      <c r="N2" s="1088"/>
      <c r="O2" s="1088"/>
      <c r="P2" s="1089"/>
      <c r="Q2" s="1104" t="s">
        <v>208</v>
      </c>
      <c r="R2" s="1105"/>
      <c r="S2" s="1105"/>
      <c r="T2" s="1105"/>
      <c r="U2" s="1105"/>
      <c r="V2" s="1105"/>
      <c r="W2" s="1087" t="s">
        <v>208</v>
      </c>
      <c r="X2" s="1088"/>
      <c r="Y2" s="1088"/>
      <c r="Z2" s="1088"/>
      <c r="AA2" s="1088"/>
      <c r="AB2" s="1088"/>
      <c r="AC2" s="1104" t="s">
        <v>208</v>
      </c>
      <c r="AD2" s="1105"/>
      <c r="AE2" s="1105"/>
      <c r="AF2" s="1105"/>
      <c r="AG2" s="1105"/>
      <c r="AH2" s="1105"/>
      <c r="AI2" s="1087" t="s">
        <v>208</v>
      </c>
      <c r="AJ2" s="1088"/>
      <c r="AK2" s="1088"/>
      <c r="AL2" s="1088"/>
      <c r="AM2" s="1088"/>
      <c r="AN2" s="1089"/>
    </row>
    <row r="3" spans="2:40" ht="13" customHeight="1" x14ac:dyDescent="0.15">
      <c r="B3" s="1162"/>
      <c r="C3" s="1117"/>
      <c r="D3" s="1137"/>
      <c r="E3" s="1165"/>
      <c r="F3" s="1165"/>
      <c r="G3" s="1169"/>
      <c r="H3" s="1170"/>
      <c r="I3" s="1170"/>
      <c r="J3" s="1171"/>
      <c r="K3" s="1090">
        <v>0.5</v>
      </c>
      <c r="L3" s="1147"/>
      <c r="M3" s="1147"/>
      <c r="N3" s="1147"/>
      <c r="O3" s="1147"/>
      <c r="P3" s="1148"/>
      <c r="Q3" s="1159">
        <v>0.2</v>
      </c>
      <c r="R3" s="1160"/>
      <c r="S3" s="1160"/>
      <c r="T3" s="1160"/>
      <c r="U3" s="1160"/>
      <c r="V3" s="1160"/>
      <c r="W3" s="1157">
        <v>0.1</v>
      </c>
      <c r="X3" s="1158"/>
      <c r="Y3" s="1158"/>
      <c r="Z3" s="1158"/>
      <c r="AA3" s="1158"/>
      <c r="AB3" s="1158"/>
      <c r="AC3" s="1159">
        <v>0.05</v>
      </c>
      <c r="AD3" s="1160"/>
      <c r="AE3" s="1160"/>
      <c r="AF3" s="1160"/>
      <c r="AG3" s="1160"/>
      <c r="AH3" s="1160"/>
      <c r="AI3" s="1157">
        <v>0.01</v>
      </c>
      <c r="AJ3" s="1158"/>
      <c r="AK3" s="1158"/>
      <c r="AL3" s="1158"/>
      <c r="AM3" s="1158"/>
      <c r="AN3" s="1177"/>
    </row>
    <row r="4" spans="2:40" ht="13" customHeight="1" x14ac:dyDescent="0.15">
      <c r="B4" s="1162"/>
      <c r="C4" s="1117"/>
      <c r="D4" s="1137"/>
      <c r="E4" s="1165"/>
      <c r="F4" s="1165"/>
      <c r="G4" s="1169"/>
      <c r="H4" s="1170"/>
      <c r="I4" s="1170"/>
      <c r="J4" s="1171"/>
      <c r="K4" s="1093" t="s">
        <v>185</v>
      </c>
      <c r="L4" s="1094"/>
      <c r="M4" s="1094"/>
      <c r="N4" s="1094"/>
      <c r="O4" s="1094"/>
      <c r="P4" s="1095"/>
      <c r="Q4" s="1178" t="s">
        <v>185</v>
      </c>
      <c r="R4" s="1179"/>
      <c r="S4" s="1179"/>
      <c r="T4" s="1179"/>
      <c r="U4" s="1179"/>
      <c r="V4" s="1179"/>
      <c r="W4" s="1180" t="s">
        <v>185</v>
      </c>
      <c r="X4" s="1181"/>
      <c r="Y4" s="1181"/>
      <c r="Z4" s="1181"/>
      <c r="AA4" s="1181"/>
      <c r="AB4" s="1181"/>
      <c r="AC4" s="1178" t="s">
        <v>185</v>
      </c>
      <c r="AD4" s="1179"/>
      <c r="AE4" s="1179"/>
      <c r="AF4" s="1179"/>
      <c r="AG4" s="1179"/>
      <c r="AH4" s="1179"/>
      <c r="AI4" s="1182" t="s">
        <v>185</v>
      </c>
      <c r="AJ4" s="1183"/>
      <c r="AK4" s="1183"/>
      <c r="AL4" s="1183"/>
      <c r="AM4" s="1183"/>
      <c r="AN4" s="1184"/>
    </row>
    <row r="5" spans="2:40" ht="45" customHeight="1" x14ac:dyDescent="0.15">
      <c r="B5" s="1162"/>
      <c r="C5" s="1117"/>
      <c r="D5" s="1137"/>
      <c r="E5" s="1173" t="s">
        <v>40</v>
      </c>
      <c r="F5" s="1173" t="s">
        <v>41</v>
      </c>
      <c r="G5" s="1175" t="s">
        <v>209</v>
      </c>
      <c r="H5" s="1176" t="s">
        <v>187</v>
      </c>
      <c r="I5" s="1176" t="s">
        <v>188</v>
      </c>
      <c r="J5" s="1172" t="s">
        <v>189</v>
      </c>
      <c r="K5" s="1096" t="s">
        <v>354</v>
      </c>
      <c r="L5" s="1098" t="s">
        <v>346</v>
      </c>
      <c r="M5" s="1100" t="s">
        <v>355</v>
      </c>
      <c r="N5" s="1100" t="s">
        <v>356</v>
      </c>
      <c r="O5" s="1098" t="s">
        <v>357</v>
      </c>
      <c r="P5" s="1102" t="s">
        <v>212</v>
      </c>
      <c r="Q5" s="1112" t="s">
        <v>354</v>
      </c>
      <c r="R5" s="1114" t="s">
        <v>346</v>
      </c>
      <c r="S5" s="1145" t="s">
        <v>355</v>
      </c>
      <c r="T5" s="1145" t="s">
        <v>356</v>
      </c>
      <c r="U5" s="1114" t="s">
        <v>357</v>
      </c>
      <c r="V5" s="1110" t="s">
        <v>212</v>
      </c>
      <c r="W5" s="1096" t="s">
        <v>354</v>
      </c>
      <c r="X5" s="1098" t="s">
        <v>346</v>
      </c>
      <c r="Y5" s="1100" t="s">
        <v>355</v>
      </c>
      <c r="Z5" s="1100" t="s">
        <v>356</v>
      </c>
      <c r="AA5" s="1098" t="s">
        <v>357</v>
      </c>
      <c r="AB5" s="1102" t="s">
        <v>212</v>
      </c>
      <c r="AC5" s="1112" t="s">
        <v>354</v>
      </c>
      <c r="AD5" s="1114" t="s">
        <v>346</v>
      </c>
      <c r="AE5" s="1145" t="s">
        <v>355</v>
      </c>
      <c r="AF5" s="1145" t="s">
        <v>356</v>
      </c>
      <c r="AG5" s="1114" t="s">
        <v>357</v>
      </c>
      <c r="AH5" s="1114" t="s">
        <v>212</v>
      </c>
      <c r="AI5" s="1096" t="s">
        <v>354</v>
      </c>
      <c r="AJ5" s="1098" t="s">
        <v>346</v>
      </c>
      <c r="AK5" s="1100" t="s">
        <v>355</v>
      </c>
      <c r="AL5" s="1100" t="s">
        <v>356</v>
      </c>
      <c r="AM5" s="1098" t="s">
        <v>357</v>
      </c>
      <c r="AN5" s="1102" t="s">
        <v>212</v>
      </c>
    </row>
    <row r="6" spans="2:40" ht="45" customHeight="1" thickBot="1" x14ac:dyDescent="0.2">
      <c r="B6" s="1163"/>
      <c r="C6" s="1118"/>
      <c r="D6" s="1138"/>
      <c r="E6" s="1174"/>
      <c r="F6" s="1174"/>
      <c r="G6" s="1141"/>
      <c r="H6" s="1134"/>
      <c r="I6" s="1134"/>
      <c r="J6" s="1143"/>
      <c r="K6" s="1097"/>
      <c r="L6" s="1099"/>
      <c r="M6" s="1101"/>
      <c r="N6" s="1101"/>
      <c r="O6" s="1099"/>
      <c r="P6" s="1103"/>
      <c r="Q6" s="1113"/>
      <c r="R6" s="1115"/>
      <c r="S6" s="1146"/>
      <c r="T6" s="1146"/>
      <c r="U6" s="1115"/>
      <c r="V6" s="1111"/>
      <c r="W6" s="1097"/>
      <c r="X6" s="1099"/>
      <c r="Y6" s="1101"/>
      <c r="Z6" s="1101"/>
      <c r="AA6" s="1099"/>
      <c r="AB6" s="1103"/>
      <c r="AC6" s="1113"/>
      <c r="AD6" s="1115"/>
      <c r="AE6" s="1146"/>
      <c r="AF6" s="1146"/>
      <c r="AG6" s="1115"/>
      <c r="AH6" s="1115"/>
      <c r="AI6" s="1097"/>
      <c r="AJ6" s="1099"/>
      <c r="AK6" s="1101"/>
      <c r="AL6" s="1101"/>
      <c r="AM6" s="1099"/>
      <c r="AN6" s="1103"/>
    </row>
    <row r="7" spans="2:40" ht="21" customHeight="1" thickBot="1" x14ac:dyDescent="0.2">
      <c r="B7" s="686" t="s">
        <v>8</v>
      </c>
      <c r="C7" s="687">
        <v>0.8</v>
      </c>
      <c r="D7" s="688"/>
      <c r="E7" s="689"/>
      <c r="F7" s="690"/>
      <c r="G7" s="691"/>
      <c r="H7" s="692"/>
      <c r="I7" s="692"/>
      <c r="J7" s="693"/>
      <c r="K7" s="694"/>
      <c r="L7" s="694"/>
      <c r="M7" s="694"/>
      <c r="N7" s="694"/>
      <c r="O7" s="694"/>
      <c r="P7" s="694"/>
      <c r="Q7" s="695"/>
      <c r="R7" s="696"/>
      <c r="S7" s="696"/>
      <c r="T7" s="696"/>
      <c r="U7" s="696"/>
      <c r="V7" s="697"/>
      <c r="W7" s="695"/>
      <c r="X7" s="696"/>
      <c r="Y7" s="696"/>
      <c r="Z7" s="696"/>
      <c r="AA7" s="696"/>
      <c r="AB7" s="697"/>
      <c r="AC7" s="696"/>
      <c r="AD7" s="696"/>
      <c r="AE7" s="696"/>
      <c r="AF7" s="698"/>
      <c r="AG7" s="696"/>
      <c r="AH7" s="697"/>
      <c r="AI7" s="695"/>
      <c r="AJ7" s="696"/>
      <c r="AK7" s="696"/>
      <c r="AL7" s="696"/>
      <c r="AM7" s="696"/>
      <c r="AN7" s="699"/>
    </row>
    <row r="8" spans="2:40" x14ac:dyDescent="0.15">
      <c r="B8" s="700" t="s">
        <v>8</v>
      </c>
      <c r="C8" s="741" t="s">
        <v>180</v>
      </c>
      <c r="D8" s="593" t="s">
        <v>192</v>
      </c>
      <c r="E8" s="701">
        <f>VLOOKUP($B8&amp;"_"&amp;$D8,'App5 - CRUK Inci Rates'!C:H,6,FALSE)</f>
        <v>0</v>
      </c>
      <c r="F8" s="702">
        <f>VLOOKUP($B8&amp;"_"&amp;$D8,'App5 - CRUK Inci Rates'!C:H,3,FALSE)</f>
        <v>124.6</v>
      </c>
      <c r="G8" s="703">
        <f>VLOOKUP($B8&amp;"_"&amp;$D8,'App5 - CRUK Inci Rates'!C:J,8,FALSE)</f>
        <v>2054223.3333333333</v>
      </c>
      <c r="H8" s="704">
        <f>VLOOKUP($B8&amp;"_"&amp;$D8,'App5 - CRUK Inci Rates'!C:J,7,FALSE)</f>
        <v>0</v>
      </c>
      <c r="I8" s="704">
        <f>VLOOKUP($B8&amp;"_"&amp;$D8,'App5 - CRUK Inci Rates'!C:J,4,FALSE)</f>
        <v>2054223.3333333333</v>
      </c>
      <c r="J8" s="705">
        <f>VLOOKUP($B8&amp;"_"&amp;$D8,'App5 - CRUK Inci Rates'!C:K,9,FALSE)</f>
        <v>2559</v>
      </c>
      <c r="K8" s="706">
        <f>$G8*$K$3</f>
        <v>1027111.6666666666</v>
      </c>
      <c r="L8" s="706">
        <f>VLOOKUP("*"&amp;$B8&amp;"*",'S4 - Summ PRS Characteristics'!$C$5:$Q$12,11,FALSE)*$J8</f>
        <v>1785.8581995739924</v>
      </c>
      <c r="M8" s="706">
        <f>$J8-$L8</f>
        <v>773.14180042600765</v>
      </c>
      <c r="N8" s="706">
        <f>IF($C8="other",(1-$C$7)*L8,(1-(VLOOKUP($C8,'S3 - Screening Tool Metrics'!$C$3:$G$17,5,FALSE)/100))*L8)</f>
        <v>357.17163991479839</v>
      </c>
      <c r="O8" s="706">
        <f>IF($C8="other",$C$7*L8,(VLOOKUP($C8,'S3 - Screening Tool Metrics'!$C$3:$G$17,5,FALSE)/100)*L8)</f>
        <v>1428.686559659194</v>
      </c>
      <c r="P8" s="706">
        <f>O8/J8*100</f>
        <v>55.829877282500739</v>
      </c>
      <c r="Q8" s="707">
        <f t="shared" ref="Q8:Q21" si="0">$G8*Q$3</f>
        <v>410844.66666666669</v>
      </c>
      <c r="R8" s="706">
        <f>VLOOKUP("*"&amp;$B8&amp;"*",'S4 - Summ PRS Characteristics'!$C$5:$Q$12,12,FALSE)*$J8</f>
        <v>955.07961416628802</v>
      </c>
      <c r="S8" s="706">
        <f>$J8-R8</f>
        <v>1603.9203858337119</v>
      </c>
      <c r="T8" s="706">
        <f>IF($C8="other",(1-$C7)*R8,(1-(VLOOKUP($C8,'S3 - Screening Tool Metrics'!$C$3:$G$17,5,FALSE)/100))*R8)</f>
        <v>191.01592283325758</v>
      </c>
      <c r="U8" s="706">
        <f>IF($C8="other",$C7*R8,(VLOOKUP($C8,'S3 - Screening Tool Metrics'!$C$3:$G$17,5,FALSE)/100)*R8)</f>
        <v>764.06369133303042</v>
      </c>
      <c r="V8" s="708">
        <f t="shared" ref="V8:V21" si="1">$U8/$J8*100</f>
        <v>29.857901185347025</v>
      </c>
      <c r="W8" s="707">
        <f t="shared" ref="W8:W21" si="2">$G8*W$3</f>
        <v>205422.33333333334</v>
      </c>
      <c r="X8" s="706">
        <f>VLOOKUP("*"&amp;$B8&amp;"*",'S4 - Summ PRS Characteristics'!$C$5:$Q$12,13,FALSE)*$J8</f>
        <v>569.77399305665142</v>
      </c>
      <c r="Y8" s="706">
        <f>$J8-X8</f>
        <v>1989.2260069433487</v>
      </c>
      <c r="Z8" s="706">
        <f>IF($C8="other",(1-$C7)*X8,(1-(VLOOKUP($C8,'S3 - Screening Tool Metrics'!$C$3:$G$17,5,FALSE)/100))*X8)</f>
        <v>113.95479861133026</v>
      </c>
      <c r="AA8" s="706">
        <f>IF($C8="other",$C7*X8,(VLOOKUP($C8,'S3 - Screening Tool Metrics'!$C$3:$G$17,5,FALSE)/100)*X8)</f>
        <v>455.81919444532116</v>
      </c>
      <c r="AB8" s="708">
        <f t="shared" ref="AB8:AB21" si="3">$AA8/$J8*100</f>
        <v>17.812395249914857</v>
      </c>
      <c r="AC8" s="706">
        <f t="shared" ref="AC8:AC21" si="4">$G8*AC$3</f>
        <v>102711.16666666667</v>
      </c>
      <c r="AD8" s="706">
        <f>VLOOKUP("*"&amp;$B8&amp;"*",'S4 - Summ PRS Characteristics'!$C$5:$Q$12,14,FALSE)*$J8</f>
        <v>332.57886363100272</v>
      </c>
      <c r="AE8" s="706">
        <f>$J8-AD8</f>
        <v>2226.4211363689974</v>
      </c>
      <c r="AF8" s="706">
        <f>IF($C8="other",(1-$C7)*AD8,(1-(VLOOKUP($C8,'S3 - Screening Tool Metrics'!$C$3:$G$17,5,FALSE)/100))*AD8)</f>
        <v>66.515772726200524</v>
      </c>
      <c r="AG8" s="706">
        <f>IF($C8="other",$C7*AD8,(VLOOKUP($C8,'S3 - Screening Tool Metrics'!$C$3:$G$17,5,FALSE)/100)*AD8)</f>
        <v>266.06309090480221</v>
      </c>
      <c r="AH8" s="708">
        <f t="shared" ref="AH8:AH21" si="5">$AG8/$J8*100</f>
        <v>10.39715087552959</v>
      </c>
      <c r="AI8" s="707">
        <f t="shared" ref="AI8:AI21" si="6">$G8*AI$3</f>
        <v>20542.233333333334</v>
      </c>
      <c r="AJ8" s="706">
        <f>VLOOKUP("*"&amp;$B8&amp;"*",'S4 - Summ PRS Characteristics'!$C$5:$Q$12,15,FALSE)*$J8</f>
        <v>90.330315474518386</v>
      </c>
      <c r="AK8" s="706">
        <f>$J8-AJ8</f>
        <v>2468.6696845254814</v>
      </c>
      <c r="AL8" s="706">
        <f>IF($C8="other",(1-$C7)*AJ8,(1-(VLOOKUP($C8,'S3 - Screening Tool Metrics'!$C$3:$G$17,5,FALSE)/100))*AJ8)</f>
        <v>18.066063094903672</v>
      </c>
      <c r="AM8" s="706">
        <f>IF($C8="other",$C7*AJ8,(VLOOKUP($C8,'S3 - Screening Tool Metrics'!$C$3:$G$17,5,FALSE)/100)*AJ8)</f>
        <v>72.264252379614717</v>
      </c>
      <c r="AN8" s="709">
        <f t="shared" ref="AN8:AN21" si="7">$AM8/$J8*100</f>
        <v>2.823925454459348</v>
      </c>
    </row>
    <row r="9" spans="2:40" x14ac:dyDescent="0.15">
      <c r="B9" s="700" t="s">
        <v>8</v>
      </c>
      <c r="C9" s="721" t="str">
        <f>$C8</f>
        <v>Other</v>
      </c>
      <c r="D9" s="552" t="s">
        <v>193</v>
      </c>
      <c r="E9" s="710">
        <f>VLOOKUP($B9&amp;"_"&amp;$D9,'App5 - CRUK Inci Rates'!C:H,6,FALSE)</f>
        <v>0</v>
      </c>
      <c r="F9" s="711">
        <f>VLOOKUP($B9&amp;"_"&amp;$D9,'App5 - CRUK Inci Rates'!C:H,3,FALSE)</f>
        <v>214.8</v>
      </c>
      <c r="G9" s="712">
        <f>VLOOKUP($B9&amp;"_"&amp;$D9,'App5 - CRUK Inci Rates'!C:J,8,FALSE)</f>
        <v>2315479.3333333335</v>
      </c>
      <c r="H9" s="713">
        <f>VLOOKUP($B9&amp;"_"&amp;$D9,'App5 - CRUK Inci Rates'!C:J,7,FALSE)</f>
        <v>0</v>
      </c>
      <c r="I9" s="713">
        <f>VLOOKUP($B9&amp;"_"&amp;$D9,'App5 - CRUK Inci Rates'!C:J,4,FALSE)</f>
        <v>2315479.3333333335</v>
      </c>
      <c r="J9" s="709">
        <f>VLOOKUP($B9&amp;"_"&amp;$D9,'App5 - CRUK Inci Rates'!C:K,9,FALSE)</f>
        <v>4974</v>
      </c>
      <c r="K9" s="706">
        <f t="shared" ref="K9:K73" si="8">$G9*$K$3</f>
        <v>1157739.6666666667</v>
      </c>
      <c r="L9" s="706">
        <f>VLOOKUP("*"&amp;$B9&amp;"*",'S4 - Summ PRS Characteristics'!$C$5:$Q$12,11,FALSE)*$J9</f>
        <v>3471.2226200394834</v>
      </c>
      <c r="M9" s="706">
        <f t="shared" ref="M9:M73" si="9">$J9-$L9</f>
        <v>1502.7773799605166</v>
      </c>
      <c r="N9" s="706">
        <f>IF($C9="other",(1-$C$7)*L9,(1-(VLOOKUP($C9,'S3 - Screening Tool Metrics'!$C$3:$G$17,5,FALSE)/100))*L9)</f>
        <v>694.24452400789653</v>
      </c>
      <c r="O9" s="706">
        <f>IF($C9="other",$C$7*L9,(VLOOKUP($C9,'S3 - Screening Tool Metrics'!$C$3:$G$17,5,FALSE)/100)*L9)</f>
        <v>2776.978096031587</v>
      </c>
      <c r="P9" s="706">
        <f t="shared" ref="P9:P73" si="10">O9/J9*100</f>
        <v>55.829877282500739</v>
      </c>
      <c r="Q9" s="707">
        <f t="shared" si="0"/>
        <v>463095.8666666667</v>
      </c>
      <c r="R9" s="706">
        <f>VLOOKUP("*"&amp;$B9&amp;"*",'S4 - Summ PRS Characteristics'!$C$5:$Q$12,12,FALSE)*$J9</f>
        <v>1856.4150061989515</v>
      </c>
      <c r="S9" s="706">
        <f t="shared" ref="S9:S21" si="11">$J9-R9</f>
        <v>3117.5849938010488</v>
      </c>
      <c r="T9" s="706">
        <f>IF($C9="other",(1-$C7)*R9,(1-(VLOOKUP($C9,'S3 - Screening Tool Metrics'!$C$3:$G$17,5,FALSE)/100))*R9)</f>
        <v>371.28300123979022</v>
      </c>
      <c r="U9" s="706">
        <f>IF($C9="other",$C7*R9,(VLOOKUP($C9,'S3 - Screening Tool Metrics'!$C$3:$G$17,5,FALSE)/100)*R9)</f>
        <v>1485.1320049591613</v>
      </c>
      <c r="V9" s="708">
        <f t="shared" si="1"/>
        <v>29.857901185347028</v>
      </c>
      <c r="W9" s="707">
        <f t="shared" si="2"/>
        <v>231547.93333333335</v>
      </c>
      <c r="X9" s="706">
        <f>VLOOKUP("*"&amp;$B9&amp;"*",'S4 - Summ PRS Characteristics'!$C$5:$Q$12,13,FALSE)*$J9</f>
        <v>1107.4856746634562</v>
      </c>
      <c r="Y9" s="706">
        <f t="shared" ref="Y9:Y21" si="12">$J9-X9</f>
        <v>3866.5143253365441</v>
      </c>
      <c r="Z9" s="706">
        <f>IF($C9="other",(1-$C7)*X9,(1-(VLOOKUP($C9,'S3 - Screening Tool Metrics'!$C$3:$G$17,5,FALSE)/100))*X9)</f>
        <v>221.49713493269118</v>
      </c>
      <c r="AA9" s="706">
        <f>IF($C9="other",$C7*X9,(VLOOKUP($C9,'S3 - Screening Tool Metrics'!$C$3:$G$17,5,FALSE)/100)*X9)</f>
        <v>885.98853973076496</v>
      </c>
      <c r="AB9" s="708">
        <f t="shared" si="3"/>
        <v>17.812395249914857</v>
      </c>
      <c r="AC9" s="706">
        <f t="shared" si="4"/>
        <v>115773.96666666667</v>
      </c>
      <c r="AD9" s="706">
        <f>VLOOKUP("*"&amp;$B9&amp;"*",'S4 - Summ PRS Characteristics'!$C$5:$Q$12,14,FALSE)*$J9</f>
        <v>646.4428556860521</v>
      </c>
      <c r="AE9" s="706">
        <f>$J9-AD9</f>
        <v>4327.5571443139479</v>
      </c>
      <c r="AF9" s="706">
        <f>IF($C9="other",(1-$C7)*AD9,(1-(VLOOKUP($C9,'S3 - Screening Tool Metrics'!$C$3:$G$17,5,FALSE)/100))*AD9)</f>
        <v>129.2885711372104</v>
      </c>
      <c r="AG9" s="706">
        <f>IF($C9="other",$C7*AD9,(VLOOKUP($C9,'S3 - Screening Tool Metrics'!$C$3:$G$17,5,FALSE)/100)*AD9)</f>
        <v>517.1542845488417</v>
      </c>
      <c r="AH9" s="708">
        <f t="shared" si="5"/>
        <v>10.397150875529588</v>
      </c>
      <c r="AI9" s="707">
        <f t="shared" si="6"/>
        <v>23154.793333333335</v>
      </c>
      <c r="AJ9" s="706">
        <f>VLOOKUP("*"&amp;$B9&amp;"*",'S4 - Summ PRS Characteristics'!$C$5:$Q$12,15,FALSE)*$J9</f>
        <v>175.57756513100995</v>
      </c>
      <c r="AK9" s="706">
        <f t="shared" ref="AK9:AK21" si="13">$J9-AJ9</f>
        <v>4798.4224348689904</v>
      </c>
      <c r="AL9" s="706">
        <f>IF($C9="other",(1-$C7)*AJ9,(1-(VLOOKUP($C9,'S3 - Screening Tool Metrics'!$C$3:$G$17,5,FALSE)/100))*AJ9)</f>
        <v>35.115513026201981</v>
      </c>
      <c r="AM9" s="706">
        <f>IF($C9="other",$C7*AJ9,(VLOOKUP($C9,'S3 - Screening Tool Metrics'!$C$3:$G$17,5,FALSE)/100)*AJ9)</f>
        <v>140.46205210480795</v>
      </c>
      <c r="AN9" s="709">
        <f t="shared" si="7"/>
        <v>2.8239254544593475</v>
      </c>
    </row>
    <row r="10" spans="2:40" x14ac:dyDescent="0.15">
      <c r="B10" s="700" t="s">
        <v>8</v>
      </c>
      <c r="C10" s="721" t="str">
        <f>$C8</f>
        <v>Other</v>
      </c>
      <c r="D10" s="552" t="s">
        <v>194</v>
      </c>
      <c r="E10" s="710">
        <f>VLOOKUP($B10&amp;"_"&amp;$D10,'App5 - CRUK Inci Rates'!C:H,6,FALSE)</f>
        <v>0</v>
      </c>
      <c r="F10" s="711">
        <f>VLOOKUP($B10&amp;"_"&amp;$D10,'App5 - CRUK Inci Rates'!C:H,3,FALSE)</f>
        <v>279.8</v>
      </c>
      <c r="G10" s="712">
        <f>VLOOKUP($B10&amp;"_"&amp;$D10,'App5 - CRUK Inci Rates'!C:J,8,FALSE)</f>
        <v>2364638</v>
      </c>
      <c r="H10" s="713">
        <f>VLOOKUP($B10&amp;"_"&amp;$D10,'App5 - CRUK Inci Rates'!C:J,7,FALSE)</f>
        <v>0</v>
      </c>
      <c r="I10" s="713">
        <f>VLOOKUP($B10&amp;"_"&amp;$D10,'App5 - CRUK Inci Rates'!C:J,4,FALSE)</f>
        <v>2364638</v>
      </c>
      <c r="J10" s="709">
        <f>VLOOKUP($B10&amp;"_"&amp;$D10,'App5 - CRUK Inci Rates'!C:K,9,FALSE)</f>
        <v>6616</v>
      </c>
      <c r="K10" s="706">
        <f t="shared" si="8"/>
        <v>1182319</v>
      </c>
      <c r="L10" s="706">
        <f>VLOOKUP("*"&amp;$B10&amp;"*",'S4 - Summ PRS Characteristics'!$C$5:$Q$12,11,FALSE)*$J10</f>
        <v>4617.1308512628111</v>
      </c>
      <c r="M10" s="706">
        <f t="shared" si="9"/>
        <v>1998.8691487371889</v>
      </c>
      <c r="N10" s="706">
        <f>IF($C10="other",(1-$C$7)*L10,(1-(VLOOKUP($C10,'S3 - Screening Tool Metrics'!$C$3:$G$17,5,FALSE)/100))*L10)</f>
        <v>923.42617025256197</v>
      </c>
      <c r="O10" s="706">
        <f>IF($C10="other",$C$7*L10,(VLOOKUP($C10,'S3 - Screening Tool Metrics'!$C$3:$G$17,5,FALSE)/100)*L10)</f>
        <v>3693.7046810102493</v>
      </c>
      <c r="P10" s="706">
        <f t="shared" si="10"/>
        <v>55.829877282500739</v>
      </c>
      <c r="Q10" s="707">
        <f t="shared" si="0"/>
        <v>472927.60000000003</v>
      </c>
      <c r="R10" s="706">
        <f>VLOOKUP("*"&amp;$B10&amp;"*",'S4 - Summ PRS Characteristics'!$C$5:$Q$12,12,FALSE)*$J10</f>
        <v>2469.2484280281992</v>
      </c>
      <c r="S10" s="706">
        <f t="shared" si="11"/>
        <v>4146.7515719718012</v>
      </c>
      <c r="T10" s="706">
        <f>IF($C10="other",(1-$C7)*R10,(1-(VLOOKUP($C10,'S3 - Screening Tool Metrics'!$C$3:$G$17,5,FALSE)/100))*R10)</f>
        <v>493.84968560563971</v>
      </c>
      <c r="U10" s="706">
        <f>IF($C10="other",$C7*R10,(VLOOKUP($C10,'S3 - Screening Tool Metrics'!$C$3:$G$17,5,FALSE)/100)*R10)</f>
        <v>1975.3987424225595</v>
      </c>
      <c r="V10" s="708">
        <f t="shared" si="1"/>
        <v>29.857901185347028</v>
      </c>
      <c r="W10" s="707">
        <f t="shared" si="2"/>
        <v>236463.80000000002</v>
      </c>
      <c r="X10" s="706">
        <f>VLOOKUP("*"&amp;$B10&amp;"*",'S4 - Summ PRS Characteristics'!$C$5:$Q$12,13,FALSE)*$J10</f>
        <v>1473.0850871679584</v>
      </c>
      <c r="Y10" s="706">
        <f t="shared" si="12"/>
        <v>5142.9149128320414</v>
      </c>
      <c r="Z10" s="706">
        <f>IF($C10="other",(1-$C7)*X10,(1-(VLOOKUP($C10,'S3 - Screening Tool Metrics'!$C$3:$G$17,5,FALSE)/100))*X10)</f>
        <v>294.61701743359163</v>
      </c>
      <c r="AA10" s="706">
        <f>IF($C10="other",$C7*X10,(VLOOKUP($C10,'S3 - Screening Tool Metrics'!$C$3:$G$17,5,FALSE)/100)*X10)</f>
        <v>1178.4680697343667</v>
      </c>
      <c r="AB10" s="708">
        <f t="shared" si="3"/>
        <v>17.812395249914854</v>
      </c>
      <c r="AC10" s="706">
        <f t="shared" si="4"/>
        <v>118231.90000000001</v>
      </c>
      <c r="AD10" s="706">
        <f>VLOOKUP("*"&amp;$B10&amp;"*",'S4 - Summ PRS Characteristics'!$C$5:$Q$12,14,FALSE)*$J10</f>
        <v>859.84437740629699</v>
      </c>
      <c r="AE10" s="706">
        <f t="shared" ref="AE10:AE21" si="14">$J10-AD10</f>
        <v>5756.1556225937029</v>
      </c>
      <c r="AF10" s="706">
        <f>IF($C10="other",(1-$C7)*AD10,(1-(VLOOKUP($C10,'S3 - Screening Tool Metrics'!$C$3:$G$17,5,FALSE)/100))*AD10)</f>
        <v>171.96887548125935</v>
      </c>
      <c r="AG10" s="706">
        <f>IF($C10="other",$C7*AD10,(VLOOKUP($C10,'S3 - Screening Tool Metrics'!$C$3:$G$17,5,FALSE)/100)*AD10)</f>
        <v>687.87550192503761</v>
      </c>
      <c r="AH10" s="708">
        <f t="shared" si="5"/>
        <v>10.397150875529588</v>
      </c>
      <c r="AI10" s="707">
        <f t="shared" si="6"/>
        <v>23646.38</v>
      </c>
      <c r="AJ10" s="706">
        <f>VLOOKUP("*"&amp;$B10&amp;"*",'S4 - Summ PRS Characteristics'!$C$5:$Q$12,15,FALSE)*$J10</f>
        <v>233.53863508378808</v>
      </c>
      <c r="AK10" s="706">
        <f t="shared" si="13"/>
        <v>6382.461364916212</v>
      </c>
      <c r="AL10" s="706">
        <f>IF($C10="other",(1-$C7)*AJ10,(1-(VLOOKUP($C10,'S3 - Screening Tool Metrics'!$C$3:$G$17,5,FALSE)/100))*AJ10)</f>
        <v>46.707727016757609</v>
      </c>
      <c r="AM10" s="706">
        <f>IF($C10="other",$C7*AJ10,(VLOOKUP($C10,'S3 - Screening Tool Metrics'!$C$3:$G$17,5,FALSE)/100)*AJ10)</f>
        <v>186.83090806703046</v>
      </c>
      <c r="AN10" s="709">
        <f t="shared" si="7"/>
        <v>2.823925454459348</v>
      </c>
    </row>
    <row r="11" spans="2:40" x14ac:dyDescent="0.15">
      <c r="B11" s="700" t="s">
        <v>8</v>
      </c>
      <c r="C11" s="721" t="str">
        <f>$C8</f>
        <v>Other</v>
      </c>
      <c r="D11" s="552" t="s">
        <v>195</v>
      </c>
      <c r="E11" s="710">
        <f>VLOOKUP($B11&amp;"_"&amp;$D11,'App5 - CRUK Inci Rates'!C:H,6,FALSE)</f>
        <v>0</v>
      </c>
      <c r="F11" s="711">
        <f>VLOOKUP($B11&amp;"_"&amp;$D11,'App5 - CRUK Inci Rates'!C:H,3,FALSE)</f>
        <v>285.5</v>
      </c>
      <c r="G11" s="712">
        <f>VLOOKUP($B11&amp;"_"&amp;$D11,'App5 - CRUK Inci Rates'!C:J,8,FALSE)</f>
        <v>2119687.3333333335</v>
      </c>
      <c r="H11" s="713">
        <f>VLOOKUP($B11&amp;"_"&amp;$D11,'App5 - CRUK Inci Rates'!C:J,7,FALSE)</f>
        <v>0</v>
      </c>
      <c r="I11" s="713">
        <f>VLOOKUP($B11&amp;"_"&amp;$D11,'App5 - CRUK Inci Rates'!C:J,4,FALSE)</f>
        <v>2119687.3333333335</v>
      </c>
      <c r="J11" s="709">
        <f>VLOOKUP($B11&amp;"_"&amp;$D11,'App5 - CRUK Inci Rates'!C:K,9,FALSE)</f>
        <v>6052</v>
      </c>
      <c r="K11" s="706">
        <f t="shared" si="8"/>
        <v>1059843.6666666667</v>
      </c>
      <c r="L11" s="706">
        <f>VLOOKUP("*"&amp;$B11&amp;"*",'S4 - Summ PRS Characteristics'!$C$5:$Q$12,11,FALSE)*$J11</f>
        <v>4223.5302164211807</v>
      </c>
      <c r="M11" s="706">
        <f t="shared" si="9"/>
        <v>1828.4697835788193</v>
      </c>
      <c r="N11" s="706">
        <f>IF($C11="other",(1-$C$7)*L11,(1-(VLOOKUP($C11,'S3 - Screening Tool Metrics'!$C$3:$G$17,5,FALSE)/100))*L11)</f>
        <v>844.70604328423599</v>
      </c>
      <c r="O11" s="706">
        <f>IF($C11="other",$C$7*L11,(VLOOKUP($C11,'S3 - Screening Tool Metrics'!$C$3:$G$17,5,FALSE)/100)*L11)</f>
        <v>3378.8241731369449</v>
      </c>
      <c r="P11" s="706">
        <f t="shared" si="10"/>
        <v>55.829877282500739</v>
      </c>
      <c r="Q11" s="707">
        <f t="shared" si="0"/>
        <v>423937.46666666673</v>
      </c>
      <c r="R11" s="706">
        <f>VLOOKUP("*"&amp;$B11&amp;"*",'S4 - Summ PRS Characteristics'!$C$5:$Q$12,12,FALSE)*$J11</f>
        <v>2258.7502246715026</v>
      </c>
      <c r="S11" s="706">
        <f t="shared" si="11"/>
        <v>3793.2497753284974</v>
      </c>
      <c r="T11" s="706">
        <f>IF($C11="other",(1-$C7)*R11,(1-(VLOOKUP($C11,'S3 - Screening Tool Metrics'!$C$3:$G$17,5,FALSE)/100))*R11)</f>
        <v>451.75004493430043</v>
      </c>
      <c r="U11" s="706">
        <f>IF($C11="other",$C7*R11,(VLOOKUP($C11,'S3 - Screening Tool Metrics'!$C$3:$G$17,5,FALSE)/100)*R11)</f>
        <v>1807.0001797372022</v>
      </c>
      <c r="V11" s="708">
        <f t="shared" si="1"/>
        <v>29.857901185347028</v>
      </c>
      <c r="W11" s="707">
        <f t="shared" si="2"/>
        <v>211968.73333333337</v>
      </c>
      <c r="X11" s="706">
        <f>VLOOKUP("*"&amp;$B11&amp;"*",'S4 - Summ PRS Characteristics'!$C$5:$Q$12,13,FALSE)*$J11</f>
        <v>1347.5077006560587</v>
      </c>
      <c r="Y11" s="706">
        <f t="shared" si="12"/>
        <v>4704.4922993439413</v>
      </c>
      <c r="Z11" s="706">
        <f>IF($C11="other",(1-$C7)*X11,(1-(VLOOKUP($C11,'S3 - Screening Tool Metrics'!$C$3:$G$17,5,FALSE)/100))*X11)</f>
        <v>269.5015401312117</v>
      </c>
      <c r="AA11" s="706">
        <f>IF($C11="other",$C7*X11,(VLOOKUP($C11,'S3 - Screening Tool Metrics'!$C$3:$G$17,5,FALSE)/100)*X11)</f>
        <v>1078.006160524847</v>
      </c>
      <c r="AB11" s="708">
        <f t="shared" si="3"/>
        <v>17.812395249914857</v>
      </c>
      <c r="AC11" s="706">
        <f t="shared" si="4"/>
        <v>105984.36666666668</v>
      </c>
      <c r="AD11" s="706">
        <f>VLOOKUP("*"&amp;$B11&amp;"*",'S4 - Summ PRS Characteristics'!$C$5:$Q$12,14,FALSE)*$J11</f>
        <v>786.54446373381336</v>
      </c>
      <c r="AE11" s="706">
        <f t="shared" si="14"/>
        <v>5265.4555362661868</v>
      </c>
      <c r="AF11" s="706">
        <f>IF($C11="other",(1-$C7)*AD11,(1-(VLOOKUP($C11,'S3 - Screening Tool Metrics'!$C$3:$G$17,5,FALSE)/100))*AD11)</f>
        <v>157.30889274676264</v>
      </c>
      <c r="AG11" s="706">
        <f>IF($C11="other",$C7*AD11,(VLOOKUP($C11,'S3 - Screening Tool Metrics'!$C$3:$G$17,5,FALSE)/100)*AD11)</f>
        <v>629.23557098705078</v>
      </c>
      <c r="AH11" s="708">
        <f t="shared" si="5"/>
        <v>10.39715087552959</v>
      </c>
      <c r="AI11" s="707">
        <f t="shared" si="6"/>
        <v>21196.873333333337</v>
      </c>
      <c r="AJ11" s="706">
        <f>VLOOKUP("*"&amp;$B11&amp;"*",'S4 - Summ PRS Characteristics'!$C$5:$Q$12,15,FALSE)*$J11</f>
        <v>213.62996062984968</v>
      </c>
      <c r="AK11" s="706">
        <f t="shared" si="13"/>
        <v>5838.3700393701502</v>
      </c>
      <c r="AL11" s="706">
        <f>IF($C11="other",(1-$C7)*AJ11,(1-(VLOOKUP($C11,'S3 - Screening Tool Metrics'!$C$3:$G$17,5,FALSE)/100))*AJ11)</f>
        <v>42.725992125969924</v>
      </c>
      <c r="AM11" s="706">
        <f>IF($C11="other",$C7*AJ11,(VLOOKUP($C11,'S3 - Screening Tool Metrics'!$C$3:$G$17,5,FALSE)/100)*AJ11)</f>
        <v>170.90396850387975</v>
      </c>
      <c r="AN11" s="709">
        <f t="shared" si="7"/>
        <v>2.8239254544593484</v>
      </c>
    </row>
    <row r="12" spans="2:40" x14ac:dyDescent="0.15">
      <c r="B12" s="700" t="s">
        <v>8</v>
      </c>
      <c r="C12" s="721" t="str">
        <f>$C8</f>
        <v>Other</v>
      </c>
      <c r="D12" s="552" t="s">
        <v>196</v>
      </c>
      <c r="E12" s="710">
        <f>VLOOKUP($B12&amp;"_"&amp;$D12,'App5 - CRUK Inci Rates'!C:H,6,FALSE)</f>
        <v>0</v>
      </c>
      <c r="F12" s="711">
        <f>VLOOKUP($B12&amp;"_"&amp;$D12,'App5 - CRUK Inci Rates'!C:H,3,FALSE)</f>
        <v>337.96472190440318</v>
      </c>
      <c r="G12" s="712">
        <f>VLOOKUP($B12&amp;"_"&amp;$D12,'App5 - CRUK Inci Rates'!C:J,8,FALSE)</f>
        <v>1837174</v>
      </c>
      <c r="H12" s="713">
        <f>VLOOKUP($B12&amp;"_"&amp;$D12,'App5 - CRUK Inci Rates'!C:J,7,FALSE)</f>
        <v>0</v>
      </c>
      <c r="I12" s="713">
        <f>VLOOKUP($B12&amp;"_"&amp;$D12,'App5 - CRUK Inci Rates'!C:J,4,FALSE)</f>
        <v>1837174</v>
      </c>
      <c r="J12" s="709">
        <f>VLOOKUP($B12&amp;"_"&amp;$D12,'App5 - CRUK Inci Rates'!C:K,9,FALSE)</f>
        <v>6209</v>
      </c>
      <c r="K12" s="706">
        <f t="shared" si="8"/>
        <v>918587</v>
      </c>
      <c r="L12" s="706">
        <f>VLOOKUP("*"&amp;$B12&amp;"*",'S4 - Summ PRS Characteristics'!$C$5:$Q$12,11,FALSE)*$J12</f>
        <v>4333.0963505880882</v>
      </c>
      <c r="M12" s="706">
        <f t="shared" si="9"/>
        <v>1875.9036494119118</v>
      </c>
      <c r="N12" s="706">
        <f>IF($C12="other",(1-$C$7)*L12,(1-(VLOOKUP($C12,'S3 - Screening Tool Metrics'!$C$3:$G$17,5,FALSE)/100))*L12)</f>
        <v>866.61927011761748</v>
      </c>
      <c r="O12" s="706">
        <f>IF($C12="other",$C$7*L12,(VLOOKUP($C12,'S3 - Screening Tool Metrics'!$C$3:$G$17,5,FALSE)/100)*L12)</f>
        <v>3466.4770804704708</v>
      </c>
      <c r="P12" s="706">
        <f t="shared" si="10"/>
        <v>55.829877282500739</v>
      </c>
      <c r="Q12" s="707">
        <f t="shared" si="0"/>
        <v>367434.80000000005</v>
      </c>
      <c r="R12" s="706">
        <f>VLOOKUP("*"&amp;$B12&amp;"*",'S4 - Summ PRS Characteristics'!$C$5:$Q$12,12,FALSE)*$J12</f>
        <v>2317.3463557477462</v>
      </c>
      <c r="S12" s="706">
        <f t="shared" si="11"/>
        <v>3891.6536442522538</v>
      </c>
      <c r="T12" s="706">
        <f>IF($C12="other",(1-$C7)*R12,(1-(VLOOKUP($C12,'S3 - Screening Tool Metrics'!$C$3:$G$17,5,FALSE)/100))*R12)</f>
        <v>463.46927114954912</v>
      </c>
      <c r="U12" s="706">
        <f>IF($C12="other",$C7*R12,(VLOOKUP($C12,'S3 - Screening Tool Metrics'!$C$3:$G$17,5,FALSE)/100)*R12)</f>
        <v>1853.8770845981971</v>
      </c>
      <c r="V12" s="708">
        <f t="shared" si="1"/>
        <v>29.857901185347028</v>
      </c>
      <c r="W12" s="707">
        <f t="shared" si="2"/>
        <v>183717.40000000002</v>
      </c>
      <c r="X12" s="706">
        <f>VLOOKUP("*"&amp;$B12&amp;"*",'S4 - Summ PRS Characteristics'!$C$5:$Q$12,13,FALSE)*$J12</f>
        <v>1382.4645263340167</v>
      </c>
      <c r="Y12" s="706">
        <f t="shared" si="12"/>
        <v>4826.5354736659829</v>
      </c>
      <c r="Z12" s="706">
        <f>IF($C12="other",(1-$C7)*X12,(1-(VLOOKUP($C12,'S3 - Screening Tool Metrics'!$C$3:$G$17,5,FALSE)/100))*X12)</f>
        <v>276.49290526680329</v>
      </c>
      <c r="AA12" s="706">
        <f>IF($C12="other",$C7*X12,(VLOOKUP($C12,'S3 - Screening Tool Metrics'!$C$3:$G$17,5,FALSE)/100)*X12)</f>
        <v>1105.9716210672134</v>
      </c>
      <c r="AB12" s="708">
        <f t="shared" si="3"/>
        <v>17.812395249914857</v>
      </c>
      <c r="AC12" s="706">
        <f t="shared" si="4"/>
        <v>91858.700000000012</v>
      </c>
      <c r="AD12" s="706">
        <f>VLOOKUP("*"&amp;$B12&amp;"*",'S4 - Summ PRS Characteristics'!$C$5:$Q$12,14,FALSE)*$J12</f>
        <v>806.94887232704014</v>
      </c>
      <c r="AE12" s="706">
        <f t="shared" si="14"/>
        <v>5402.0511276729594</v>
      </c>
      <c r="AF12" s="706">
        <f>IF($C12="other",(1-$C7)*AD12,(1-(VLOOKUP($C12,'S3 - Screening Tool Metrics'!$C$3:$G$17,5,FALSE)/100))*AD12)</f>
        <v>161.38977446540798</v>
      </c>
      <c r="AG12" s="706">
        <f>IF($C12="other",$C7*AD12,(VLOOKUP($C12,'S3 - Screening Tool Metrics'!$C$3:$G$17,5,FALSE)/100)*AD12)</f>
        <v>645.55909786163215</v>
      </c>
      <c r="AH12" s="708">
        <f t="shared" si="5"/>
        <v>10.397150875529588</v>
      </c>
      <c r="AI12" s="707">
        <f t="shared" si="6"/>
        <v>18371.740000000002</v>
      </c>
      <c r="AJ12" s="706">
        <f>VLOOKUP("*"&amp;$B12&amp;"*",'S4 - Summ PRS Characteristics'!$C$5:$Q$12,15,FALSE)*$J12</f>
        <v>219.17191433422613</v>
      </c>
      <c r="AK12" s="706">
        <f t="shared" si="13"/>
        <v>5989.8280856657739</v>
      </c>
      <c r="AL12" s="706">
        <f>IF($C12="other",(1-$C7)*AJ12,(1-(VLOOKUP($C12,'S3 - Screening Tool Metrics'!$C$3:$G$17,5,FALSE)/100))*AJ12)</f>
        <v>43.834382866845218</v>
      </c>
      <c r="AM12" s="706">
        <f>IF($C12="other",$C7*AJ12,(VLOOKUP($C12,'S3 - Screening Tool Metrics'!$C$3:$G$17,5,FALSE)/100)*AJ12)</f>
        <v>175.33753146738093</v>
      </c>
      <c r="AN12" s="709">
        <f t="shared" si="7"/>
        <v>2.8239254544593484</v>
      </c>
    </row>
    <row r="13" spans="2:40" x14ac:dyDescent="0.15">
      <c r="B13" s="700" t="s">
        <v>8</v>
      </c>
      <c r="C13" s="721" t="str">
        <f>$C8</f>
        <v>Other</v>
      </c>
      <c r="D13" s="552" t="s">
        <v>197</v>
      </c>
      <c r="E13" s="710">
        <f>VLOOKUP($B13&amp;"_"&amp;$D13,'App5 - CRUK Inci Rates'!C:H,6,FALSE)</f>
        <v>0</v>
      </c>
      <c r="F13" s="711">
        <f>VLOOKUP($B13&amp;"_"&amp;$D13,'App5 - CRUK Inci Rates'!C:H,3,FALSE)</f>
        <v>412.3</v>
      </c>
      <c r="G13" s="712">
        <f>VLOOKUP($B13&amp;"_"&amp;$D13,'App5 - CRUK Inci Rates'!C:J,8,FALSE)</f>
        <v>1805190</v>
      </c>
      <c r="H13" s="713">
        <f>VLOOKUP($B13&amp;"_"&amp;$D13,'App5 - CRUK Inci Rates'!C:J,7,FALSE)</f>
        <v>0</v>
      </c>
      <c r="I13" s="713">
        <f>VLOOKUP($B13&amp;"_"&amp;$D13,'App5 - CRUK Inci Rates'!C:J,4,FALSE)</f>
        <v>1805190</v>
      </c>
      <c r="J13" s="709">
        <f>VLOOKUP($B13&amp;"_"&amp;$D13,'App5 - CRUK Inci Rates'!C:K,9,FALSE)</f>
        <v>7443</v>
      </c>
      <c r="K13" s="706">
        <f t="shared" si="8"/>
        <v>902595</v>
      </c>
      <c r="L13" s="706">
        <f>VLOOKUP("*"&amp;$B13&amp;"*",'S4 - Summ PRS Characteristics'!$C$5:$Q$12,11,FALSE)*$J13</f>
        <v>5194.2722076706623</v>
      </c>
      <c r="M13" s="706">
        <f t="shared" si="9"/>
        <v>2248.7277923293377</v>
      </c>
      <c r="N13" s="706">
        <f>IF($C13="other",(1-$C$7)*L13,(1-(VLOOKUP($C13,'S3 - Screening Tool Metrics'!$C$3:$G$17,5,FALSE)/100))*L13)</f>
        <v>1038.8544415341323</v>
      </c>
      <c r="O13" s="706">
        <f>IF($C13="other",$C$7*L13,(VLOOKUP($C13,'S3 - Screening Tool Metrics'!$C$3:$G$17,5,FALSE)/100)*L13)</f>
        <v>4155.4177661365302</v>
      </c>
      <c r="P13" s="706">
        <f t="shared" si="10"/>
        <v>55.829877282500739</v>
      </c>
      <c r="Q13" s="707">
        <f t="shared" si="0"/>
        <v>361038</v>
      </c>
      <c r="R13" s="706">
        <f>VLOOKUP("*"&amp;$B13&amp;"*",'S4 - Summ PRS Characteristics'!$C$5:$Q$12,12,FALSE)*$J13</f>
        <v>2777.9044815317238</v>
      </c>
      <c r="S13" s="706">
        <f t="shared" si="11"/>
        <v>4665.0955184682762</v>
      </c>
      <c r="T13" s="706">
        <f>IF($C13="other",(1-$C7)*R13,(1-(VLOOKUP($C13,'S3 - Screening Tool Metrics'!$C$3:$G$17,5,FALSE)/100))*R13)</f>
        <v>555.5808963063447</v>
      </c>
      <c r="U13" s="706">
        <f>IF($C13="other",$C7*R13,(VLOOKUP($C13,'S3 - Screening Tool Metrics'!$C$3:$G$17,5,FALSE)/100)*R13)</f>
        <v>2222.3235852253792</v>
      </c>
      <c r="V13" s="708">
        <f t="shared" si="1"/>
        <v>29.857901185347028</v>
      </c>
      <c r="W13" s="707">
        <f t="shared" si="2"/>
        <v>180519</v>
      </c>
      <c r="X13" s="706">
        <f>VLOOKUP("*"&amp;$B13&amp;"*",'S4 - Summ PRS Characteristics'!$C$5:$Q$12,13,FALSE)*$J13</f>
        <v>1657.2207230639533</v>
      </c>
      <c r="Y13" s="706">
        <f t="shared" si="12"/>
        <v>5785.7792769360467</v>
      </c>
      <c r="Z13" s="706">
        <f>IF($C13="other",(1-$C7)*X13,(1-(VLOOKUP($C13,'S3 - Screening Tool Metrics'!$C$3:$G$17,5,FALSE)/100))*X13)</f>
        <v>331.44414461279058</v>
      </c>
      <c r="AA13" s="706">
        <f>IF($C13="other",$C7*X13,(VLOOKUP($C13,'S3 - Screening Tool Metrics'!$C$3:$G$17,5,FALSE)/100)*X13)</f>
        <v>1325.7765784511628</v>
      </c>
      <c r="AB13" s="708">
        <f t="shared" si="3"/>
        <v>17.812395249914857</v>
      </c>
      <c r="AC13" s="706">
        <f t="shared" si="4"/>
        <v>90259.5</v>
      </c>
      <c r="AD13" s="706">
        <f>VLOOKUP("*"&amp;$B13&amp;"*",'S4 - Summ PRS Characteristics'!$C$5:$Q$12,14,FALSE)*$J13</f>
        <v>967.32492458208412</v>
      </c>
      <c r="AE13" s="706">
        <f t="shared" si="14"/>
        <v>6475.6750754179157</v>
      </c>
      <c r="AF13" s="706">
        <f>IF($C13="other",(1-$C7)*AD13,(1-(VLOOKUP($C13,'S3 - Screening Tool Metrics'!$C$3:$G$17,5,FALSE)/100))*AD13)</f>
        <v>193.46498491641677</v>
      </c>
      <c r="AG13" s="706">
        <f>IF($C13="other",$C7*AD13,(VLOOKUP($C13,'S3 - Screening Tool Metrics'!$C$3:$G$17,5,FALSE)/100)*AD13)</f>
        <v>773.8599396656673</v>
      </c>
      <c r="AH13" s="708">
        <f t="shared" si="5"/>
        <v>10.397150875529588</v>
      </c>
      <c r="AI13" s="707">
        <f t="shared" si="6"/>
        <v>18051.900000000001</v>
      </c>
      <c r="AJ13" s="706">
        <f>VLOOKUP("*"&amp;$B13&amp;"*",'S4 - Summ PRS Characteristics'!$C$5:$Q$12,15,FALSE)*$J13</f>
        <v>262.73096446926155</v>
      </c>
      <c r="AK13" s="706">
        <f t="shared" si="13"/>
        <v>7180.2690355307386</v>
      </c>
      <c r="AL13" s="706">
        <f>IF($C13="other",(1-$C7)*AJ13,(1-(VLOOKUP($C13,'S3 - Screening Tool Metrics'!$C$3:$G$17,5,FALSE)/100))*AJ13)</f>
        <v>52.5461928938523</v>
      </c>
      <c r="AM13" s="706">
        <f>IF($C13="other",$C7*AJ13,(VLOOKUP($C13,'S3 - Screening Tool Metrics'!$C$3:$G$17,5,FALSE)/100)*AJ13)</f>
        <v>210.18477157540926</v>
      </c>
      <c r="AN13" s="709">
        <f t="shared" si="7"/>
        <v>2.823925454459348</v>
      </c>
    </row>
    <row r="14" spans="2:40" x14ac:dyDescent="0.15">
      <c r="B14" s="700" t="s">
        <v>8</v>
      </c>
      <c r="C14" s="721" t="str">
        <f>$C8</f>
        <v>Other</v>
      </c>
      <c r="D14" s="552" t="s">
        <v>198</v>
      </c>
      <c r="E14" s="710">
        <f>VLOOKUP($B14&amp;"_"&amp;$D14,'App5 - CRUK Inci Rates'!C:H,6,FALSE)</f>
        <v>0</v>
      </c>
      <c r="F14" s="711">
        <f>VLOOKUP($B14&amp;"_"&amp;$D14,'App5 - CRUK Inci Rates'!C:H,3,FALSE)</f>
        <v>372.7</v>
      </c>
      <c r="G14" s="712">
        <f>VLOOKUP($B14&amp;"_"&amp;$D14,'App5 - CRUK Inci Rates'!C:J,8,FALSE)</f>
        <v>1603609.6666666667</v>
      </c>
      <c r="H14" s="713">
        <f>VLOOKUP($B14&amp;"_"&amp;$D14,'App5 - CRUK Inci Rates'!C:J,7,FALSE)</f>
        <v>0</v>
      </c>
      <c r="I14" s="713">
        <f>VLOOKUP($B14&amp;"_"&amp;$D14,'App5 - CRUK Inci Rates'!C:J,4,FALSE)</f>
        <v>1603609.6666666667</v>
      </c>
      <c r="J14" s="709">
        <f>VLOOKUP($B14&amp;"_"&amp;$D14,'App5 - CRUK Inci Rates'!C:K,9,FALSE)</f>
        <v>5977</v>
      </c>
      <c r="K14" s="706">
        <f t="shared" si="8"/>
        <v>801804.83333333337</v>
      </c>
      <c r="L14" s="706">
        <f>VLOOKUP("*"&amp;$B14&amp;"*",'S4 - Summ PRS Characteristics'!$C$5:$Q$12,11,FALSE)*$J14</f>
        <v>4171.1897064688364</v>
      </c>
      <c r="M14" s="706">
        <f t="shared" si="9"/>
        <v>1805.8102935311636</v>
      </c>
      <c r="N14" s="706">
        <f>IF($C14="other",(1-$C$7)*L14,(1-(VLOOKUP($C14,'S3 - Screening Tool Metrics'!$C$3:$G$17,5,FALSE)/100))*L14)</f>
        <v>834.23794129376711</v>
      </c>
      <c r="O14" s="706">
        <f>IF($C14="other",$C$7*L14,(VLOOKUP($C14,'S3 - Screening Tool Metrics'!$C$3:$G$17,5,FALSE)/100)*L14)</f>
        <v>3336.9517651750693</v>
      </c>
      <c r="P14" s="706">
        <f t="shared" si="10"/>
        <v>55.829877282500739</v>
      </c>
      <c r="Q14" s="707">
        <f t="shared" si="0"/>
        <v>320721.93333333335</v>
      </c>
      <c r="R14" s="706">
        <f>VLOOKUP("*"&amp;$B14&amp;"*",'S4 - Summ PRS Characteristics'!$C$5:$Q$12,12,FALSE)*$J14</f>
        <v>2230.7584423102398</v>
      </c>
      <c r="S14" s="706">
        <f t="shared" si="11"/>
        <v>3746.2415576897602</v>
      </c>
      <c r="T14" s="706">
        <f>IF($C14="other",(1-$C7)*R14,(1-(VLOOKUP($C14,'S3 - Screening Tool Metrics'!$C$3:$G$17,5,FALSE)/100))*R14)</f>
        <v>446.15168846204784</v>
      </c>
      <c r="U14" s="706">
        <f>IF($C14="other",$C7*R14,(VLOOKUP($C14,'S3 - Screening Tool Metrics'!$C$3:$G$17,5,FALSE)/100)*R14)</f>
        <v>1784.6067538481921</v>
      </c>
      <c r="V14" s="708">
        <f t="shared" si="1"/>
        <v>29.857901185347028</v>
      </c>
      <c r="W14" s="707">
        <f t="shared" si="2"/>
        <v>160360.96666666667</v>
      </c>
      <c r="X14" s="706">
        <f>VLOOKUP("*"&amp;$B14&amp;"*",'S4 - Summ PRS Characteristics'!$C$5:$Q$12,13,FALSE)*$J14</f>
        <v>1330.8085801092636</v>
      </c>
      <c r="Y14" s="706">
        <f t="shared" si="12"/>
        <v>4646.1914198907361</v>
      </c>
      <c r="Z14" s="706">
        <f>IF($C14="other",(1-$C7)*X14,(1-(VLOOKUP($C14,'S3 - Screening Tool Metrics'!$C$3:$G$17,5,FALSE)/100))*X14)</f>
        <v>266.16171602185267</v>
      </c>
      <c r="AA14" s="706">
        <f>IF($C14="other",$C7*X14,(VLOOKUP($C14,'S3 - Screening Tool Metrics'!$C$3:$G$17,5,FALSE)/100)*X14)</f>
        <v>1064.6468640874109</v>
      </c>
      <c r="AB14" s="708">
        <f t="shared" si="3"/>
        <v>17.812395249914857</v>
      </c>
      <c r="AC14" s="706">
        <f t="shared" si="4"/>
        <v>80180.483333333337</v>
      </c>
      <c r="AD14" s="706">
        <f>VLOOKUP("*"&amp;$B14&amp;"*",'S4 - Summ PRS Characteristics'!$C$5:$Q$12,14,FALSE)*$J14</f>
        <v>776.79713478800431</v>
      </c>
      <c r="AE14" s="706">
        <f t="shared" si="14"/>
        <v>5200.2028652119952</v>
      </c>
      <c r="AF14" s="706">
        <f>IF($C14="other",(1-$C7)*AD14,(1-(VLOOKUP($C14,'S3 - Screening Tool Metrics'!$C$3:$G$17,5,FALSE)/100))*AD14)</f>
        <v>155.35942695760082</v>
      </c>
      <c r="AG14" s="706">
        <f>IF($C14="other",$C7*AD14,(VLOOKUP($C14,'S3 - Screening Tool Metrics'!$C$3:$G$17,5,FALSE)/100)*AD14)</f>
        <v>621.4377078304035</v>
      </c>
      <c r="AH14" s="708">
        <f t="shared" si="5"/>
        <v>10.397150875529588</v>
      </c>
      <c r="AI14" s="707">
        <f t="shared" si="6"/>
        <v>16036.096666666668</v>
      </c>
      <c r="AJ14" s="706">
        <f>VLOOKUP("*"&amp;$B14&amp;"*",'S4 - Summ PRS Characteristics'!$C$5:$Q$12,15,FALSE)*$J14</f>
        <v>210.98253051629402</v>
      </c>
      <c r="AK14" s="706">
        <f t="shared" si="13"/>
        <v>5766.017469483706</v>
      </c>
      <c r="AL14" s="706">
        <f>IF($C14="other",(1-$C7)*AJ14,(1-(VLOOKUP($C14,'S3 - Screening Tool Metrics'!$C$3:$G$17,5,FALSE)/100))*AJ14)</f>
        <v>42.196506103258791</v>
      </c>
      <c r="AM14" s="706">
        <f>IF($C14="other",$C7*AJ14,(VLOOKUP($C14,'S3 - Screening Tool Metrics'!$C$3:$G$17,5,FALSE)/100)*AJ14)</f>
        <v>168.78602441303522</v>
      </c>
      <c r="AN14" s="709">
        <f t="shared" si="7"/>
        <v>2.823925454459348</v>
      </c>
    </row>
    <row r="15" spans="2:40" x14ac:dyDescent="0.15">
      <c r="B15" s="700" t="s">
        <v>8</v>
      </c>
      <c r="C15" s="721" t="str">
        <f>$C8</f>
        <v>Other</v>
      </c>
      <c r="D15" s="552" t="s">
        <v>199</v>
      </c>
      <c r="E15" s="710">
        <f>VLOOKUP($B15&amp;"_"&amp;$D15,'App5 - CRUK Inci Rates'!C:H,6,FALSE)</f>
        <v>0</v>
      </c>
      <c r="F15" s="711">
        <f>VLOOKUP($B15&amp;"_"&amp;$D15,'App5 - CRUK Inci Rates'!C:H,3,FALSE)</f>
        <v>403</v>
      </c>
      <c r="G15" s="712">
        <f>VLOOKUP($B15&amp;"_"&amp;$D15,'App5 - CRUK Inci Rates'!C:J,8,FALSE)</f>
        <v>1181645.3333333333</v>
      </c>
      <c r="H15" s="713">
        <f>VLOOKUP($B15&amp;"_"&amp;$D15,'App5 - CRUK Inci Rates'!C:J,7,FALSE)</f>
        <v>0</v>
      </c>
      <c r="I15" s="713">
        <f>VLOOKUP($B15&amp;"_"&amp;$D15,'App5 - CRUK Inci Rates'!C:J,4,FALSE)</f>
        <v>1181645.3333333333</v>
      </c>
      <c r="J15" s="709">
        <f>VLOOKUP($B15&amp;"_"&amp;$D15,'App5 - CRUK Inci Rates'!C:K,9,FALSE)</f>
        <v>4762</v>
      </c>
      <c r="K15" s="706">
        <f t="shared" si="8"/>
        <v>590822.66666666663</v>
      </c>
      <c r="L15" s="706">
        <f>VLOOKUP("*"&amp;$B15&amp;"*",'S4 - Summ PRS Characteristics'!$C$5:$Q$12,11,FALSE)*$J15</f>
        <v>3323.2734452408563</v>
      </c>
      <c r="M15" s="706">
        <f t="shared" si="9"/>
        <v>1438.7265547591437</v>
      </c>
      <c r="N15" s="706">
        <f>IF($C15="other",(1-$C$7)*L15,(1-(VLOOKUP($C15,'S3 - Screening Tool Metrics'!$C$3:$G$17,5,FALSE)/100))*L15)</f>
        <v>664.65468904817112</v>
      </c>
      <c r="O15" s="706">
        <f>IF($C15="other",$C$7*L15,(VLOOKUP($C15,'S3 - Screening Tool Metrics'!$C$3:$G$17,5,FALSE)/100)*L15)</f>
        <v>2658.6187561926854</v>
      </c>
      <c r="P15" s="706">
        <f t="shared" si="10"/>
        <v>55.829877282500739</v>
      </c>
      <c r="Q15" s="707">
        <f t="shared" si="0"/>
        <v>236329.06666666665</v>
      </c>
      <c r="R15" s="706">
        <f>VLOOKUP("*"&amp;$B15&amp;"*",'S4 - Summ PRS Characteristics'!$C$5:$Q$12,12,FALSE)*$J15</f>
        <v>1777.2915680577817</v>
      </c>
      <c r="S15" s="706">
        <f t="shared" si="11"/>
        <v>2984.7084319422183</v>
      </c>
      <c r="T15" s="706">
        <f>IF($C15="other",(1-$C7)*R15,(1-(VLOOKUP($C15,'S3 - Screening Tool Metrics'!$C$3:$G$17,5,FALSE)/100))*R15)</f>
        <v>355.45831361155626</v>
      </c>
      <c r="U15" s="706">
        <f>IF($C15="other",$C7*R15,(VLOOKUP($C15,'S3 - Screening Tool Metrics'!$C$3:$G$17,5,FALSE)/100)*R15)</f>
        <v>1421.8332544462255</v>
      </c>
      <c r="V15" s="708">
        <f t="shared" si="1"/>
        <v>29.857901185347028</v>
      </c>
      <c r="W15" s="707">
        <f t="shared" si="2"/>
        <v>118164.53333333333</v>
      </c>
      <c r="X15" s="706">
        <f>VLOOKUP("*"&amp;$B15&amp;"*",'S4 - Summ PRS Characteristics'!$C$5:$Q$12,13,FALSE)*$J15</f>
        <v>1060.2828272511817</v>
      </c>
      <c r="Y15" s="706">
        <f t="shared" si="12"/>
        <v>3701.7171727488185</v>
      </c>
      <c r="Z15" s="706">
        <f>IF($C15="other",(1-$C7)*X15,(1-(VLOOKUP($C15,'S3 - Screening Tool Metrics'!$C$3:$G$17,5,FALSE)/100))*X15)</f>
        <v>212.05656545023629</v>
      </c>
      <c r="AA15" s="706">
        <f>IF($C15="other",$C7*X15,(VLOOKUP($C15,'S3 - Screening Tool Metrics'!$C$3:$G$17,5,FALSE)/100)*X15)</f>
        <v>848.22626180094539</v>
      </c>
      <c r="AB15" s="708">
        <f t="shared" si="3"/>
        <v>17.812395249914857</v>
      </c>
      <c r="AC15" s="706">
        <f t="shared" si="4"/>
        <v>59082.266666666663</v>
      </c>
      <c r="AD15" s="706">
        <f>VLOOKUP("*"&amp;$B15&amp;"*",'S4 - Summ PRS Characteristics'!$C$5:$Q$12,14,FALSE)*$J15</f>
        <v>618.89040586589874</v>
      </c>
      <c r="AE15" s="706">
        <f t="shared" si="14"/>
        <v>4143.1095941341009</v>
      </c>
      <c r="AF15" s="706">
        <f>IF($C15="other",(1-$C7)*AD15,(1-(VLOOKUP($C15,'S3 - Screening Tool Metrics'!$C$3:$G$17,5,FALSE)/100))*AD15)</f>
        <v>123.77808117317971</v>
      </c>
      <c r="AG15" s="706">
        <f>IF($C15="other",$C7*AD15,(VLOOKUP($C15,'S3 - Screening Tool Metrics'!$C$3:$G$17,5,FALSE)/100)*AD15)</f>
        <v>495.11232469271903</v>
      </c>
      <c r="AH15" s="708">
        <f t="shared" si="5"/>
        <v>10.397150875529588</v>
      </c>
      <c r="AI15" s="707">
        <f t="shared" si="6"/>
        <v>11816.453333333333</v>
      </c>
      <c r="AJ15" s="706">
        <f>VLOOKUP("*"&amp;$B15&amp;"*",'S4 - Summ PRS Characteristics'!$C$5:$Q$12,15,FALSE)*$J15</f>
        <v>168.09416267669269</v>
      </c>
      <c r="AK15" s="706">
        <f t="shared" si="13"/>
        <v>4593.9058373233074</v>
      </c>
      <c r="AL15" s="706">
        <f>IF($C15="other",(1-$C7)*AJ15,(1-(VLOOKUP($C15,'S3 - Screening Tool Metrics'!$C$3:$G$17,5,FALSE)/100))*AJ15)</f>
        <v>33.618832535338534</v>
      </c>
      <c r="AM15" s="706">
        <f>IF($C15="other",$C7*AJ15,(VLOOKUP($C15,'S3 - Screening Tool Metrics'!$C$3:$G$17,5,FALSE)/100)*AJ15)</f>
        <v>134.47533014135416</v>
      </c>
      <c r="AN15" s="709">
        <f t="shared" si="7"/>
        <v>2.8239254544593484</v>
      </c>
    </row>
    <row r="16" spans="2:40" x14ac:dyDescent="0.15">
      <c r="B16" s="700" t="s">
        <v>8</v>
      </c>
      <c r="C16" s="721" t="str">
        <f>$C8</f>
        <v>Other</v>
      </c>
      <c r="D16" s="552" t="s">
        <v>200</v>
      </c>
      <c r="E16" s="710">
        <f>VLOOKUP($B16&amp;"_"&amp;$D16,'App5 - CRUK Inci Rates'!C:H,6,FALSE)</f>
        <v>0</v>
      </c>
      <c r="F16" s="711">
        <f>VLOOKUP($B16&amp;"_"&amp;$D16,'App5 - CRUK Inci Rates'!C:H,3,FALSE)</f>
        <v>270.90219320904782</v>
      </c>
      <c r="G16" s="712">
        <f>VLOOKUP($B16&amp;"_"&amp;$D16,'App5 - CRUK Inci Rates'!C:J,8,FALSE)</f>
        <v>12496392</v>
      </c>
      <c r="H16" s="713">
        <f>VLOOKUP($B16&amp;"_"&amp;$D16,'App5 - CRUK Inci Rates'!C:J,7,FALSE)</f>
        <v>0</v>
      </c>
      <c r="I16" s="713">
        <f>VLOOKUP($B16&amp;"_"&amp;$D16,'App5 - CRUK Inci Rates'!C:J,4,FALSE)</f>
        <v>12496392</v>
      </c>
      <c r="J16" s="709">
        <f>VLOOKUP($B16&amp;"_"&amp;$D16,'App5 - CRUK Inci Rates'!C:K,9,FALSE)</f>
        <v>33853</v>
      </c>
      <c r="K16" s="706">
        <f t="shared" si="8"/>
        <v>6248196</v>
      </c>
      <c r="L16" s="706">
        <f>VLOOKUP("*"&amp;$B16&amp;"*",'S4 - Summ PRS Characteristics'!$C$5:$Q$12,11,FALSE)*$J16</f>
        <v>23625.11044555622</v>
      </c>
      <c r="M16" s="706">
        <f t="shared" si="9"/>
        <v>10227.88955444378</v>
      </c>
      <c r="N16" s="706">
        <f>IF($C16="other",(1-$C$7)*L16,(1-(VLOOKUP($C16,'S3 - Screening Tool Metrics'!$C$3:$G$17,5,FALSE)/100))*L16)</f>
        <v>4725.0220891112431</v>
      </c>
      <c r="O16" s="706">
        <f>IF($C16="other",$C$7*L16,(VLOOKUP($C16,'S3 - Screening Tool Metrics'!$C$3:$G$17,5,FALSE)/100)*L16)</f>
        <v>18900.088356444976</v>
      </c>
      <c r="P16" s="706">
        <f t="shared" si="10"/>
        <v>55.829877282500739</v>
      </c>
      <c r="Q16" s="707">
        <f t="shared" si="0"/>
        <v>2499278.4</v>
      </c>
      <c r="R16" s="706">
        <f>VLOOKUP("*"&amp;$B16&amp;"*",'S4 - Summ PRS Characteristics'!$C$5:$Q$12,12,FALSE)*$J16</f>
        <v>12634.744110344411</v>
      </c>
      <c r="S16" s="706">
        <f t="shared" si="11"/>
        <v>21218.255889655589</v>
      </c>
      <c r="T16" s="706">
        <f>IF($C16="other",(1-$C7)*R16,(1-(VLOOKUP($C16,'S3 - Screening Tool Metrics'!$C$3:$G$17,5,FALSE)/100))*R16)</f>
        <v>2526.9488220688818</v>
      </c>
      <c r="U16" s="706">
        <f>IF($C16="other",$C7*R16,(VLOOKUP($C16,'S3 - Screening Tool Metrics'!$C$3:$G$17,5,FALSE)/100)*R16)</f>
        <v>10107.795288275529</v>
      </c>
      <c r="V16" s="708">
        <f t="shared" si="1"/>
        <v>29.857901185347025</v>
      </c>
      <c r="W16" s="707">
        <f t="shared" si="2"/>
        <v>1249639.2</v>
      </c>
      <c r="X16" s="706">
        <f>VLOOKUP("*"&amp;$B16&amp;"*",'S4 - Summ PRS Characteristics'!$C$5:$Q$12,13,FALSE)*$J16</f>
        <v>7537.537704942094</v>
      </c>
      <c r="Y16" s="706">
        <f t="shared" si="12"/>
        <v>26315.462295057907</v>
      </c>
      <c r="Z16" s="706">
        <f>IF($C16="other",(1-$C7)*X16,(1-(VLOOKUP($C16,'S3 - Screening Tool Metrics'!$C$3:$G$17,5,FALSE)/100))*X16)</f>
        <v>1507.5075409884184</v>
      </c>
      <c r="AA16" s="706">
        <f>IF($C16="other",$C7*X16,(VLOOKUP($C16,'S3 - Screening Tool Metrics'!$C$3:$G$17,5,FALSE)/100)*X16)</f>
        <v>6030.0301639536756</v>
      </c>
      <c r="AB16" s="708">
        <f t="shared" si="3"/>
        <v>17.812395249914854</v>
      </c>
      <c r="AC16" s="706">
        <f t="shared" si="4"/>
        <v>624819.6</v>
      </c>
      <c r="AD16" s="706">
        <f>VLOOKUP("*"&amp;$B16&amp;"*",'S4 - Summ PRS Characteristics'!$C$5:$Q$12,14,FALSE)*$J16</f>
        <v>4399.6843573662891</v>
      </c>
      <c r="AE16" s="706">
        <f t="shared" si="14"/>
        <v>29453.315642633712</v>
      </c>
      <c r="AF16" s="706">
        <f>IF($C16="other",(1-$C7)*AD16,(1-(VLOOKUP($C16,'S3 - Screening Tool Metrics'!$C$3:$G$17,5,FALSE)/100))*AD16)</f>
        <v>879.93687147325761</v>
      </c>
      <c r="AG16" s="706">
        <f>IF($C16="other",$C7*AD16,(VLOOKUP($C16,'S3 - Screening Tool Metrics'!$C$3:$G$17,5,FALSE)/100)*AD16)</f>
        <v>3519.7474858930314</v>
      </c>
      <c r="AH16" s="708">
        <f t="shared" si="5"/>
        <v>10.397150875529587</v>
      </c>
      <c r="AI16" s="707">
        <f t="shared" si="6"/>
        <v>124963.92</v>
      </c>
      <c r="AJ16" s="706">
        <f>VLOOKUP("*"&amp;$B16&amp;"*",'S4 - Summ PRS Characteristics'!$C$5:$Q$12,15,FALSE)*$J16</f>
        <v>1194.9793551226537</v>
      </c>
      <c r="AK16" s="706">
        <f t="shared" si="13"/>
        <v>32658.020644877346</v>
      </c>
      <c r="AL16" s="706">
        <f>IF($C16="other",(1-$C7)*AJ16,(1-(VLOOKUP($C16,'S3 - Screening Tool Metrics'!$C$3:$G$17,5,FALSE)/100))*AJ16)</f>
        <v>238.99587102453069</v>
      </c>
      <c r="AM16" s="706">
        <f>IF($C16="other",$C7*AJ16,(VLOOKUP($C16,'S3 - Screening Tool Metrics'!$C$3:$G$17,5,FALSE)/100)*AJ16)</f>
        <v>955.98348409812297</v>
      </c>
      <c r="AN16" s="709">
        <f t="shared" si="7"/>
        <v>2.8239254544593475</v>
      </c>
    </row>
    <row r="17" spans="2:40" x14ac:dyDescent="0.15">
      <c r="B17" s="700" t="s">
        <v>8</v>
      </c>
      <c r="C17" s="721" t="str">
        <f>$C8</f>
        <v>Other</v>
      </c>
      <c r="D17" s="552" t="s">
        <v>201</v>
      </c>
      <c r="E17" s="710">
        <f>VLOOKUP($B17&amp;"_"&amp;$D17,'App5 - CRUK Inci Rates'!C:H,6,FALSE)</f>
        <v>0</v>
      </c>
      <c r="F17" s="711">
        <f>VLOOKUP($B17&amp;"_"&amp;$D17,'App5 - CRUK Inci Rates'!C:H,3,FALSE)</f>
        <v>172.39159216630148</v>
      </c>
      <c r="G17" s="712">
        <f>VLOOKUP($B17&amp;"_"&amp;$D17,'App5 - CRUK Inci Rates'!C:J,8,FALSE)</f>
        <v>4369702.666666667</v>
      </c>
      <c r="H17" s="713">
        <f>VLOOKUP($B17&amp;"_"&amp;$D17,'App5 - CRUK Inci Rates'!C:J,7,FALSE)</f>
        <v>0</v>
      </c>
      <c r="I17" s="713">
        <f>VLOOKUP($B17&amp;"_"&amp;$D17,'App5 - CRUK Inci Rates'!C:J,4,FALSE)</f>
        <v>4369702.666666667</v>
      </c>
      <c r="J17" s="709">
        <f>VLOOKUP($B17&amp;"_"&amp;$D17,'App5 - CRUK Inci Rates'!C:K,9,FALSE)</f>
        <v>7533</v>
      </c>
      <c r="K17" s="706">
        <f t="shared" si="8"/>
        <v>2184851.3333333335</v>
      </c>
      <c r="L17" s="706">
        <f>VLOOKUP("*"&amp;$B17&amp;"*",'S4 - Summ PRS Characteristics'!$C$5:$Q$12,11,FALSE)*$J17</f>
        <v>5257.0808196134758</v>
      </c>
      <c r="M17" s="706">
        <f t="shared" si="9"/>
        <v>2275.9191803865242</v>
      </c>
      <c r="N17" s="706">
        <f>IF($C17="other",(1-$C$7)*L17,(1-(VLOOKUP($C17,'S3 - Screening Tool Metrics'!$C$3:$G$17,5,FALSE)/100))*L17)</f>
        <v>1051.416163922695</v>
      </c>
      <c r="O17" s="706">
        <f>IF($C17="other",$C$7*L17,(VLOOKUP($C17,'S3 - Screening Tool Metrics'!$C$3:$G$17,5,FALSE)/100)*L17)</f>
        <v>4205.6646556907808</v>
      </c>
      <c r="P17" s="706">
        <f t="shared" si="10"/>
        <v>55.829877282500739</v>
      </c>
      <c r="Q17" s="707">
        <f t="shared" si="0"/>
        <v>873940.53333333344</v>
      </c>
      <c r="R17" s="706">
        <f>VLOOKUP("*"&amp;$B17&amp;"*",'S4 - Summ PRS Characteristics'!$C$5:$Q$12,12,FALSE)*$J17</f>
        <v>2811.4946203652394</v>
      </c>
      <c r="S17" s="706">
        <f t="shared" si="11"/>
        <v>4721.5053796347602</v>
      </c>
      <c r="T17" s="706">
        <f>IF($C17="other",(1-$C7)*R17,(1-(VLOOKUP($C17,'S3 - Screening Tool Metrics'!$C$3:$G$17,5,FALSE)/100))*R17)</f>
        <v>562.29892407304771</v>
      </c>
      <c r="U17" s="706">
        <f>IF($C17="other",$C7*R17,(VLOOKUP($C17,'S3 - Screening Tool Metrics'!$C$3:$G$17,5,FALSE)/100)*R17)</f>
        <v>2249.1956962921918</v>
      </c>
      <c r="V17" s="708">
        <f t="shared" si="1"/>
        <v>29.857901185347028</v>
      </c>
      <c r="W17" s="707">
        <f t="shared" si="2"/>
        <v>436970.26666666672</v>
      </c>
      <c r="X17" s="706">
        <f>VLOOKUP("*"&amp;$B17&amp;"*",'S4 - Summ PRS Characteristics'!$C$5:$Q$12,13,FALSE)*$J17</f>
        <v>1677.2596677201075</v>
      </c>
      <c r="Y17" s="706">
        <f t="shared" si="12"/>
        <v>5855.7403322798928</v>
      </c>
      <c r="Z17" s="706">
        <f>IF($C17="other",(1-$C7)*X17,(1-(VLOOKUP($C17,'S3 - Screening Tool Metrics'!$C$3:$G$17,5,FALSE)/100))*X17)</f>
        <v>335.45193354402141</v>
      </c>
      <c r="AA17" s="706">
        <f>IF($C17="other",$C7*X17,(VLOOKUP($C17,'S3 - Screening Tool Metrics'!$C$3:$G$17,5,FALSE)/100)*X17)</f>
        <v>1341.8077341760861</v>
      </c>
      <c r="AB17" s="708">
        <f t="shared" si="3"/>
        <v>17.812395249914857</v>
      </c>
      <c r="AC17" s="706">
        <f t="shared" si="4"/>
        <v>218485.13333333336</v>
      </c>
      <c r="AD17" s="706">
        <f>VLOOKUP("*"&amp;$B17&amp;"*",'S4 - Summ PRS Characteristics'!$C$5:$Q$12,14,FALSE)*$J17</f>
        <v>979.02171931705482</v>
      </c>
      <c r="AE17" s="706">
        <f t="shared" si="14"/>
        <v>6553.9782806829453</v>
      </c>
      <c r="AF17" s="706">
        <f>IF($C17="other",(1-$C7)*AD17,(1-(VLOOKUP($C17,'S3 - Screening Tool Metrics'!$C$3:$G$17,5,FALSE)/100))*AD17)</f>
        <v>195.80434386341091</v>
      </c>
      <c r="AG17" s="706">
        <f>IF($C17="other",$C7*AD17,(VLOOKUP($C17,'S3 - Screening Tool Metrics'!$C$3:$G$17,5,FALSE)/100)*AD17)</f>
        <v>783.21737545364385</v>
      </c>
      <c r="AH17" s="708">
        <f t="shared" si="5"/>
        <v>10.397150875529588</v>
      </c>
      <c r="AI17" s="707">
        <f t="shared" si="6"/>
        <v>43697.026666666672</v>
      </c>
      <c r="AJ17" s="706">
        <f>VLOOKUP("*"&amp;$B17&amp;"*",'S4 - Summ PRS Characteristics'!$C$5:$Q$12,15,FALSE)*$J17</f>
        <v>265.90788060552836</v>
      </c>
      <c r="AK17" s="706">
        <f t="shared" si="13"/>
        <v>7267.0921193944714</v>
      </c>
      <c r="AL17" s="706">
        <f>IF($C17="other",(1-$C7)*AJ17,(1-(VLOOKUP($C17,'S3 - Screening Tool Metrics'!$C$3:$G$17,5,FALSE)/100))*AJ17)</f>
        <v>53.181576121105664</v>
      </c>
      <c r="AM17" s="706">
        <f>IF($C17="other",$C7*AJ17,(VLOOKUP($C17,'S3 - Screening Tool Metrics'!$C$3:$G$17,5,FALSE)/100)*AJ17)</f>
        <v>212.72630448442271</v>
      </c>
      <c r="AN17" s="709">
        <f t="shared" si="7"/>
        <v>2.8239254544593484</v>
      </c>
    </row>
    <row r="18" spans="2:40" x14ac:dyDescent="0.15">
      <c r="B18" s="700" t="s">
        <v>8</v>
      </c>
      <c r="C18" s="721" t="str">
        <f>$C8</f>
        <v>Other</v>
      </c>
      <c r="D18" s="552" t="s">
        <v>202</v>
      </c>
      <c r="E18" s="710">
        <f>VLOOKUP($B18&amp;"_"&amp;$D18,'App5 - CRUK Inci Rates'!C:H,6,FALSE)</f>
        <v>0</v>
      </c>
      <c r="F18" s="711">
        <f>VLOOKUP($B18&amp;"_"&amp;$D18,'App5 - CRUK Inci Rates'!C:H,3,FALSE)</f>
        <v>282.4951148355575</v>
      </c>
      <c r="G18" s="712">
        <f>VLOOKUP($B18&amp;"_"&amp;$D18,'App5 - CRUK Inci Rates'!C:J,8,FALSE)</f>
        <v>4484325.333333334</v>
      </c>
      <c r="H18" s="713">
        <f>VLOOKUP($B18&amp;"_"&amp;$D18,'App5 - CRUK Inci Rates'!C:J,7,FALSE)</f>
        <v>0</v>
      </c>
      <c r="I18" s="713">
        <f>VLOOKUP($B18&amp;"_"&amp;$D18,'App5 - CRUK Inci Rates'!C:J,4,FALSE)</f>
        <v>4484325.333333334</v>
      </c>
      <c r="J18" s="709">
        <f>VLOOKUP($B18&amp;"_"&amp;$D18,'App5 - CRUK Inci Rates'!C:K,9,FALSE)</f>
        <v>12668</v>
      </c>
      <c r="K18" s="706">
        <f t="shared" si="8"/>
        <v>2242162.666666667</v>
      </c>
      <c r="L18" s="706">
        <f>VLOOKUP("*"&amp;$B18&amp;"*",'S4 - Summ PRS Characteristics'!$C$5:$Q$12,11,FALSE)*$J18</f>
        <v>8840.6610676839919</v>
      </c>
      <c r="M18" s="706">
        <f t="shared" si="9"/>
        <v>3827.3389323160081</v>
      </c>
      <c r="N18" s="706">
        <f>IF($C18="other",(1-$C$7)*L18,(1-(VLOOKUP($C18,'S3 - Screening Tool Metrics'!$C$3:$G$17,5,FALSE)/100))*L18)</f>
        <v>1768.132213536798</v>
      </c>
      <c r="O18" s="706">
        <f>IF($C18="other",$C$7*L18,(VLOOKUP($C18,'S3 - Screening Tool Metrics'!$C$3:$G$17,5,FALSE)/100)*L18)</f>
        <v>7072.5288541471937</v>
      </c>
      <c r="P18" s="706">
        <f t="shared" si="10"/>
        <v>55.829877282500739</v>
      </c>
      <c r="Q18" s="707">
        <f t="shared" si="0"/>
        <v>896865.06666666688</v>
      </c>
      <c r="R18" s="706">
        <f>VLOOKUP("*"&amp;$B18&amp;"*",'S4 - Summ PRS Characteristics'!$C$5:$Q$12,12,FALSE)*$J18</f>
        <v>4727.9986526997018</v>
      </c>
      <c r="S18" s="706">
        <f t="shared" si="11"/>
        <v>7940.0013473002982</v>
      </c>
      <c r="T18" s="706">
        <f>IF($C18="other",(1-$C7)*R18,(1-(VLOOKUP($C18,'S3 - Screening Tool Metrics'!$C$3:$G$17,5,FALSE)/100))*R18)</f>
        <v>945.5997305399402</v>
      </c>
      <c r="U18" s="706">
        <f>IF($C18="other",$C7*R18,(VLOOKUP($C18,'S3 - Screening Tool Metrics'!$C$3:$G$17,5,FALSE)/100)*R18)</f>
        <v>3782.3989221597617</v>
      </c>
      <c r="V18" s="708">
        <f t="shared" si="1"/>
        <v>29.857901185347028</v>
      </c>
      <c r="W18" s="707">
        <f t="shared" si="2"/>
        <v>448432.53333333344</v>
      </c>
      <c r="X18" s="706">
        <f>VLOOKUP("*"&amp;$B18&amp;"*",'S4 - Summ PRS Characteristics'!$C$5:$Q$12,13,FALSE)*$J18</f>
        <v>2820.5927878240173</v>
      </c>
      <c r="Y18" s="706">
        <f t="shared" si="12"/>
        <v>9847.4072121759818</v>
      </c>
      <c r="Z18" s="706">
        <f>IF($C18="other",(1-$C7)*X18,(1-(VLOOKUP($C18,'S3 - Screening Tool Metrics'!$C$3:$G$17,5,FALSE)/100))*X18)</f>
        <v>564.11855756480327</v>
      </c>
      <c r="AA18" s="706">
        <f>IF($C18="other",$C7*X18,(VLOOKUP($C18,'S3 - Screening Tool Metrics'!$C$3:$G$17,5,FALSE)/100)*X18)</f>
        <v>2256.474230259214</v>
      </c>
      <c r="AB18" s="708">
        <f t="shared" si="3"/>
        <v>17.812395249914857</v>
      </c>
      <c r="AC18" s="706">
        <f t="shared" si="4"/>
        <v>224216.26666666672</v>
      </c>
      <c r="AD18" s="706">
        <f>VLOOKUP("*"&amp;$B18&amp;"*",'S4 - Summ PRS Characteristics'!$C$5:$Q$12,14,FALSE)*$J18</f>
        <v>1646.3888411401103</v>
      </c>
      <c r="AE18" s="706">
        <f t="shared" si="14"/>
        <v>11021.611158859891</v>
      </c>
      <c r="AF18" s="706">
        <f>IF($C18="other",(1-$C7)*AD18,(1-(VLOOKUP($C18,'S3 - Screening Tool Metrics'!$C$3:$G$17,5,FALSE)/100))*AD18)</f>
        <v>329.27776822802201</v>
      </c>
      <c r="AG18" s="706">
        <f>IF($C18="other",$C7*AD18,(VLOOKUP($C18,'S3 - Screening Tool Metrics'!$C$3:$G$17,5,FALSE)/100)*AD18)</f>
        <v>1317.1110729120883</v>
      </c>
      <c r="AH18" s="708">
        <f t="shared" si="5"/>
        <v>10.397150875529588</v>
      </c>
      <c r="AI18" s="707">
        <f t="shared" si="6"/>
        <v>44843.253333333341</v>
      </c>
      <c r="AJ18" s="706">
        <f>VLOOKUP("*"&amp;$B18&amp;"*",'S4 - Summ PRS Characteristics'!$C$5:$Q$12,15,FALSE)*$J18</f>
        <v>447.16859571363773</v>
      </c>
      <c r="AK18" s="706">
        <f t="shared" si="13"/>
        <v>12220.831404286362</v>
      </c>
      <c r="AL18" s="706">
        <f>IF($C18="other",(1-$C7)*AJ18,(1-(VLOOKUP($C18,'S3 - Screening Tool Metrics'!$C$3:$G$17,5,FALSE)/100))*AJ18)</f>
        <v>89.433719142727526</v>
      </c>
      <c r="AM18" s="706">
        <f>IF($C18="other",$C7*AJ18,(VLOOKUP($C18,'S3 - Screening Tool Metrics'!$C$3:$G$17,5,FALSE)/100)*AJ18)</f>
        <v>357.73487657091022</v>
      </c>
      <c r="AN18" s="709">
        <f t="shared" si="7"/>
        <v>2.823925454459348</v>
      </c>
    </row>
    <row r="19" spans="2:40" x14ac:dyDescent="0.15">
      <c r="B19" s="700" t="s">
        <v>8</v>
      </c>
      <c r="C19" s="721" t="str">
        <f>$C8</f>
        <v>Other</v>
      </c>
      <c r="D19" s="552" t="s">
        <v>203</v>
      </c>
      <c r="E19" s="710">
        <f>VLOOKUP($B19&amp;"_"&amp;$D19,'App5 - CRUK Inci Rates'!C:H,6,FALSE)</f>
        <v>0</v>
      </c>
      <c r="F19" s="711">
        <f>VLOOKUP($B19&amp;"_"&amp;$D19,'App5 - CRUK Inci Rates'!C:H,3,FALSE)</f>
        <v>323.87112291893521</v>
      </c>
      <c r="G19" s="712">
        <f>VLOOKUP($B19&amp;"_"&amp;$D19,'App5 - CRUK Inci Rates'!C:J,8,FALSE)</f>
        <v>8126689.333333334</v>
      </c>
      <c r="H19" s="713">
        <f>VLOOKUP($B19&amp;"_"&amp;$D19,'App5 - CRUK Inci Rates'!C:J,7,FALSE)</f>
        <v>0</v>
      </c>
      <c r="I19" s="713">
        <f>VLOOKUP($B19&amp;"_"&amp;$D19,'App5 - CRUK Inci Rates'!C:J,4,FALSE)</f>
        <v>8126689.333333334</v>
      </c>
      <c r="J19" s="709">
        <f>VLOOKUP($B19&amp;"_"&amp;$D19,'App5 - CRUK Inci Rates'!C:K,9,FALSE)</f>
        <v>26320</v>
      </c>
      <c r="K19" s="706">
        <f t="shared" si="8"/>
        <v>4063344.666666667</v>
      </c>
      <c r="L19" s="706">
        <f>VLOOKUP("*"&amp;$B19&amp;"*",'S4 - Summ PRS Characteristics'!$C$5:$Q$12,11,FALSE)*$J19</f>
        <v>18368.029625942741</v>
      </c>
      <c r="M19" s="706">
        <f t="shared" si="9"/>
        <v>7951.9703740572586</v>
      </c>
      <c r="N19" s="706">
        <f>IF($C19="other",(1-$C$7)*L19,(1-(VLOOKUP($C19,'S3 - Screening Tool Metrics'!$C$3:$G$17,5,FALSE)/100))*L19)</f>
        <v>3673.6059251885476</v>
      </c>
      <c r="O19" s="706">
        <f>IF($C19="other",$C$7*L19,(VLOOKUP($C19,'S3 - Screening Tool Metrics'!$C$3:$G$17,5,FALSE)/100)*L19)</f>
        <v>14694.423700754194</v>
      </c>
      <c r="P19" s="706">
        <f t="shared" si="10"/>
        <v>55.829877282500739</v>
      </c>
      <c r="Q19" s="707">
        <f t="shared" si="0"/>
        <v>1625337.8666666669</v>
      </c>
      <c r="R19" s="706">
        <f>VLOOKUP("*"&amp;$B19&amp;"*",'S4 - Summ PRS Characteristics'!$C$5:$Q$12,12,FALSE)*$J19</f>
        <v>9823.2494899791709</v>
      </c>
      <c r="S19" s="706">
        <f t="shared" si="11"/>
        <v>16496.750510020829</v>
      </c>
      <c r="T19" s="706">
        <f>IF($C19="other",(1-$C7)*R19,(1-(VLOOKUP($C19,'S3 - Screening Tool Metrics'!$C$3:$G$17,5,FALSE)/100))*R19)</f>
        <v>1964.6498979958337</v>
      </c>
      <c r="U19" s="706">
        <f>IF($C19="other",$C7*R19,(VLOOKUP($C19,'S3 - Screening Tool Metrics'!$C$3:$G$17,5,FALSE)/100)*R19)</f>
        <v>7858.5995919833367</v>
      </c>
      <c r="V19" s="708">
        <f t="shared" si="1"/>
        <v>29.857901185347025</v>
      </c>
      <c r="W19" s="707">
        <f t="shared" si="2"/>
        <v>812668.93333333347</v>
      </c>
      <c r="X19" s="706">
        <f>VLOOKUP("*"&amp;$B19&amp;"*",'S4 - Summ PRS Characteristics'!$C$5:$Q$12,13,FALSE)*$J19</f>
        <v>5860.2780372219868</v>
      </c>
      <c r="Y19" s="706">
        <f t="shared" si="12"/>
        <v>20459.721962778014</v>
      </c>
      <c r="Z19" s="706">
        <f>IF($C19="other",(1-$C7)*X19,(1-(VLOOKUP($C19,'S3 - Screening Tool Metrics'!$C$3:$G$17,5,FALSE)/100))*X19)</f>
        <v>1172.0556074443971</v>
      </c>
      <c r="AA19" s="706">
        <f>IF($C19="other",$C7*X19,(VLOOKUP($C19,'S3 - Screening Tool Metrics'!$C$3:$G$17,5,FALSE)/100)*X19)</f>
        <v>4688.2224297775892</v>
      </c>
      <c r="AB19" s="708">
        <f t="shared" si="3"/>
        <v>17.812395249914854</v>
      </c>
      <c r="AC19" s="706">
        <f t="shared" si="4"/>
        <v>406334.46666666673</v>
      </c>
      <c r="AD19" s="706">
        <f>VLOOKUP("*"&amp;$B19&amp;"*",'S4 - Summ PRS Characteristics'!$C$5:$Q$12,14,FALSE)*$J19</f>
        <v>3420.6626380492344</v>
      </c>
      <c r="AE19" s="706">
        <f t="shared" si="14"/>
        <v>22899.337361950766</v>
      </c>
      <c r="AF19" s="706">
        <f>IF($C19="other",(1-$C7)*AD19,(1-(VLOOKUP($C19,'S3 - Screening Tool Metrics'!$C$3:$G$17,5,FALSE)/100))*AD19)</f>
        <v>684.13252760984676</v>
      </c>
      <c r="AG19" s="706">
        <f>IF($C19="other",$C7*AD19,(VLOOKUP($C19,'S3 - Screening Tool Metrics'!$C$3:$G$17,5,FALSE)/100)*AD19)</f>
        <v>2736.5301104393875</v>
      </c>
      <c r="AH19" s="708">
        <f t="shared" si="5"/>
        <v>10.397150875529587</v>
      </c>
      <c r="AI19" s="707">
        <f t="shared" si="6"/>
        <v>81266.893333333341</v>
      </c>
      <c r="AJ19" s="706">
        <f>VLOOKUP("*"&amp;$B19&amp;"*",'S4 - Summ PRS Characteristics'!$C$5:$Q$12,15,FALSE)*$J19</f>
        <v>929.07147451712547</v>
      </c>
      <c r="AK19" s="706">
        <f t="shared" si="13"/>
        <v>25390.928525482876</v>
      </c>
      <c r="AL19" s="706">
        <f>IF($C19="other",(1-$C7)*AJ19,(1-(VLOOKUP($C19,'S3 - Screening Tool Metrics'!$C$3:$G$17,5,FALSE)/100))*AJ19)</f>
        <v>185.81429490342506</v>
      </c>
      <c r="AM19" s="706">
        <f>IF($C19="other",$C7*AJ19,(VLOOKUP($C19,'S3 - Screening Tool Metrics'!$C$3:$G$17,5,FALSE)/100)*AJ19)</f>
        <v>743.25717961370037</v>
      </c>
      <c r="AN19" s="709">
        <f t="shared" si="7"/>
        <v>2.823925454459348</v>
      </c>
    </row>
    <row r="20" spans="2:40" x14ac:dyDescent="0.15">
      <c r="B20" s="700" t="s">
        <v>8</v>
      </c>
      <c r="C20" s="721" t="str">
        <f>$C9</f>
        <v>Other</v>
      </c>
      <c r="D20" s="552" t="s">
        <v>292</v>
      </c>
      <c r="E20" s="710">
        <f>VLOOKUP($B20&amp;"_"&amp;$D20,'App5 - CRUK Inci Rates'!C:H,6,FALSE)</f>
        <v>0</v>
      </c>
      <c r="F20" s="711">
        <f>VLOOKUP($B20&amp;"_"&amp;$D20,'App5 - CRUK Inci Rates'!C:H,3,FALSE)</f>
        <v>374.17267503121917</v>
      </c>
      <c r="G20" s="712">
        <f>VLOOKUP($B20&amp;"_"&amp;$D20,'App5 - CRUK Inci Rates'!C:J,8,FALSE)</f>
        <v>5245973.666666667</v>
      </c>
      <c r="H20" s="713">
        <f>VLOOKUP($B20&amp;"_"&amp;$D20,'App5 - CRUK Inci Rates'!C:J,7,FALSE)</f>
        <v>0</v>
      </c>
      <c r="I20" s="713">
        <f>VLOOKUP($B20&amp;"_"&amp;$D20,'App5 - CRUK Inci Rates'!C:J,4,FALSE)</f>
        <v>5245973.666666667</v>
      </c>
      <c r="J20" s="709">
        <f>VLOOKUP($B20&amp;"_"&amp;$D20,'App5 - CRUK Inci Rates'!C:K,9,FALSE)</f>
        <v>19629</v>
      </c>
      <c r="K20" s="706">
        <f t="shared" si="8"/>
        <v>2622986.8333333335</v>
      </c>
      <c r="L20" s="706">
        <f>VLOOKUP("*"&amp;$B20&amp;"*",'S4 - Summ PRS Characteristics'!$C$5:$Q$12,11,FALSE)*$J20</f>
        <v>13698.558264727588</v>
      </c>
      <c r="M20" s="706">
        <f t="shared" si="9"/>
        <v>5930.4417352724122</v>
      </c>
      <c r="N20" s="706">
        <f>IF($C20="other",(1-$C$7)*L20,(1-(VLOOKUP($C20,'S3 - Screening Tool Metrics'!$C$3:$G$17,5,FALSE)/100))*L20)</f>
        <v>2739.711652945517</v>
      </c>
      <c r="O20" s="706">
        <f>IF($C20="other",$C$7*L20,(VLOOKUP($C20,'S3 - Screening Tool Metrics'!$C$3:$G$17,5,FALSE)/100)*L20)</f>
        <v>10958.846611782072</v>
      </c>
      <c r="P20" s="706">
        <f t="shared" si="10"/>
        <v>55.829877282500753</v>
      </c>
      <c r="Q20" s="707">
        <f t="shared" si="0"/>
        <v>1049194.7333333334</v>
      </c>
      <c r="R20" s="706">
        <f>VLOOKUP("*"&amp;$B20&amp;"*",'S4 - Summ PRS Characteristics'!$C$5:$Q$12,12,FALSE)*$J20</f>
        <v>7326.0092795897099</v>
      </c>
      <c r="S20" s="706">
        <f t="shared" ref="S20" si="15">$J20-R20</f>
        <v>12302.990720410289</v>
      </c>
      <c r="T20" s="706">
        <f>IF($C20="other",(1-$C7)*R20,(1-(VLOOKUP($C20,'S3 - Screening Tool Metrics'!$C$3:$G$17,5,FALSE)/100))*R20)</f>
        <v>1465.2018559179417</v>
      </c>
      <c r="U20" s="706">
        <f>IF($C20="other",$C7*R20,(VLOOKUP($C20,'S3 - Screening Tool Metrics'!$C$3:$G$17,5,FALSE)/100)*R20)</f>
        <v>5860.8074236717684</v>
      </c>
      <c r="V20" s="708">
        <f t="shared" si="1"/>
        <v>29.857901185347028</v>
      </c>
      <c r="W20" s="707">
        <f t="shared" si="2"/>
        <v>524597.3666666667</v>
      </c>
      <c r="X20" s="706">
        <f>VLOOKUP("*"&amp;$B20&amp;"*",'S4 - Summ PRS Characteristics'!$C$5:$Q$12,13,FALSE)*$J20</f>
        <v>4370.4938295072334</v>
      </c>
      <c r="Y20" s="706">
        <f t="shared" ref="Y20" si="16">$J20-X20</f>
        <v>15258.506170492767</v>
      </c>
      <c r="Z20" s="706">
        <f>IF($C20="other",(1-$C7)*X20,(1-(VLOOKUP($C20,'S3 - Screening Tool Metrics'!$C$3:$G$17,5,FALSE)/100))*X20)</f>
        <v>874.09876590144643</v>
      </c>
      <c r="AA20" s="706">
        <f>IF($C20="other",$C7*X20,(VLOOKUP($C20,'S3 - Screening Tool Metrics'!$C$3:$G$17,5,FALSE)/100)*X20)</f>
        <v>3496.3950636057871</v>
      </c>
      <c r="AB20" s="708">
        <f t="shared" si="3"/>
        <v>17.812395249914857</v>
      </c>
      <c r="AC20" s="706">
        <f t="shared" si="4"/>
        <v>262298.68333333335</v>
      </c>
      <c r="AD20" s="706">
        <f>VLOOKUP("*"&amp;$B20&amp;"*",'S4 - Summ PRS Characteristics'!$C$5:$Q$12,14,FALSE)*$J20</f>
        <v>2551.0709316971288</v>
      </c>
      <c r="AE20" s="706">
        <f t="shared" ref="AE20" si="17">$J20-AD20</f>
        <v>17077.92906830287</v>
      </c>
      <c r="AF20" s="706">
        <f>IF($C20="other",(1-$C7)*AD20,(1-(VLOOKUP($C20,'S3 - Screening Tool Metrics'!$C$3:$G$17,5,FALSE)/100))*AD20)</f>
        <v>510.21418633942562</v>
      </c>
      <c r="AG20" s="706">
        <f>IF($C20="other",$C7*AD20,(VLOOKUP($C20,'S3 - Screening Tool Metrics'!$C$3:$G$17,5,FALSE)/100)*AD20)</f>
        <v>2040.8567453577032</v>
      </c>
      <c r="AH20" s="708">
        <f t="shared" si="5"/>
        <v>10.39715087552959</v>
      </c>
      <c r="AI20" s="707">
        <f t="shared" si="6"/>
        <v>52459.736666666671</v>
      </c>
      <c r="AJ20" s="706">
        <f>VLOOKUP("*"&amp;$B20&amp;"*",'S4 - Summ PRS Characteristics'!$C$5:$Q$12,15,FALSE)*$J20</f>
        <v>692.88540931978173</v>
      </c>
      <c r="AK20" s="706">
        <f t="shared" ref="AK20" si="18">$J20-AJ20</f>
        <v>18936.114590680219</v>
      </c>
      <c r="AL20" s="706">
        <f>IF($C20="other",(1-$C7)*AJ20,(1-(VLOOKUP($C20,'S3 - Screening Tool Metrics'!$C$3:$G$17,5,FALSE)/100))*AJ20)</f>
        <v>138.57708186395632</v>
      </c>
      <c r="AM20" s="706">
        <f>IF($C20="other",$C7*AJ20,(VLOOKUP($C20,'S3 - Screening Tool Metrics'!$C$3:$G$17,5,FALSE)/100)*AJ20)</f>
        <v>554.30832745582541</v>
      </c>
      <c r="AN20" s="709">
        <f t="shared" si="7"/>
        <v>2.823925454459348</v>
      </c>
    </row>
    <row r="21" spans="2:40" x14ac:dyDescent="0.15">
      <c r="B21" s="700" t="s">
        <v>8</v>
      </c>
      <c r="C21" s="721" t="str">
        <f>$C8</f>
        <v>Other</v>
      </c>
      <c r="D21" s="552" t="s">
        <v>204</v>
      </c>
      <c r="E21" s="710">
        <f>VLOOKUP($B21&amp;"_"&amp;$D21,'App5 - CRUK Inci Rates'!C:H,6,FALSE)</f>
        <v>0</v>
      </c>
      <c r="F21" s="711">
        <f>VLOOKUP($B21&amp;"_"&amp;$D21,'App5 - CRUK Inci Rates'!C:H,3,FALSE)</f>
        <v>291.80100809814547</v>
      </c>
      <c r="G21" s="712">
        <f>VLOOKUP($B21&amp;"_"&amp;$D21,'App5 - CRUK Inci Rates'!C:J,8,FALSE)</f>
        <v>15281647</v>
      </c>
      <c r="H21" s="713">
        <f>VLOOKUP($B21&amp;"_"&amp;$D21,'App5 - CRUK Inci Rates'!C:J,7,FALSE)</f>
        <v>0</v>
      </c>
      <c r="I21" s="713">
        <f>VLOOKUP($B21&amp;"_"&amp;$D21,'App5 - CRUK Inci Rates'!C:J,4,FALSE)</f>
        <v>15281647</v>
      </c>
      <c r="J21" s="709">
        <f>VLOOKUP($B21&amp;"_"&amp;$D21,'App5 - CRUK Inci Rates'!C:K,9,FALSE)</f>
        <v>44592</v>
      </c>
      <c r="K21" s="706">
        <f t="shared" si="8"/>
        <v>7640823.5</v>
      </c>
      <c r="L21" s="706">
        <f>VLOOKUP("*"&amp;$B21&amp;"*",'S4 - Summ PRS Characteristics'!$C$5:$Q$12,11,FALSE)*$J21</f>
        <v>31119.573597265909</v>
      </c>
      <c r="M21" s="706">
        <f t="shared" si="9"/>
        <v>13472.426402734091</v>
      </c>
      <c r="N21" s="706">
        <f>IF($C21="other",(1-$C$7)*L21,(1-(VLOOKUP($C21,'S3 - Screening Tool Metrics'!$C$3:$G$17,5,FALSE)/100))*L21)</f>
        <v>6223.9147194531806</v>
      </c>
      <c r="O21" s="706">
        <f>IF($C21="other",$C$7*L21,(VLOOKUP($C21,'S3 - Screening Tool Metrics'!$C$3:$G$17,5,FALSE)/100)*L21)</f>
        <v>24895.65887781273</v>
      </c>
      <c r="P21" s="706">
        <f t="shared" si="10"/>
        <v>55.829877282500739</v>
      </c>
      <c r="Q21" s="707">
        <f t="shared" si="0"/>
        <v>3056329.4000000004</v>
      </c>
      <c r="R21" s="706">
        <f>VLOOKUP("*"&amp;$B21&amp;"*",'S4 - Summ PRS Characteristics'!$C$5:$Q$12,12,FALSE)*$J21</f>
        <v>16642.794120712431</v>
      </c>
      <c r="S21" s="706">
        <f t="shared" si="11"/>
        <v>27949.205879287569</v>
      </c>
      <c r="T21" s="706">
        <f>IF($C21="other",(1-$C7)*R21,(1-(VLOOKUP($C21,'S3 - Screening Tool Metrics'!$C$3:$G$17,5,FALSE)/100))*R21)</f>
        <v>3328.5588241424857</v>
      </c>
      <c r="U21" s="706">
        <f>IF($C21="other",$C7*R21,(VLOOKUP($C21,'S3 - Screening Tool Metrics'!$C$3:$G$17,5,FALSE)/100)*R21)</f>
        <v>13314.235296569947</v>
      </c>
      <c r="V21" s="708">
        <f t="shared" si="1"/>
        <v>29.857901185347028</v>
      </c>
      <c r="W21" s="707">
        <f t="shared" si="2"/>
        <v>1528164.7000000002</v>
      </c>
      <c r="X21" s="706">
        <f>VLOOKUP("*"&amp;$B21&amp;"*",'S4 - Summ PRS Characteristics'!$C$5:$Q$12,13,FALSE)*$J21</f>
        <v>9928.6291123025403</v>
      </c>
      <c r="Y21" s="706">
        <f t="shared" si="12"/>
        <v>34663.370887697456</v>
      </c>
      <c r="Z21" s="706">
        <f>IF($C21="other",(1-$C7)*X21,(1-(VLOOKUP($C21,'S3 - Screening Tool Metrics'!$C$3:$G$17,5,FALSE)/100))*X21)</f>
        <v>1985.7258224605075</v>
      </c>
      <c r="AA21" s="706">
        <f>IF($C21="other",$C7*X21,(VLOOKUP($C21,'S3 - Screening Tool Metrics'!$C$3:$G$17,5,FALSE)/100)*X21)</f>
        <v>7942.9032898420328</v>
      </c>
      <c r="AB21" s="708">
        <f t="shared" si="3"/>
        <v>17.812395249914857</v>
      </c>
      <c r="AC21" s="706">
        <f t="shared" si="4"/>
        <v>764082.35000000009</v>
      </c>
      <c r="AD21" s="706">
        <f>VLOOKUP("*"&amp;$B21&amp;"*",'S4 - Summ PRS Characteristics'!$C$5:$Q$12,14,FALSE)*$J21</f>
        <v>5795.3718980201929</v>
      </c>
      <c r="AE21" s="706">
        <f t="shared" si="14"/>
        <v>38796.628101979804</v>
      </c>
      <c r="AF21" s="706">
        <f>IF($C21="other",(1-$C7)*AD21,(1-(VLOOKUP($C21,'S3 - Screening Tool Metrics'!$C$3:$G$17,5,FALSE)/100))*AD21)</f>
        <v>1159.0743796040383</v>
      </c>
      <c r="AG21" s="706">
        <f>IF($C21="other",$C7*AD21,(VLOOKUP($C21,'S3 - Screening Tool Metrics'!$C$3:$G$17,5,FALSE)/100)*AD21)</f>
        <v>4636.2975184161542</v>
      </c>
      <c r="AH21" s="708">
        <f t="shared" si="5"/>
        <v>10.397150875529588</v>
      </c>
      <c r="AI21" s="707">
        <f t="shared" si="6"/>
        <v>152816.47</v>
      </c>
      <c r="AJ21" s="706">
        <f>VLOOKUP("*"&amp;$B21&amp;"*",'S4 - Summ PRS Characteristics'!$C$5:$Q$12,15,FALSE)*$J21</f>
        <v>1574.0560483156405</v>
      </c>
      <c r="AK21" s="706">
        <f t="shared" si="13"/>
        <v>43017.943951684356</v>
      </c>
      <c r="AL21" s="706">
        <f>IF($C21="other",(1-$C7)*AJ21,(1-(VLOOKUP($C21,'S3 - Screening Tool Metrics'!$C$3:$G$17,5,FALSE)/100))*AJ21)</f>
        <v>314.81120966312801</v>
      </c>
      <c r="AM21" s="706">
        <f>IF($C21="other",$C7*AJ21,(VLOOKUP($C21,'S3 - Screening Tool Metrics'!$C$3:$G$17,5,FALSE)/100)*AJ21)</f>
        <v>1259.2448386525125</v>
      </c>
      <c r="AN21" s="709">
        <f t="shared" si="7"/>
        <v>2.823925454459348</v>
      </c>
    </row>
    <row r="22" spans="2:40" ht="14" thickBot="1" x14ac:dyDescent="0.2">
      <c r="B22" s="700" t="s">
        <v>8</v>
      </c>
      <c r="C22" s="721" t="str">
        <f>$C9</f>
        <v>Other</v>
      </c>
      <c r="D22" s="552" t="s">
        <v>205</v>
      </c>
      <c r="E22" s="710">
        <f>VLOOKUP($B22&amp;"_"&amp;$D22,'App5 - CRUK Inci Rates'!C:H,6,FALSE)</f>
        <v>0</v>
      </c>
      <c r="F22" s="711">
        <f>VLOOKUP($B22&amp;"_"&amp;$D22,'App5 - CRUK Inci Rates'!C:H,3,FALSE)</f>
        <v>166.0138492223038</v>
      </c>
      <c r="G22" s="712">
        <f>VLOOKUP($B22&amp;"_"&amp;$D22,'App5 - CRUK Inci Rates'!C:J,8,FALSE)</f>
        <v>33458051.999999996</v>
      </c>
      <c r="H22" s="713">
        <f>VLOOKUP($B22&amp;"_"&amp;$D22,'App5 - CRUK Inci Rates'!C:J,7,FALSE)</f>
        <v>0</v>
      </c>
      <c r="I22" s="713">
        <f>VLOOKUP($B22&amp;"_"&amp;$D22,'App5 - CRUK Inci Rates'!C:J,4,FALSE)</f>
        <v>33458051.999999996</v>
      </c>
      <c r="J22" s="709">
        <f>VLOOKUP($B22&amp;"_"&amp;$D22,'App5 - CRUK Inci Rates'!C:K,9,FALSE)</f>
        <v>55545</v>
      </c>
      <c r="K22" s="716"/>
      <c r="L22" s="716"/>
      <c r="M22" s="716"/>
      <c r="N22" s="716"/>
      <c r="O22" s="716"/>
      <c r="P22" s="716"/>
      <c r="Q22" s="715"/>
      <c r="R22" s="716"/>
      <c r="S22" s="716"/>
      <c r="T22" s="716"/>
      <c r="U22" s="716"/>
      <c r="V22" s="717"/>
      <c r="W22" s="715"/>
      <c r="X22" s="716"/>
      <c r="Y22" s="716"/>
      <c r="Z22" s="716"/>
      <c r="AA22" s="716"/>
      <c r="AB22" s="717"/>
      <c r="AC22" s="716"/>
      <c r="AD22" s="716"/>
      <c r="AE22" s="716"/>
      <c r="AF22" s="716"/>
      <c r="AG22" s="716"/>
      <c r="AH22" s="717"/>
      <c r="AI22" s="715"/>
      <c r="AJ22" s="716"/>
      <c r="AK22" s="716"/>
      <c r="AL22" s="716"/>
      <c r="AM22" s="716"/>
      <c r="AN22" s="718"/>
    </row>
    <row r="23" spans="2:40" ht="21" customHeight="1" thickBot="1" x14ac:dyDescent="0.2">
      <c r="B23" s="686" t="s">
        <v>10</v>
      </c>
      <c r="C23" s="687">
        <v>0.8</v>
      </c>
      <c r="D23" s="688"/>
      <c r="E23" s="689"/>
      <c r="F23" s="690"/>
      <c r="G23" s="691"/>
      <c r="H23" s="692"/>
      <c r="I23" s="692"/>
      <c r="J23" s="693"/>
      <c r="K23" s="694"/>
      <c r="L23" s="694"/>
      <c r="M23" s="694"/>
      <c r="N23" s="694"/>
      <c r="O23" s="694"/>
      <c r="P23" s="694"/>
      <c r="Q23" s="695"/>
      <c r="R23" s="696"/>
      <c r="S23" s="696"/>
      <c r="T23" s="696"/>
      <c r="U23" s="696"/>
      <c r="V23" s="697"/>
      <c r="W23" s="695"/>
      <c r="X23" s="696"/>
      <c r="Y23" s="696"/>
      <c r="Z23" s="696"/>
      <c r="AA23" s="696"/>
      <c r="AB23" s="697"/>
      <c r="AC23" s="696"/>
      <c r="AD23" s="696"/>
      <c r="AE23" s="696"/>
      <c r="AF23" s="696"/>
      <c r="AG23" s="696"/>
      <c r="AH23" s="697"/>
      <c r="AI23" s="695"/>
      <c r="AJ23" s="696"/>
      <c r="AK23" s="696"/>
      <c r="AL23" s="696"/>
      <c r="AM23" s="696"/>
      <c r="AN23" s="699"/>
    </row>
    <row r="24" spans="2:40" x14ac:dyDescent="0.15">
      <c r="B24" s="700" t="s">
        <v>10</v>
      </c>
      <c r="C24" s="741" t="s">
        <v>180</v>
      </c>
      <c r="D24" s="593" t="s">
        <v>192</v>
      </c>
      <c r="E24" s="701">
        <f>VLOOKUP($B24&amp;"_"&amp;$D24,'App5 - CRUK Inci Rates'!C:H,6,FALSE)</f>
        <v>4.3</v>
      </c>
      <c r="F24" s="702">
        <f>VLOOKUP($B24&amp;"_"&amp;$D24,'App5 - CRUK Inci Rates'!C:H,3,FALSE)</f>
        <v>0</v>
      </c>
      <c r="G24" s="703">
        <f>VLOOKUP($B24&amp;"_"&amp;$D24,'App5 - CRUK Inci Rates'!C:J,8,FALSE)</f>
        <v>2021384.6666666667</v>
      </c>
      <c r="H24" s="704">
        <f>VLOOKUP($B24&amp;"_"&amp;$D24,'App5 - CRUK Inci Rates'!C:J,7,FALSE)</f>
        <v>2021384.6666666667</v>
      </c>
      <c r="I24" s="704">
        <f>VLOOKUP($B24&amp;"_"&amp;$D24,'App5 - CRUK Inci Rates'!C:J,4,FALSE)</f>
        <v>0</v>
      </c>
      <c r="J24" s="705">
        <f>VLOOKUP($B24&amp;"_"&amp;$D24,'App5 - CRUK Inci Rates'!C:K,9,FALSE)</f>
        <v>88</v>
      </c>
      <c r="K24" s="706">
        <f t="shared" si="8"/>
        <v>1010692.3333333334</v>
      </c>
      <c r="L24" s="706">
        <f>VLOOKUP("*"&amp;$B24&amp;"*",'S4 - Summ PRS Characteristics'!$C$5:$Q$12,11,FALSE)*$J24</f>
        <v>67.725328944679177</v>
      </c>
      <c r="M24" s="706">
        <f t="shared" si="9"/>
        <v>20.274671055320823</v>
      </c>
      <c r="N24" s="706">
        <f>IF($C24="other",(1-$C$7)*L24,(1-(VLOOKUP($C24,'S3 - Screening Tool Metrics'!$C$3:$G$17,5,FALSE)/100))*L24)</f>
        <v>13.545065788935833</v>
      </c>
      <c r="O24" s="706">
        <f>IF($C24="other",$C$7*L24,(VLOOKUP($C24,'S3 - Screening Tool Metrics'!$C$3:$G$17,5,FALSE)/100)*L24)</f>
        <v>54.180263155743347</v>
      </c>
      <c r="P24" s="706">
        <f t="shared" si="10"/>
        <v>61.568480858799255</v>
      </c>
      <c r="Q24" s="707">
        <f t="shared" ref="Q24:Q38" si="19">$G24*Q$3</f>
        <v>404276.93333333335</v>
      </c>
      <c r="R24" s="706">
        <f>VLOOKUP("*"&amp;$B24&amp;"*",'S4 - Summ PRS Characteristics'!$C$5:$Q$12,12,FALSE)*$J24</f>
        <v>40.352962332429136</v>
      </c>
      <c r="S24" s="706">
        <f>$J24-R24</f>
        <v>47.647037667570864</v>
      </c>
      <c r="T24" s="706">
        <f>IF($C24="other",(1-$C23)*R24,(1-(VLOOKUP($C24,'S3 - Screening Tool Metrics'!$C$3:$G$17,5,FALSE)/100))*R24)</f>
        <v>8.0705924664858255</v>
      </c>
      <c r="U24" s="706">
        <f>IF($C24="other",$C23*R24,(VLOOKUP($C24,'S3 - Screening Tool Metrics'!$C$3:$G$17,5,FALSE)/100)*R24)</f>
        <v>32.282369865943309</v>
      </c>
      <c r="V24" s="708">
        <f t="shared" ref="V24:V38" si="20">$U24/$J24*100</f>
        <v>36.684511211299217</v>
      </c>
      <c r="W24" s="707">
        <f t="shared" ref="W24:W38" si="21">$G24*W$3</f>
        <v>202138.46666666667</v>
      </c>
      <c r="X24" s="706">
        <f>VLOOKUP("*"&amp;$B24&amp;"*",'S4 - Summ PRS Characteristics'!$C$5:$Q$12,13,FALSE)*$J24</f>
        <v>25.803375920262219</v>
      </c>
      <c r="Y24" s="706">
        <f>$J24-X24</f>
        <v>62.196624079737781</v>
      </c>
      <c r="Z24" s="706">
        <f>IF($C24="other",(1-$C23)*X24,(1-(VLOOKUP($C24,'S3 - Screening Tool Metrics'!$C$3:$G$17,5,FALSE)/100))*X24)</f>
        <v>5.160675184052443</v>
      </c>
      <c r="AA24" s="706">
        <f>IF($C24="other",$C23*X24,(VLOOKUP($C24,'S3 - Screening Tool Metrics'!$C$3:$G$17,5,FALSE)/100)*X24)</f>
        <v>20.642700736209775</v>
      </c>
      <c r="AB24" s="708">
        <f t="shared" ref="AB24:AB38" si="22">$AA24/$J24*100</f>
        <v>23.457614472965655</v>
      </c>
      <c r="AC24" s="706">
        <f t="shared" ref="AC24:AC38" si="23">$G24*AC$3</f>
        <v>101069.23333333334</v>
      </c>
      <c r="AD24" s="706">
        <f>VLOOKUP("*"&amp;$B24&amp;"*",'S4 - Summ PRS Characteristics'!$C$5:$Q$12,14,FALSE)*$J24</f>
        <v>16.026834156676532</v>
      </c>
      <c r="AE24" s="706">
        <f>$J24-AD24</f>
        <v>71.973165843323471</v>
      </c>
      <c r="AF24" s="706">
        <f>IF($C24="other",(1-$C23)*AD24,(1-(VLOOKUP($C24,'S3 - Screening Tool Metrics'!$C$3:$G$17,5,FALSE)/100))*AD24)</f>
        <v>3.2053668313353056</v>
      </c>
      <c r="AG24" s="706">
        <f>IF($C24="other",$C23*AD24,(VLOOKUP($C24,'S3 - Screening Tool Metrics'!$C$3:$G$17,5,FALSE)/100)*AD24)</f>
        <v>12.821467325341226</v>
      </c>
      <c r="AH24" s="708">
        <f t="shared" ref="AH24:AH38" si="24">$AG24/$J24*100</f>
        <v>14.569849233342303</v>
      </c>
      <c r="AI24" s="707">
        <f t="shared" ref="AI24:AI38" si="25">$G24*AI$3</f>
        <v>20213.846666666668</v>
      </c>
      <c r="AJ24" s="706">
        <f>VLOOKUP("*"&amp;$B24&amp;"*",'S4 - Summ PRS Characteristics'!$C$5:$Q$12,15,FALSE)*$J24</f>
        <v>4.9326649831462372</v>
      </c>
      <c r="AK24" s="706">
        <f>$J24-AJ24</f>
        <v>83.067335016853761</v>
      </c>
      <c r="AL24" s="706">
        <f>IF($C24="other",(1-$C23)*AJ24,(1-(VLOOKUP($C24,'S3 - Screening Tool Metrics'!$C$3:$G$17,5,FALSE)/100))*AJ24)</f>
        <v>0.98653299662924721</v>
      </c>
      <c r="AM24" s="706">
        <f>IF($C24="other",$C23*AJ24,(VLOOKUP($C24,'S3 - Screening Tool Metrics'!$C$3:$G$17,5,FALSE)/100)*AJ24)</f>
        <v>3.9461319865169902</v>
      </c>
      <c r="AN24" s="709">
        <f t="shared" ref="AN24:AN38" si="26">$AM24/$J24*100</f>
        <v>4.4842408937693072</v>
      </c>
    </row>
    <row r="25" spans="2:40" x14ac:dyDescent="0.15">
      <c r="B25" s="700" t="s">
        <v>10</v>
      </c>
      <c r="C25" s="721" t="str">
        <f>$C24</f>
        <v>Other</v>
      </c>
      <c r="D25" s="552" t="s">
        <v>193</v>
      </c>
      <c r="E25" s="710">
        <f>VLOOKUP($B25&amp;"_"&amp;$D25,'App5 - CRUK Inci Rates'!C:H,6,FALSE)</f>
        <v>20.5</v>
      </c>
      <c r="F25" s="711">
        <f>VLOOKUP($B25&amp;"_"&amp;$D25,'App5 - CRUK Inci Rates'!C:H,3,FALSE)</f>
        <v>0</v>
      </c>
      <c r="G25" s="712">
        <f>VLOOKUP($B25&amp;"_"&amp;$D25,'App5 - CRUK Inci Rates'!C:J,8,FALSE)</f>
        <v>2251680</v>
      </c>
      <c r="H25" s="713">
        <f>VLOOKUP($B25&amp;"_"&amp;$D25,'App5 - CRUK Inci Rates'!C:J,7,FALSE)</f>
        <v>2251680</v>
      </c>
      <c r="I25" s="713">
        <f>VLOOKUP($B25&amp;"_"&amp;$D25,'App5 - CRUK Inci Rates'!C:J,4,FALSE)</f>
        <v>0</v>
      </c>
      <c r="J25" s="709">
        <f>VLOOKUP($B25&amp;"_"&amp;$D25,'App5 - CRUK Inci Rates'!C:K,9,FALSE)</f>
        <v>461</v>
      </c>
      <c r="K25" s="706">
        <f t="shared" si="8"/>
        <v>1125840</v>
      </c>
      <c r="L25" s="706">
        <f>VLOOKUP("*"&amp;$B25&amp;"*",'S4 - Summ PRS Characteristics'!$C$5:$Q$12,11,FALSE)*$J25</f>
        <v>354.78837094883073</v>
      </c>
      <c r="M25" s="706">
        <f t="shared" si="9"/>
        <v>106.21162905116927</v>
      </c>
      <c r="N25" s="706">
        <f>IF($C25="other",(1-$C$7)*L25,(1-(VLOOKUP($C25,'S3 - Screening Tool Metrics'!$C$3:$G$17,5,FALSE)/100))*L25)</f>
        <v>70.957674189766124</v>
      </c>
      <c r="O25" s="706">
        <f>IF($C25="other",$C$7*L25,(VLOOKUP($C25,'S3 - Screening Tool Metrics'!$C$3:$G$17,5,FALSE)/100)*L25)</f>
        <v>283.83069675906461</v>
      </c>
      <c r="P25" s="706">
        <f t="shared" si="10"/>
        <v>61.568480858799269</v>
      </c>
      <c r="Q25" s="707">
        <f t="shared" si="19"/>
        <v>450336</v>
      </c>
      <c r="R25" s="706">
        <f>VLOOKUP("*"&amp;$B25&amp;"*",'S4 - Summ PRS Characteristics'!$C$5:$Q$12,12,FALSE)*$J25</f>
        <v>211.39449585511176</v>
      </c>
      <c r="S25" s="706">
        <f t="shared" ref="S25:S38" si="27">$J25-R25</f>
        <v>249.60550414488824</v>
      </c>
      <c r="T25" s="706">
        <f>IF($C25="other",(1-$C23)*R25,(1-(VLOOKUP($C25,'S3 - Screening Tool Metrics'!$C$3:$G$17,5,FALSE)/100))*R25)</f>
        <v>42.278899171022339</v>
      </c>
      <c r="U25" s="706">
        <f>IF($C25="other",$C23*R25,(VLOOKUP($C25,'S3 - Screening Tool Metrics'!$C$3:$G$17,5,FALSE)/100)*R25)</f>
        <v>169.11559668408941</v>
      </c>
      <c r="V25" s="708">
        <f t="shared" si="20"/>
        <v>36.684511211299217</v>
      </c>
      <c r="W25" s="707">
        <f t="shared" si="21"/>
        <v>225168</v>
      </c>
      <c r="X25" s="706">
        <f>VLOOKUP("*"&amp;$B25&amp;"*",'S4 - Summ PRS Characteristics'!$C$5:$Q$12,13,FALSE)*$J25</f>
        <v>135.1745034004646</v>
      </c>
      <c r="Y25" s="706">
        <f t="shared" ref="Y25:Y38" si="28">$J25-X25</f>
        <v>325.82549659953543</v>
      </c>
      <c r="Z25" s="706">
        <f>IF($C25="other",(1-$C23)*X25,(1-(VLOOKUP($C25,'S3 - Screening Tool Metrics'!$C$3:$G$17,5,FALSE)/100))*X25)</f>
        <v>27.034900680092914</v>
      </c>
      <c r="AA25" s="706">
        <f>IF($C25="other",$C23*X25,(VLOOKUP($C25,'S3 - Screening Tool Metrics'!$C$3:$G$17,5,FALSE)/100)*X25)</f>
        <v>108.13960272037168</v>
      </c>
      <c r="AB25" s="708">
        <f t="shared" si="22"/>
        <v>23.457614472965655</v>
      </c>
      <c r="AC25" s="706">
        <f t="shared" si="23"/>
        <v>112584</v>
      </c>
      <c r="AD25" s="706">
        <f>VLOOKUP("*"&amp;$B25&amp;"*",'S4 - Summ PRS Characteristics'!$C$5:$Q$12,14,FALSE)*$J25</f>
        <v>83.958756207135011</v>
      </c>
      <c r="AE25" s="706">
        <f>$J25-AD25</f>
        <v>377.04124379286498</v>
      </c>
      <c r="AF25" s="706">
        <f>IF($C25="other",(1-$C23)*AD25,(1-(VLOOKUP($C25,'S3 - Screening Tool Metrics'!$C$3:$G$17,5,FALSE)/100))*AD25)</f>
        <v>16.791751241426997</v>
      </c>
      <c r="AG25" s="706">
        <f>IF($C25="other",$C23*AD25,(VLOOKUP($C25,'S3 - Screening Tool Metrics'!$C$3:$G$17,5,FALSE)/100)*AD25)</f>
        <v>67.167004965708017</v>
      </c>
      <c r="AH25" s="708">
        <f t="shared" si="24"/>
        <v>14.569849233342303</v>
      </c>
      <c r="AI25" s="707">
        <f t="shared" si="25"/>
        <v>22516.799999999999</v>
      </c>
      <c r="AJ25" s="706">
        <f>VLOOKUP("*"&amp;$B25&amp;"*",'S4 - Summ PRS Characteristics'!$C$5:$Q$12,15,FALSE)*$J25</f>
        <v>25.840438150345626</v>
      </c>
      <c r="AK25" s="706">
        <f t="shared" ref="AK25:AK38" si="29">$J25-AJ25</f>
        <v>435.15956184965438</v>
      </c>
      <c r="AL25" s="706">
        <f>IF($C25="other",(1-$C23)*AJ25,(1-(VLOOKUP($C25,'S3 - Screening Tool Metrics'!$C$3:$G$17,5,FALSE)/100))*AJ25)</f>
        <v>5.1680876300691239</v>
      </c>
      <c r="AM25" s="706">
        <f>IF($C25="other",$C23*AJ25,(VLOOKUP($C25,'S3 - Screening Tool Metrics'!$C$3:$G$17,5,FALSE)/100)*AJ25)</f>
        <v>20.672350520276503</v>
      </c>
      <c r="AN25" s="709">
        <f t="shared" si="26"/>
        <v>4.4842408937693063</v>
      </c>
    </row>
    <row r="26" spans="2:40" x14ac:dyDescent="0.15">
      <c r="B26" s="700" t="s">
        <v>10</v>
      </c>
      <c r="C26" s="721" t="str">
        <f>$C24</f>
        <v>Other</v>
      </c>
      <c r="D26" s="552" t="s">
        <v>194</v>
      </c>
      <c r="E26" s="710">
        <f>VLOOKUP($B26&amp;"_"&amp;$D26,'App5 - CRUK Inci Rates'!C:H,6,FALSE)</f>
        <v>75.7</v>
      </c>
      <c r="F26" s="711">
        <f>VLOOKUP($B26&amp;"_"&amp;$D26,'App5 - CRUK Inci Rates'!C:H,3,FALSE)</f>
        <v>0</v>
      </c>
      <c r="G26" s="712">
        <f>VLOOKUP($B26&amp;"_"&amp;$D26,'App5 - CRUK Inci Rates'!C:J,8,FALSE)</f>
        <v>2293472.6666666665</v>
      </c>
      <c r="H26" s="713">
        <f>VLOOKUP($B26&amp;"_"&amp;$D26,'App5 - CRUK Inci Rates'!C:J,7,FALSE)</f>
        <v>2293472.6666666665</v>
      </c>
      <c r="I26" s="713">
        <f>VLOOKUP($B26&amp;"_"&amp;$D26,'App5 - CRUK Inci Rates'!C:J,4,FALSE)</f>
        <v>0</v>
      </c>
      <c r="J26" s="709">
        <f>VLOOKUP($B26&amp;"_"&amp;$D26,'App5 - CRUK Inci Rates'!C:K,9,FALSE)</f>
        <v>1737</v>
      </c>
      <c r="K26" s="706">
        <f t="shared" si="8"/>
        <v>1146736.3333333333</v>
      </c>
      <c r="L26" s="706">
        <f>VLOOKUP("*"&amp;$B26&amp;"*",'S4 - Summ PRS Characteristics'!$C$5:$Q$12,11,FALSE)*$J26</f>
        <v>1336.8056406466787</v>
      </c>
      <c r="M26" s="706">
        <f t="shared" si="9"/>
        <v>400.19435935332126</v>
      </c>
      <c r="N26" s="706">
        <f>IF($C26="other",(1-$C$7)*L26,(1-(VLOOKUP($C26,'S3 - Screening Tool Metrics'!$C$3:$G$17,5,FALSE)/100))*L26)</f>
        <v>267.36112812933567</v>
      </c>
      <c r="O26" s="706">
        <f>IF($C26="other",$C$7*L26,(VLOOKUP($C26,'S3 - Screening Tool Metrics'!$C$3:$G$17,5,FALSE)/100)*L26)</f>
        <v>1069.4445125173431</v>
      </c>
      <c r="P26" s="706">
        <f t="shared" si="10"/>
        <v>61.568480858799255</v>
      </c>
      <c r="Q26" s="707">
        <f t="shared" si="19"/>
        <v>458694.53333333333</v>
      </c>
      <c r="R26" s="706">
        <f>VLOOKUP("*"&amp;$B26&amp;"*",'S4 - Summ PRS Characteristics'!$C$5:$Q$12,12,FALSE)*$J26</f>
        <v>796.51244967533421</v>
      </c>
      <c r="S26" s="706">
        <f t="shared" si="27"/>
        <v>940.48755032466579</v>
      </c>
      <c r="T26" s="706">
        <f>IF($C26="other",(1-$C23)*R26,(1-(VLOOKUP($C26,'S3 - Screening Tool Metrics'!$C$3:$G$17,5,FALSE)/100))*R26)</f>
        <v>159.3024899350668</v>
      </c>
      <c r="U26" s="706">
        <f>IF($C26="other",$C23*R26,(VLOOKUP($C26,'S3 - Screening Tool Metrics'!$C$3:$G$17,5,FALSE)/100)*R26)</f>
        <v>637.20995974026744</v>
      </c>
      <c r="V26" s="708">
        <f t="shared" si="20"/>
        <v>36.684511211299217</v>
      </c>
      <c r="W26" s="707">
        <f t="shared" si="21"/>
        <v>229347.26666666666</v>
      </c>
      <c r="X26" s="706">
        <f>VLOOKUP("*"&amp;$B26&amp;"*",'S4 - Summ PRS Characteristics'!$C$5:$Q$12,13,FALSE)*$J26</f>
        <v>509.32345424426677</v>
      </c>
      <c r="Y26" s="706">
        <f t="shared" si="28"/>
        <v>1227.6765457557333</v>
      </c>
      <c r="Z26" s="706">
        <f>IF($C26="other",(1-$C23)*X26,(1-(VLOOKUP($C26,'S3 - Screening Tool Metrics'!$C$3:$G$17,5,FALSE)/100))*X26)</f>
        <v>101.86469084885333</v>
      </c>
      <c r="AA26" s="706">
        <f>IF($C26="other",$C23*X26,(VLOOKUP($C26,'S3 - Screening Tool Metrics'!$C$3:$G$17,5,FALSE)/100)*X26)</f>
        <v>407.45876339541343</v>
      </c>
      <c r="AB26" s="708">
        <f t="shared" si="22"/>
        <v>23.457614472965655</v>
      </c>
      <c r="AC26" s="706">
        <f t="shared" si="23"/>
        <v>114673.63333333333</v>
      </c>
      <c r="AD26" s="706">
        <f>VLOOKUP("*"&amp;$B26&amp;"*",'S4 - Summ PRS Characteristics'!$C$5:$Q$12,14,FALSE)*$J26</f>
        <v>316.34785147894473</v>
      </c>
      <c r="AE26" s="706">
        <f t="shared" ref="AE26:AE38" si="30">$J26-AD26</f>
        <v>1420.6521485210553</v>
      </c>
      <c r="AF26" s="706">
        <f>IF($C26="other",(1-$C23)*AD26,(1-(VLOOKUP($C26,'S3 - Screening Tool Metrics'!$C$3:$G$17,5,FALSE)/100))*AD26)</f>
        <v>63.269570295788931</v>
      </c>
      <c r="AG26" s="706">
        <f>IF($C26="other",$C23*AD26,(VLOOKUP($C26,'S3 - Screening Tool Metrics'!$C$3:$G$17,5,FALSE)/100)*AD26)</f>
        <v>253.07828118315581</v>
      </c>
      <c r="AH26" s="708">
        <f t="shared" si="24"/>
        <v>14.569849233342303</v>
      </c>
      <c r="AI26" s="707">
        <f t="shared" si="25"/>
        <v>22934.726666666666</v>
      </c>
      <c r="AJ26" s="706">
        <f>VLOOKUP("*"&amp;$B26&amp;"*",'S4 - Summ PRS Characteristics'!$C$5:$Q$12,15,FALSE)*$J26</f>
        <v>97.364080405966064</v>
      </c>
      <c r="AK26" s="706">
        <f t="shared" si="29"/>
        <v>1639.635919594034</v>
      </c>
      <c r="AL26" s="706">
        <f>IF($C26="other",(1-$C23)*AJ26,(1-(VLOOKUP($C26,'S3 - Screening Tool Metrics'!$C$3:$G$17,5,FALSE)/100))*AJ26)</f>
        <v>19.472816081193209</v>
      </c>
      <c r="AM26" s="706">
        <f>IF($C26="other",$C23*AJ26,(VLOOKUP($C26,'S3 - Screening Tool Metrics'!$C$3:$G$17,5,FALSE)/100)*AJ26)</f>
        <v>77.891264324772862</v>
      </c>
      <c r="AN26" s="709">
        <f t="shared" si="26"/>
        <v>4.4842408937693072</v>
      </c>
    </row>
    <row r="27" spans="2:40" x14ac:dyDescent="0.15">
      <c r="B27" s="700" t="s">
        <v>10</v>
      </c>
      <c r="C27" s="721" t="str">
        <f>$C24</f>
        <v>Other</v>
      </c>
      <c r="D27" s="552" t="s">
        <v>195</v>
      </c>
      <c r="E27" s="710">
        <f>VLOOKUP($B27&amp;"_"&amp;$D27,'App5 - CRUK Inci Rates'!C:H,6,FALSE)</f>
        <v>201.8</v>
      </c>
      <c r="F27" s="711">
        <f>VLOOKUP($B27&amp;"_"&amp;$D27,'App5 - CRUK Inci Rates'!C:H,3,FALSE)</f>
        <v>0</v>
      </c>
      <c r="G27" s="712">
        <f>VLOOKUP($B27&amp;"_"&amp;$D27,'App5 - CRUK Inci Rates'!C:J,8,FALSE)</f>
        <v>2061918.6666666667</v>
      </c>
      <c r="H27" s="713">
        <f>VLOOKUP($B27&amp;"_"&amp;$D27,'App5 - CRUK Inci Rates'!C:J,7,FALSE)</f>
        <v>2061918.6666666667</v>
      </c>
      <c r="I27" s="713">
        <f>VLOOKUP($B27&amp;"_"&amp;$D27,'App5 - CRUK Inci Rates'!C:J,4,FALSE)</f>
        <v>0</v>
      </c>
      <c r="J27" s="709">
        <f>VLOOKUP($B27&amp;"_"&amp;$D27,'App5 - CRUK Inci Rates'!C:K,9,FALSE)</f>
        <v>4160</v>
      </c>
      <c r="K27" s="706">
        <f t="shared" si="8"/>
        <v>1030959.3333333334</v>
      </c>
      <c r="L27" s="706">
        <f>VLOOKUP("*"&amp;$B27&amp;"*",'S4 - Summ PRS Characteristics'!$C$5:$Q$12,11,FALSE)*$J27</f>
        <v>3201.5610046575612</v>
      </c>
      <c r="M27" s="706">
        <f t="shared" si="9"/>
        <v>958.43899534243883</v>
      </c>
      <c r="N27" s="706">
        <f>IF($C27="other",(1-$C$7)*L27,(1-(VLOOKUP($C27,'S3 - Screening Tool Metrics'!$C$3:$G$17,5,FALSE)/100))*L27)</f>
        <v>640.31220093151205</v>
      </c>
      <c r="O27" s="706">
        <f>IF($C27="other",$C$7*L27,(VLOOKUP($C27,'S3 - Screening Tool Metrics'!$C$3:$G$17,5,FALSE)/100)*L27)</f>
        <v>2561.2488037260491</v>
      </c>
      <c r="P27" s="706">
        <f t="shared" si="10"/>
        <v>61.568480858799255</v>
      </c>
      <c r="Q27" s="707">
        <f t="shared" si="19"/>
        <v>412383.7333333334</v>
      </c>
      <c r="R27" s="706">
        <f>VLOOKUP("*"&amp;$B27&amp;"*",'S4 - Summ PRS Characteristics'!$C$5:$Q$12,12,FALSE)*$J27</f>
        <v>1907.5945829875593</v>
      </c>
      <c r="S27" s="706">
        <f t="shared" si="27"/>
        <v>2252.4054170124409</v>
      </c>
      <c r="T27" s="706">
        <f>IF($C27="other",(1-$C23)*R27,(1-(VLOOKUP($C27,'S3 - Screening Tool Metrics'!$C$3:$G$17,5,FALSE)/100))*R27)</f>
        <v>381.5189165975118</v>
      </c>
      <c r="U27" s="706">
        <f>IF($C27="other",$C23*R27,(VLOOKUP($C27,'S3 - Screening Tool Metrics'!$C$3:$G$17,5,FALSE)/100)*R27)</f>
        <v>1526.0756663900474</v>
      </c>
      <c r="V27" s="708">
        <f t="shared" si="20"/>
        <v>36.684511211299217</v>
      </c>
      <c r="W27" s="707">
        <f t="shared" si="21"/>
        <v>206191.8666666667</v>
      </c>
      <c r="X27" s="706">
        <f>VLOOKUP("*"&amp;$B27&amp;"*",'S4 - Summ PRS Characteristics'!$C$5:$Q$12,13,FALSE)*$J27</f>
        <v>1219.795952594214</v>
      </c>
      <c r="Y27" s="706">
        <f t="shared" si="28"/>
        <v>2940.2040474057858</v>
      </c>
      <c r="Z27" s="706">
        <f>IF($C27="other",(1-$C23)*X27,(1-(VLOOKUP($C27,'S3 - Screening Tool Metrics'!$C$3:$G$17,5,FALSE)/100))*X27)</f>
        <v>243.95919051884275</v>
      </c>
      <c r="AA27" s="706">
        <f>IF($C27="other",$C23*X27,(VLOOKUP($C27,'S3 - Screening Tool Metrics'!$C$3:$G$17,5,FALSE)/100)*X27)</f>
        <v>975.83676207537121</v>
      </c>
      <c r="AB27" s="708">
        <f t="shared" si="22"/>
        <v>23.457614472965655</v>
      </c>
      <c r="AC27" s="706">
        <f t="shared" si="23"/>
        <v>103095.93333333335</v>
      </c>
      <c r="AD27" s="706">
        <f>VLOOKUP("*"&amp;$B27&amp;"*",'S4 - Summ PRS Characteristics'!$C$5:$Q$12,14,FALSE)*$J27</f>
        <v>757.63216013379974</v>
      </c>
      <c r="AE27" s="706">
        <f t="shared" si="30"/>
        <v>3402.3678398662005</v>
      </c>
      <c r="AF27" s="706">
        <f>IF($C27="other",(1-$C23)*AD27,(1-(VLOOKUP($C27,'S3 - Screening Tool Metrics'!$C$3:$G$17,5,FALSE)/100))*AD27)</f>
        <v>151.52643202675992</v>
      </c>
      <c r="AG27" s="706">
        <f>IF($C27="other",$C23*AD27,(VLOOKUP($C27,'S3 - Screening Tool Metrics'!$C$3:$G$17,5,FALSE)/100)*AD27)</f>
        <v>606.10572810703979</v>
      </c>
      <c r="AH27" s="708">
        <f t="shared" si="24"/>
        <v>14.569849233342303</v>
      </c>
      <c r="AI27" s="707">
        <f t="shared" si="25"/>
        <v>20619.186666666668</v>
      </c>
      <c r="AJ27" s="706">
        <f>VLOOKUP("*"&amp;$B27&amp;"*",'S4 - Summ PRS Characteristics'!$C$5:$Q$12,15,FALSE)*$J27</f>
        <v>233.18052647600393</v>
      </c>
      <c r="AK27" s="706">
        <f t="shared" si="29"/>
        <v>3926.8194735239958</v>
      </c>
      <c r="AL27" s="706">
        <f>IF($C27="other",(1-$C23)*AJ27,(1-(VLOOKUP($C27,'S3 - Screening Tool Metrics'!$C$3:$G$17,5,FALSE)/100))*AJ27)</f>
        <v>46.636105295200778</v>
      </c>
      <c r="AM27" s="706">
        <f>IF($C27="other",$C23*AJ27,(VLOOKUP($C27,'S3 - Screening Tool Metrics'!$C$3:$G$17,5,FALSE)/100)*AJ27)</f>
        <v>186.54442118080317</v>
      </c>
      <c r="AN27" s="709">
        <f t="shared" si="26"/>
        <v>4.4842408937693072</v>
      </c>
    </row>
    <row r="28" spans="2:40" x14ac:dyDescent="0.15">
      <c r="B28" s="700" t="s">
        <v>10</v>
      </c>
      <c r="C28" s="721" t="str">
        <f>$C24</f>
        <v>Other</v>
      </c>
      <c r="D28" s="552" t="s">
        <v>196</v>
      </c>
      <c r="E28" s="710">
        <f>VLOOKUP($B28&amp;"_"&amp;$D28,'App5 - CRUK Inci Rates'!C:H,6,FALSE)</f>
        <v>356.1</v>
      </c>
      <c r="F28" s="711">
        <f>VLOOKUP($B28&amp;"_"&amp;$D28,'App5 - CRUK Inci Rates'!C:H,3,FALSE)</f>
        <v>0</v>
      </c>
      <c r="G28" s="712">
        <f>VLOOKUP($B28&amp;"_"&amp;$D28,'App5 - CRUK Inci Rates'!C:J,8,FALSE)</f>
        <v>1764828</v>
      </c>
      <c r="H28" s="713">
        <f>VLOOKUP($B28&amp;"_"&amp;$D28,'App5 - CRUK Inci Rates'!C:J,7,FALSE)</f>
        <v>1764828</v>
      </c>
      <c r="I28" s="713">
        <f>VLOOKUP($B28&amp;"_"&amp;$D28,'App5 - CRUK Inci Rates'!C:J,4,FALSE)</f>
        <v>0</v>
      </c>
      <c r="J28" s="709">
        <f>VLOOKUP($B28&amp;"_"&amp;$D28,'App5 - CRUK Inci Rates'!C:K,9,FALSE)</f>
        <v>6285</v>
      </c>
      <c r="K28" s="706">
        <f t="shared" si="8"/>
        <v>882414</v>
      </c>
      <c r="L28" s="706">
        <f>VLOOKUP("*"&amp;$B28&amp;"*",'S4 - Summ PRS Characteristics'!$C$5:$Q$12,11,FALSE)*$J28</f>
        <v>4836.9737774694167</v>
      </c>
      <c r="M28" s="706">
        <f t="shared" si="9"/>
        <v>1448.0262225305833</v>
      </c>
      <c r="N28" s="706">
        <f>IF($C28="other",(1-$C$7)*L28,(1-(VLOOKUP($C28,'S3 - Screening Tool Metrics'!$C$3:$G$17,5,FALSE)/100))*L28)</f>
        <v>967.39475549388317</v>
      </c>
      <c r="O28" s="706">
        <f>IF($C28="other",$C$7*L28,(VLOOKUP($C28,'S3 - Screening Tool Metrics'!$C$3:$G$17,5,FALSE)/100)*L28)</f>
        <v>3869.5790219755336</v>
      </c>
      <c r="P28" s="706">
        <f t="shared" si="10"/>
        <v>61.568480858799255</v>
      </c>
      <c r="Q28" s="707">
        <f t="shared" si="19"/>
        <v>352965.60000000003</v>
      </c>
      <c r="R28" s="706">
        <f>VLOOKUP("*"&amp;$B28&amp;"*",'S4 - Summ PRS Characteristics'!$C$5:$Q$12,12,FALSE)*$J28</f>
        <v>2882.0269120376947</v>
      </c>
      <c r="S28" s="706">
        <f t="shared" si="27"/>
        <v>3402.9730879623053</v>
      </c>
      <c r="T28" s="706">
        <f>IF($C28="other",(1-$C23)*R28,(1-(VLOOKUP($C28,'S3 - Screening Tool Metrics'!$C$3:$G$17,5,FALSE)/100))*R28)</f>
        <v>576.40538240753881</v>
      </c>
      <c r="U28" s="706">
        <f>IF($C28="other",$C23*R28,(VLOOKUP($C28,'S3 - Screening Tool Metrics'!$C$3:$G$17,5,FALSE)/100)*R28)</f>
        <v>2305.6215296301557</v>
      </c>
      <c r="V28" s="708">
        <f t="shared" si="20"/>
        <v>36.684511211299217</v>
      </c>
      <c r="W28" s="707">
        <f t="shared" si="21"/>
        <v>176482.80000000002</v>
      </c>
      <c r="X28" s="706">
        <f>VLOOKUP("*"&amp;$B28&amp;"*",'S4 - Summ PRS Characteristics'!$C$5:$Q$12,13,FALSE)*$J28</f>
        <v>1842.8888370323643</v>
      </c>
      <c r="Y28" s="706">
        <f t="shared" si="28"/>
        <v>4442.1111629676361</v>
      </c>
      <c r="Z28" s="706">
        <f>IF($C28="other",(1-$C23)*X28,(1-(VLOOKUP($C28,'S3 - Screening Tool Metrics'!$C$3:$G$17,5,FALSE)/100))*X28)</f>
        <v>368.57776740647279</v>
      </c>
      <c r="AA28" s="706">
        <f>IF($C28="other",$C23*X28,(VLOOKUP($C28,'S3 - Screening Tool Metrics'!$C$3:$G$17,5,FALSE)/100)*X28)</f>
        <v>1474.3110696258916</v>
      </c>
      <c r="AB28" s="708">
        <f t="shared" si="22"/>
        <v>23.457614472965655</v>
      </c>
      <c r="AC28" s="706">
        <f t="shared" si="23"/>
        <v>88241.400000000009</v>
      </c>
      <c r="AD28" s="706">
        <f>VLOOKUP("*"&amp;$B28&amp;"*",'S4 - Summ PRS Characteristics'!$C$5:$Q$12,14,FALSE)*$J28</f>
        <v>1144.6437803944546</v>
      </c>
      <c r="AE28" s="706">
        <f t="shared" si="30"/>
        <v>5140.3562196055454</v>
      </c>
      <c r="AF28" s="706">
        <f>IF($C28="other",(1-$C23)*AD28,(1-(VLOOKUP($C28,'S3 - Screening Tool Metrics'!$C$3:$G$17,5,FALSE)/100))*AD28)</f>
        <v>228.92875607889087</v>
      </c>
      <c r="AG28" s="706">
        <f>IF($C28="other",$C23*AD28,(VLOOKUP($C28,'S3 - Screening Tool Metrics'!$C$3:$G$17,5,FALSE)/100)*AD28)</f>
        <v>915.71502431556371</v>
      </c>
      <c r="AH28" s="708">
        <f t="shared" si="24"/>
        <v>14.569849233342303</v>
      </c>
      <c r="AI28" s="707">
        <f t="shared" si="25"/>
        <v>17648.28</v>
      </c>
      <c r="AJ28" s="706">
        <f>VLOOKUP("*"&amp;$B28&amp;"*",'S4 - Summ PRS Characteristics'!$C$5:$Q$12,15,FALSE)*$J28</f>
        <v>352.29317521675114</v>
      </c>
      <c r="AK28" s="706">
        <f t="shared" si="29"/>
        <v>5932.7068247832485</v>
      </c>
      <c r="AL28" s="706">
        <f>IF($C28="other",(1-$C23)*AJ28,(1-(VLOOKUP($C28,'S3 - Screening Tool Metrics'!$C$3:$G$17,5,FALSE)/100))*AJ28)</f>
        <v>70.458635043350213</v>
      </c>
      <c r="AM28" s="706">
        <f>IF($C28="other",$C23*AJ28,(VLOOKUP($C28,'S3 - Screening Tool Metrics'!$C$3:$G$17,5,FALSE)/100)*AJ28)</f>
        <v>281.83454017340091</v>
      </c>
      <c r="AN28" s="709">
        <f t="shared" si="26"/>
        <v>4.4842408937693063</v>
      </c>
    </row>
    <row r="29" spans="2:40" x14ac:dyDescent="0.15">
      <c r="B29" s="700" t="s">
        <v>10</v>
      </c>
      <c r="C29" s="721" t="str">
        <f>$C24</f>
        <v>Other</v>
      </c>
      <c r="D29" s="552" t="s">
        <v>197</v>
      </c>
      <c r="E29" s="710">
        <f>VLOOKUP($B29&amp;"_"&amp;$D29,'App5 - CRUK Inci Rates'!C:H,6,FALSE)</f>
        <v>622.70000000000005</v>
      </c>
      <c r="F29" s="711">
        <f>VLOOKUP($B29&amp;"_"&amp;$D29,'App5 - CRUK Inci Rates'!C:H,3,FALSE)</f>
        <v>0</v>
      </c>
      <c r="G29" s="712">
        <f>VLOOKUP($B29&amp;"_"&amp;$D29,'App5 - CRUK Inci Rates'!C:J,8,FALSE)</f>
        <v>1696993.3333333333</v>
      </c>
      <c r="H29" s="713">
        <f>VLOOKUP($B29&amp;"_"&amp;$D29,'App5 - CRUK Inci Rates'!C:J,7,FALSE)</f>
        <v>1696993.3333333333</v>
      </c>
      <c r="I29" s="713">
        <f>VLOOKUP($B29&amp;"_"&amp;$D29,'App5 - CRUK Inci Rates'!C:J,4,FALSE)</f>
        <v>0</v>
      </c>
      <c r="J29" s="709">
        <f>VLOOKUP($B29&amp;"_"&amp;$D29,'App5 - CRUK Inci Rates'!C:K,9,FALSE)</f>
        <v>10568</v>
      </c>
      <c r="K29" s="706">
        <f t="shared" si="8"/>
        <v>848496.66666666663</v>
      </c>
      <c r="L29" s="706">
        <f>VLOOKUP("*"&amp;$B29&amp;"*",'S4 - Summ PRS Characteristics'!$C$5:$Q$12,11,FALSE)*$J29</f>
        <v>8133.1963214473817</v>
      </c>
      <c r="M29" s="706">
        <f t="shared" si="9"/>
        <v>2434.8036785526183</v>
      </c>
      <c r="N29" s="706">
        <f>IF($C29="other",(1-$C$7)*L29,(1-(VLOOKUP($C29,'S3 - Screening Tool Metrics'!$C$3:$G$17,5,FALSE)/100))*L29)</f>
        <v>1626.6392642894759</v>
      </c>
      <c r="O29" s="706">
        <f>IF($C29="other",$C$7*L29,(VLOOKUP($C29,'S3 - Screening Tool Metrics'!$C$3:$G$17,5,FALSE)/100)*L29)</f>
        <v>6506.5570571579055</v>
      </c>
      <c r="P29" s="706">
        <f t="shared" si="10"/>
        <v>61.568480858799255</v>
      </c>
      <c r="Q29" s="707">
        <f t="shared" si="19"/>
        <v>339398.66666666669</v>
      </c>
      <c r="R29" s="706">
        <f>VLOOKUP("*"&amp;$B29&amp;"*",'S4 - Summ PRS Characteristics'!$C$5:$Q$12,12,FALSE)*$J29</f>
        <v>4846.0239310126262</v>
      </c>
      <c r="S29" s="706">
        <f t="shared" si="27"/>
        <v>5721.9760689873738</v>
      </c>
      <c r="T29" s="706">
        <f>IF($C29="other",(1-$C23)*R29,(1-(VLOOKUP($C29,'S3 - Screening Tool Metrics'!$C$3:$G$17,5,FALSE)/100))*R29)</f>
        <v>969.20478620252504</v>
      </c>
      <c r="U29" s="706">
        <f>IF($C29="other",$C23*R29,(VLOOKUP($C29,'S3 - Screening Tool Metrics'!$C$3:$G$17,5,FALSE)/100)*R29)</f>
        <v>3876.8191448101011</v>
      </c>
      <c r="V29" s="708">
        <f t="shared" si="20"/>
        <v>36.684511211299217</v>
      </c>
      <c r="W29" s="707">
        <f t="shared" si="21"/>
        <v>169699.33333333334</v>
      </c>
      <c r="X29" s="706">
        <f>VLOOKUP("*"&amp;$B29&amp;"*",'S4 - Summ PRS Characteristics'!$C$5:$Q$12,13,FALSE)*$J29</f>
        <v>3098.7508718787631</v>
      </c>
      <c r="Y29" s="706">
        <f t="shared" si="28"/>
        <v>7469.2491281212369</v>
      </c>
      <c r="Z29" s="706">
        <f>IF($C29="other",(1-$C23)*X29,(1-(VLOOKUP($C29,'S3 - Screening Tool Metrics'!$C$3:$G$17,5,FALSE)/100))*X29)</f>
        <v>619.75017437575252</v>
      </c>
      <c r="AA29" s="706">
        <f>IF($C29="other",$C23*X29,(VLOOKUP($C29,'S3 - Screening Tool Metrics'!$C$3:$G$17,5,FALSE)/100)*X29)</f>
        <v>2479.0006975030105</v>
      </c>
      <c r="AB29" s="708">
        <f t="shared" si="22"/>
        <v>23.457614472965655</v>
      </c>
      <c r="AC29" s="706">
        <f t="shared" si="23"/>
        <v>84849.666666666672</v>
      </c>
      <c r="AD29" s="706">
        <f>VLOOKUP("*"&amp;$B29&amp;"*",'S4 - Summ PRS Characteristics'!$C$5:$Q$12,14,FALSE)*$J29</f>
        <v>1924.6770837245181</v>
      </c>
      <c r="AE29" s="706">
        <f t="shared" si="30"/>
        <v>8643.3229162754815</v>
      </c>
      <c r="AF29" s="706">
        <f>IF($C29="other",(1-$C23)*AD29,(1-(VLOOKUP($C29,'S3 - Screening Tool Metrics'!$C$3:$G$17,5,FALSE)/100))*AD29)</f>
        <v>384.93541674490353</v>
      </c>
      <c r="AG29" s="706">
        <f>IF($C29="other",$C23*AD29,(VLOOKUP($C29,'S3 - Screening Tool Metrics'!$C$3:$G$17,5,FALSE)/100)*AD29)</f>
        <v>1539.7416669796146</v>
      </c>
      <c r="AH29" s="708">
        <f t="shared" si="24"/>
        <v>14.569849233342303</v>
      </c>
      <c r="AI29" s="707">
        <f t="shared" si="25"/>
        <v>16969.933333333334</v>
      </c>
      <c r="AJ29" s="706">
        <f>VLOOKUP("*"&amp;$B29&amp;"*",'S4 - Summ PRS Characteristics'!$C$5:$Q$12,15,FALSE)*$J29</f>
        <v>592.36822206692534</v>
      </c>
      <c r="AK29" s="706">
        <f t="shared" si="29"/>
        <v>9975.6317779330748</v>
      </c>
      <c r="AL29" s="706">
        <f>IF($C29="other",(1-$C23)*AJ29,(1-(VLOOKUP($C29,'S3 - Screening Tool Metrics'!$C$3:$G$17,5,FALSE)/100))*AJ29)</f>
        <v>118.47364441338505</v>
      </c>
      <c r="AM29" s="706">
        <f>IF($C29="other",$C23*AJ29,(VLOOKUP($C29,'S3 - Screening Tool Metrics'!$C$3:$G$17,5,FALSE)/100)*AJ29)</f>
        <v>473.8945776535403</v>
      </c>
      <c r="AN29" s="709">
        <f t="shared" si="26"/>
        <v>4.4842408937693063</v>
      </c>
    </row>
    <row r="30" spans="2:40" x14ac:dyDescent="0.15">
      <c r="B30" s="700" t="s">
        <v>10</v>
      </c>
      <c r="C30" s="721" t="str">
        <f>$C24</f>
        <v>Other</v>
      </c>
      <c r="D30" s="552" t="s">
        <v>198</v>
      </c>
      <c r="E30" s="710">
        <f>VLOOKUP($B30&amp;"_"&amp;$D30,'App5 - CRUK Inci Rates'!C:H,6,FALSE)</f>
        <v>759.8</v>
      </c>
      <c r="F30" s="711">
        <f>VLOOKUP($B30&amp;"_"&amp;$D30,'App5 - CRUK Inci Rates'!C:H,3,FALSE)</f>
        <v>0</v>
      </c>
      <c r="G30" s="712">
        <f>VLOOKUP($B30&amp;"_"&amp;$D30,'App5 - CRUK Inci Rates'!C:J,8,FALSE)</f>
        <v>1467965</v>
      </c>
      <c r="H30" s="713">
        <f>VLOOKUP($B30&amp;"_"&amp;$D30,'App5 - CRUK Inci Rates'!C:J,7,FALSE)</f>
        <v>1467965</v>
      </c>
      <c r="I30" s="713">
        <f>VLOOKUP($B30&amp;"_"&amp;$D30,'App5 - CRUK Inci Rates'!C:J,4,FALSE)</f>
        <v>0</v>
      </c>
      <c r="J30" s="709">
        <f>VLOOKUP($B30&amp;"_"&amp;$D30,'App5 - CRUK Inci Rates'!C:K,9,FALSE)</f>
        <v>11153</v>
      </c>
      <c r="K30" s="706">
        <f t="shared" si="8"/>
        <v>733982.5</v>
      </c>
      <c r="L30" s="706">
        <f>VLOOKUP("*"&amp;$B30&amp;"*",'S4 - Summ PRS Characteristics'!$C$5:$Q$12,11,FALSE)*$J30</f>
        <v>8583.4158377273507</v>
      </c>
      <c r="M30" s="706">
        <f t="shared" si="9"/>
        <v>2569.5841622726493</v>
      </c>
      <c r="N30" s="706">
        <f>IF($C30="other",(1-$C$7)*L30,(1-(VLOOKUP($C30,'S3 - Screening Tool Metrics'!$C$3:$G$17,5,FALSE)/100))*L30)</f>
        <v>1716.6831675454698</v>
      </c>
      <c r="O30" s="706">
        <f>IF($C30="other",$C$7*L30,(VLOOKUP($C30,'S3 - Screening Tool Metrics'!$C$3:$G$17,5,FALSE)/100)*L30)</f>
        <v>6866.7326701818811</v>
      </c>
      <c r="P30" s="706">
        <f t="shared" si="10"/>
        <v>61.568480858799255</v>
      </c>
      <c r="Q30" s="707">
        <f t="shared" si="19"/>
        <v>293593</v>
      </c>
      <c r="R30" s="706">
        <f>VLOOKUP("*"&amp;$B30&amp;"*",'S4 - Summ PRS Characteristics'!$C$5:$Q$12,12,FALSE)*$J30</f>
        <v>5114.279419245252</v>
      </c>
      <c r="S30" s="706">
        <f t="shared" si="27"/>
        <v>6038.720580754748</v>
      </c>
      <c r="T30" s="706">
        <f>IF($C30="other",(1-$C23)*R30,(1-(VLOOKUP($C30,'S3 - Screening Tool Metrics'!$C$3:$G$17,5,FALSE)/100))*R30)</f>
        <v>1022.8558838490502</v>
      </c>
      <c r="U30" s="706">
        <f>IF($C30="other",$C23*R30,(VLOOKUP($C30,'S3 - Screening Tool Metrics'!$C$3:$G$17,5,FALSE)/100)*R30)</f>
        <v>4091.4235353962017</v>
      </c>
      <c r="V30" s="708">
        <f t="shared" si="20"/>
        <v>36.684511211299217</v>
      </c>
      <c r="W30" s="707">
        <f t="shared" si="21"/>
        <v>146796.5</v>
      </c>
      <c r="X30" s="706">
        <f>VLOOKUP("*"&amp;$B30&amp;"*",'S4 - Summ PRS Characteristics'!$C$5:$Q$12,13,FALSE)*$J30</f>
        <v>3270.2846777123245</v>
      </c>
      <c r="Y30" s="706">
        <f t="shared" si="28"/>
        <v>7882.715322287675</v>
      </c>
      <c r="Z30" s="706">
        <f>IF($C30="other",(1-$C23)*X30,(1-(VLOOKUP($C30,'S3 - Screening Tool Metrics'!$C$3:$G$17,5,FALSE)/100))*X30)</f>
        <v>654.05693554246477</v>
      </c>
      <c r="AA30" s="706">
        <f>IF($C30="other",$C23*X30,(VLOOKUP($C30,'S3 - Screening Tool Metrics'!$C$3:$G$17,5,FALSE)/100)*X30)</f>
        <v>2616.22774216986</v>
      </c>
      <c r="AB30" s="708">
        <f t="shared" si="22"/>
        <v>23.457614472965659</v>
      </c>
      <c r="AC30" s="706">
        <f t="shared" si="23"/>
        <v>73398.25</v>
      </c>
      <c r="AD30" s="706">
        <f>VLOOKUP("*"&amp;$B30&amp;"*",'S4 - Summ PRS Characteristics'!$C$5:$Q$12,14,FALSE)*$J30</f>
        <v>2031.2191062433337</v>
      </c>
      <c r="AE30" s="706">
        <f t="shared" si="30"/>
        <v>9121.780893756666</v>
      </c>
      <c r="AF30" s="706">
        <f>IF($C30="other",(1-$C23)*AD30,(1-(VLOOKUP($C30,'S3 - Screening Tool Metrics'!$C$3:$G$17,5,FALSE)/100))*AD30)</f>
        <v>406.24382124866668</v>
      </c>
      <c r="AG30" s="706">
        <f>IF($C30="other",$C23*AD30,(VLOOKUP($C30,'S3 - Screening Tool Metrics'!$C$3:$G$17,5,FALSE)/100)*AD30)</f>
        <v>1624.9752849946672</v>
      </c>
      <c r="AH30" s="708">
        <f t="shared" si="24"/>
        <v>14.569849233342305</v>
      </c>
      <c r="AI30" s="707">
        <f t="shared" si="25"/>
        <v>14679.65</v>
      </c>
      <c r="AJ30" s="706">
        <f>VLOOKUP("*"&amp;$B30&amp;"*",'S4 - Summ PRS Characteristics'!$C$5:$Q$12,15,FALSE)*$J30</f>
        <v>625.15923360261343</v>
      </c>
      <c r="AK30" s="706">
        <f t="shared" si="29"/>
        <v>10527.840766397387</v>
      </c>
      <c r="AL30" s="706">
        <f>IF($C30="other",(1-$C23)*AJ30,(1-(VLOOKUP($C30,'S3 - Screening Tool Metrics'!$C$3:$G$17,5,FALSE)/100))*AJ30)</f>
        <v>125.03184672052265</v>
      </c>
      <c r="AM30" s="706">
        <f>IF($C30="other",$C23*AJ30,(VLOOKUP($C30,'S3 - Screening Tool Metrics'!$C$3:$G$17,5,FALSE)/100)*AJ30)</f>
        <v>500.12738688209078</v>
      </c>
      <c r="AN30" s="709">
        <f t="shared" si="26"/>
        <v>4.4842408937693072</v>
      </c>
    </row>
    <row r="31" spans="2:40" x14ac:dyDescent="0.15">
      <c r="B31" s="700" t="s">
        <v>10</v>
      </c>
      <c r="C31" s="721" t="str">
        <f>$C24</f>
        <v>Other</v>
      </c>
      <c r="D31" s="552" t="s">
        <v>199</v>
      </c>
      <c r="E31" s="710">
        <f>VLOOKUP($B31&amp;"_"&amp;$D31,'App5 - CRUK Inci Rates'!C:H,6,FALSE)</f>
        <v>867.2</v>
      </c>
      <c r="F31" s="711">
        <f>VLOOKUP($B31&amp;"_"&amp;$D31,'App5 - CRUK Inci Rates'!C:H,3,FALSE)</f>
        <v>0</v>
      </c>
      <c r="G31" s="712">
        <f>VLOOKUP($B31&amp;"_"&amp;$D31,'App5 - CRUK Inci Rates'!C:J,8,FALSE)</f>
        <v>1007365.3333333334</v>
      </c>
      <c r="H31" s="713">
        <f>VLOOKUP($B31&amp;"_"&amp;$D31,'App5 - CRUK Inci Rates'!C:J,7,FALSE)</f>
        <v>1007365.3333333334</v>
      </c>
      <c r="I31" s="713">
        <f>VLOOKUP($B31&amp;"_"&amp;$D31,'App5 - CRUK Inci Rates'!C:J,4,FALSE)</f>
        <v>0</v>
      </c>
      <c r="J31" s="709">
        <f>VLOOKUP($B31&amp;"_"&amp;$D31,'App5 - CRUK Inci Rates'!C:K,9,FALSE)</f>
        <v>8736</v>
      </c>
      <c r="K31" s="706">
        <f t="shared" si="8"/>
        <v>503682.66666666669</v>
      </c>
      <c r="L31" s="706">
        <f>VLOOKUP("*"&amp;$B31&amp;"*",'S4 - Summ PRS Characteristics'!$C$5:$Q$12,11,FALSE)*$J31</f>
        <v>6723.2781097808784</v>
      </c>
      <c r="M31" s="706">
        <f t="shared" si="9"/>
        <v>2012.7218902191216</v>
      </c>
      <c r="N31" s="706">
        <f>IF($C31="other",(1-$C$7)*L31,(1-(VLOOKUP($C31,'S3 - Screening Tool Metrics'!$C$3:$G$17,5,FALSE)/100))*L31)</f>
        <v>1344.6556219561753</v>
      </c>
      <c r="O31" s="706">
        <f>IF($C31="other",$C$7*L31,(VLOOKUP($C31,'S3 - Screening Tool Metrics'!$C$3:$G$17,5,FALSE)/100)*L31)</f>
        <v>5378.6224878247031</v>
      </c>
      <c r="P31" s="706">
        <f t="shared" si="10"/>
        <v>61.568480858799255</v>
      </c>
      <c r="Q31" s="707">
        <f t="shared" si="19"/>
        <v>201473.06666666668</v>
      </c>
      <c r="R31" s="706">
        <f>VLOOKUP("*"&amp;$B31&amp;"*",'S4 - Summ PRS Characteristics'!$C$5:$Q$12,12,FALSE)*$J31</f>
        <v>4005.9486242738744</v>
      </c>
      <c r="S31" s="706">
        <f t="shared" si="27"/>
        <v>4730.0513757261251</v>
      </c>
      <c r="T31" s="706">
        <f>IF($C31="other",(1-$C23)*R31,(1-(VLOOKUP($C31,'S3 - Screening Tool Metrics'!$C$3:$G$17,5,FALSE)/100))*R31)</f>
        <v>801.18972485477468</v>
      </c>
      <c r="U31" s="706">
        <f>IF($C31="other",$C23*R31,(VLOOKUP($C31,'S3 - Screening Tool Metrics'!$C$3:$G$17,5,FALSE)/100)*R31)</f>
        <v>3204.7588994190996</v>
      </c>
      <c r="V31" s="708">
        <f t="shared" si="20"/>
        <v>36.684511211299217</v>
      </c>
      <c r="W31" s="707">
        <f t="shared" si="21"/>
        <v>100736.53333333334</v>
      </c>
      <c r="X31" s="706">
        <f>VLOOKUP("*"&amp;$B31&amp;"*",'S4 - Summ PRS Characteristics'!$C$5:$Q$12,13,FALSE)*$J31</f>
        <v>2561.5715004478498</v>
      </c>
      <c r="Y31" s="706">
        <f t="shared" si="28"/>
        <v>6174.4284995521502</v>
      </c>
      <c r="Z31" s="706">
        <f>IF($C31="other",(1-$C23)*X31,(1-(VLOOKUP($C31,'S3 - Screening Tool Metrics'!$C$3:$G$17,5,FALSE)/100))*X31)</f>
        <v>512.31430008956988</v>
      </c>
      <c r="AA31" s="706">
        <f>IF($C31="other",$C23*X31,(VLOOKUP($C31,'S3 - Screening Tool Metrics'!$C$3:$G$17,5,FALSE)/100)*X31)</f>
        <v>2049.25720035828</v>
      </c>
      <c r="AB31" s="708">
        <f t="shared" si="22"/>
        <v>23.457614472965659</v>
      </c>
      <c r="AC31" s="706">
        <f t="shared" si="23"/>
        <v>50368.26666666667</v>
      </c>
      <c r="AD31" s="706">
        <f>VLOOKUP("*"&amp;$B31&amp;"*",'S4 - Summ PRS Characteristics'!$C$5:$Q$12,14,FALSE)*$J31</f>
        <v>1591.0275362809793</v>
      </c>
      <c r="AE31" s="706">
        <f t="shared" si="30"/>
        <v>7144.9724637190211</v>
      </c>
      <c r="AF31" s="706">
        <f>IF($C31="other",(1-$C23)*AD31,(1-(VLOOKUP($C31,'S3 - Screening Tool Metrics'!$C$3:$G$17,5,FALSE)/100))*AD31)</f>
        <v>318.2055072561958</v>
      </c>
      <c r="AG31" s="706">
        <f>IF($C31="other",$C23*AD31,(VLOOKUP($C31,'S3 - Screening Tool Metrics'!$C$3:$G$17,5,FALSE)/100)*AD31)</f>
        <v>1272.8220290247837</v>
      </c>
      <c r="AH31" s="708">
        <f t="shared" si="24"/>
        <v>14.569849233342303</v>
      </c>
      <c r="AI31" s="707">
        <f t="shared" si="25"/>
        <v>10073.653333333334</v>
      </c>
      <c r="AJ31" s="706">
        <f>VLOOKUP("*"&amp;$B31&amp;"*",'S4 - Summ PRS Characteristics'!$C$5:$Q$12,15,FALSE)*$J31</f>
        <v>489.67910559960825</v>
      </c>
      <c r="AK31" s="706">
        <f t="shared" si="29"/>
        <v>8246.3208944003909</v>
      </c>
      <c r="AL31" s="706">
        <f>IF($C31="other",(1-$C23)*AJ31,(1-(VLOOKUP($C31,'S3 - Screening Tool Metrics'!$C$3:$G$17,5,FALSE)/100))*AJ31)</f>
        <v>97.935821119921627</v>
      </c>
      <c r="AM31" s="706">
        <f>IF($C31="other",$C23*AJ31,(VLOOKUP($C31,'S3 - Screening Tool Metrics'!$C$3:$G$17,5,FALSE)/100)*AJ31)</f>
        <v>391.74328447968662</v>
      </c>
      <c r="AN31" s="709">
        <f t="shared" si="26"/>
        <v>4.4842408937693063</v>
      </c>
    </row>
    <row r="32" spans="2:40" x14ac:dyDescent="0.15">
      <c r="B32" s="700" t="s">
        <v>10</v>
      </c>
      <c r="C32" s="721" t="str">
        <f>$C24</f>
        <v>Other</v>
      </c>
      <c r="D32" s="552" t="s">
        <v>200</v>
      </c>
      <c r="E32" s="710">
        <f>VLOOKUP($B32&amp;"_"&amp;$D32,'App5 - CRUK Inci Rates'!C:H,6,FALSE)</f>
        <v>192.70856538388753</v>
      </c>
      <c r="F32" s="711">
        <f>VLOOKUP($B32&amp;"_"&amp;$D32,'App5 - CRUK Inci Rates'!C:H,3,FALSE)</f>
        <v>0</v>
      </c>
      <c r="G32" s="712">
        <f>VLOOKUP($B32&amp;"_"&amp;$D32,'App5 - CRUK Inci Rates'!C:J,8,FALSE)</f>
        <v>12090277.333333334</v>
      </c>
      <c r="H32" s="713">
        <f>VLOOKUP($B32&amp;"_"&amp;$D32,'App5 - CRUK Inci Rates'!C:J,7,FALSE)</f>
        <v>12090277.333333334</v>
      </c>
      <c r="I32" s="713">
        <f>VLOOKUP($B32&amp;"_"&amp;$D32,'App5 - CRUK Inci Rates'!C:J,4,FALSE)</f>
        <v>0</v>
      </c>
      <c r="J32" s="709">
        <f>VLOOKUP($B32&amp;"_"&amp;$D32,'App5 - CRUK Inci Rates'!C:K,9,FALSE)</f>
        <v>23299</v>
      </c>
      <c r="K32" s="706">
        <f t="shared" si="8"/>
        <v>6045138.666666667</v>
      </c>
      <c r="L32" s="706">
        <f>VLOOKUP("*"&amp;$B32&amp;"*",'S4 - Summ PRS Characteristics'!$C$5:$Q$12,11,FALSE)*$J32</f>
        <v>17931.050444114549</v>
      </c>
      <c r="M32" s="706">
        <f t="shared" si="9"/>
        <v>5367.9495558854505</v>
      </c>
      <c r="N32" s="706">
        <f>IF($C32="other",(1-$C$7)*L32,(1-(VLOOKUP($C32,'S3 - Screening Tool Metrics'!$C$3:$G$17,5,FALSE)/100))*L32)</f>
        <v>3586.2100888229093</v>
      </c>
      <c r="O32" s="706">
        <f>IF($C32="other",$C$7*L32,(VLOOKUP($C32,'S3 - Screening Tool Metrics'!$C$3:$G$17,5,FALSE)/100)*L32)</f>
        <v>14344.840355291641</v>
      </c>
      <c r="P32" s="706">
        <f t="shared" si="10"/>
        <v>61.568480858799269</v>
      </c>
      <c r="Q32" s="707">
        <f t="shared" si="19"/>
        <v>2418055.4666666668</v>
      </c>
      <c r="R32" s="706">
        <f>VLOOKUP("*"&amp;$B32&amp;"*",'S4 - Summ PRS Characteristics'!$C$5:$Q$12,12,FALSE)*$J32</f>
        <v>10683.905333900755</v>
      </c>
      <c r="S32" s="706">
        <f t="shared" si="27"/>
        <v>12615.094666099245</v>
      </c>
      <c r="T32" s="706">
        <f>IF($C32="other",(1-$C23)*R32,(1-(VLOOKUP($C32,'S3 - Screening Tool Metrics'!$C$3:$G$17,5,FALSE)/100))*R32)</f>
        <v>2136.7810667801505</v>
      </c>
      <c r="U32" s="706">
        <f>IF($C32="other",$C23*R32,(VLOOKUP($C32,'S3 - Screening Tool Metrics'!$C$3:$G$17,5,FALSE)/100)*R32)</f>
        <v>8547.1242671206037</v>
      </c>
      <c r="V32" s="708">
        <f t="shared" si="20"/>
        <v>36.684511211299217</v>
      </c>
      <c r="W32" s="707">
        <f t="shared" si="21"/>
        <v>1209027.7333333334</v>
      </c>
      <c r="X32" s="706">
        <f>VLOOKUP("*"&amp;$B32&amp;"*",'S4 - Summ PRS Characteristics'!$C$5:$Q$12,13,FALSE)*$J32</f>
        <v>6831.7369950703351</v>
      </c>
      <c r="Y32" s="706">
        <f t="shared" si="28"/>
        <v>16467.263004929664</v>
      </c>
      <c r="Z32" s="706">
        <f>IF($C32="other",(1-$C23)*X32,(1-(VLOOKUP($C32,'S3 - Screening Tool Metrics'!$C$3:$G$17,5,FALSE)/100))*X32)</f>
        <v>1366.3473990140667</v>
      </c>
      <c r="AA32" s="706">
        <f>IF($C32="other",$C23*X32,(VLOOKUP($C32,'S3 - Screening Tool Metrics'!$C$3:$G$17,5,FALSE)/100)*X32)</f>
        <v>5465.3895960562686</v>
      </c>
      <c r="AB32" s="708">
        <f t="shared" si="22"/>
        <v>23.457614472965655</v>
      </c>
      <c r="AC32" s="706">
        <f t="shared" si="23"/>
        <v>604513.8666666667</v>
      </c>
      <c r="AD32" s="706">
        <f>VLOOKUP("*"&amp;$B32&amp;"*",'S4 - Summ PRS Characteristics'!$C$5:$Q$12,14,FALSE)*$J32</f>
        <v>4243.2864660955292</v>
      </c>
      <c r="AE32" s="706">
        <f t="shared" si="30"/>
        <v>19055.713533904469</v>
      </c>
      <c r="AF32" s="706">
        <f>IF($C32="other",(1-$C23)*AD32,(1-(VLOOKUP($C32,'S3 - Screening Tool Metrics'!$C$3:$G$17,5,FALSE)/100))*AD32)</f>
        <v>848.65729321910567</v>
      </c>
      <c r="AG32" s="706">
        <f>IF($C32="other",$C23*AD32,(VLOOKUP($C32,'S3 - Screening Tool Metrics'!$C$3:$G$17,5,FALSE)/100)*AD32)</f>
        <v>3394.6291728764236</v>
      </c>
      <c r="AH32" s="708">
        <f t="shared" si="24"/>
        <v>14.569849233342305</v>
      </c>
      <c r="AI32" s="707">
        <f t="shared" si="25"/>
        <v>120902.77333333335</v>
      </c>
      <c r="AJ32" s="706">
        <f>VLOOKUP("*"&amp;$B32&amp;"*",'S4 - Summ PRS Characteristics'!$C$5:$Q$12,15,FALSE)*$J32</f>
        <v>1305.9791072991384</v>
      </c>
      <c r="AK32" s="706">
        <f t="shared" si="29"/>
        <v>21993.020892700861</v>
      </c>
      <c r="AL32" s="706">
        <f>IF($C32="other",(1-$C23)*AJ32,(1-(VLOOKUP($C32,'S3 - Screening Tool Metrics'!$C$3:$G$17,5,FALSE)/100))*AJ32)</f>
        <v>261.19582145982764</v>
      </c>
      <c r="AM32" s="706">
        <f>IF($C32="other",$C23*AJ32,(VLOOKUP($C32,'S3 - Screening Tool Metrics'!$C$3:$G$17,5,FALSE)/100)*AJ32)</f>
        <v>1044.7832858393108</v>
      </c>
      <c r="AN32" s="709">
        <f t="shared" si="26"/>
        <v>4.4842408937693072</v>
      </c>
    </row>
    <row r="33" spans="2:40" x14ac:dyDescent="0.15">
      <c r="B33" s="700" t="s">
        <v>10</v>
      </c>
      <c r="C33" s="721" t="str">
        <f>$C24</f>
        <v>Other</v>
      </c>
      <c r="D33" s="552" t="s">
        <v>201</v>
      </c>
      <c r="E33" s="710">
        <f>VLOOKUP($B33&amp;"_"&amp;$D33,'App5 - CRUK Inci Rates'!C:H,6,FALSE)</f>
        <v>12.847921640003264</v>
      </c>
      <c r="F33" s="711">
        <f>VLOOKUP($B33&amp;"_"&amp;$D33,'App5 - CRUK Inci Rates'!C:H,3,FALSE)</f>
        <v>0</v>
      </c>
      <c r="G33" s="712">
        <f>VLOOKUP($B33&amp;"_"&amp;$D33,'App5 - CRUK Inci Rates'!C:J,8,FALSE)</f>
        <v>4273064.666666667</v>
      </c>
      <c r="H33" s="713">
        <f>VLOOKUP($B33&amp;"_"&amp;$D33,'App5 - CRUK Inci Rates'!C:J,7,FALSE)</f>
        <v>4273064.666666667</v>
      </c>
      <c r="I33" s="713">
        <f>VLOOKUP($B33&amp;"_"&amp;$D33,'App5 - CRUK Inci Rates'!C:J,4,FALSE)</f>
        <v>0</v>
      </c>
      <c r="J33" s="709">
        <f>VLOOKUP($B33&amp;"_"&amp;$D33,'App5 - CRUK Inci Rates'!C:K,9,FALSE)</f>
        <v>549</v>
      </c>
      <c r="K33" s="706">
        <f t="shared" si="8"/>
        <v>2136532.3333333335</v>
      </c>
      <c r="L33" s="706">
        <f>VLOOKUP("*"&amp;$B33&amp;"*",'S4 - Summ PRS Characteristics'!$C$5:$Q$12,11,FALSE)*$J33</f>
        <v>422.51369989350991</v>
      </c>
      <c r="M33" s="706">
        <f t="shared" si="9"/>
        <v>126.48630010649009</v>
      </c>
      <c r="N33" s="706">
        <f>IF($C33="other",(1-$C$7)*L33,(1-(VLOOKUP($C33,'S3 - Screening Tool Metrics'!$C$3:$G$17,5,FALSE)/100))*L33)</f>
        <v>84.502739978701968</v>
      </c>
      <c r="O33" s="706">
        <f>IF($C33="other",$C$7*L33,(VLOOKUP($C33,'S3 - Screening Tool Metrics'!$C$3:$G$17,5,FALSE)/100)*L33)</f>
        <v>338.01095991480793</v>
      </c>
      <c r="P33" s="706">
        <f t="shared" si="10"/>
        <v>61.568480858799255</v>
      </c>
      <c r="Q33" s="707">
        <f t="shared" si="19"/>
        <v>854612.93333333347</v>
      </c>
      <c r="R33" s="706">
        <f>VLOOKUP("*"&amp;$B33&amp;"*",'S4 - Summ PRS Characteristics'!$C$5:$Q$12,12,FALSE)*$J33</f>
        <v>251.74745818754087</v>
      </c>
      <c r="S33" s="706">
        <f t="shared" si="27"/>
        <v>297.25254181245913</v>
      </c>
      <c r="T33" s="706">
        <f>IF($C33="other",(1-$C23)*R33,(1-(VLOOKUP($C33,'S3 - Screening Tool Metrics'!$C$3:$G$17,5,FALSE)/100))*R33)</f>
        <v>50.349491637508166</v>
      </c>
      <c r="U33" s="706">
        <f>IF($C33="other",$C23*R33,(VLOOKUP($C33,'S3 - Screening Tool Metrics'!$C$3:$G$17,5,FALSE)/100)*R33)</f>
        <v>201.39796655003272</v>
      </c>
      <c r="V33" s="708">
        <f t="shared" si="20"/>
        <v>36.684511211299217</v>
      </c>
      <c r="W33" s="707">
        <f t="shared" si="21"/>
        <v>427306.46666666673</v>
      </c>
      <c r="X33" s="706">
        <f>VLOOKUP("*"&amp;$B33&amp;"*",'S4 - Summ PRS Characteristics'!$C$5:$Q$12,13,FALSE)*$J33</f>
        <v>160.9778793207268</v>
      </c>
      <c r="Y33" s="706">
        <f t="shared" si="28"/>
        <v>388.0221206792732</v>
      </c>
      <c r="Z33" s="706">
        <f>IF($C33="other",(1-$C23)*X33,(1-(VLOOKUP($C33,'S3 - Screening Tool Metrics'!$C$3:$G$17,5,FALSE)/100))*X33)</f>
        <v>32.195575864145354</v>
      </c>
      <c r="AA33" s="706">
        <f>IF($C33="other",$C23*X33,(VLOOKUP($C33,'S3 - Screening Tool Metrics'!$C$3:$G$17,5,FALSE)/100)*X33)</f>
        <v>128.78230345658145</v>
      </c>
      <c r="AB33" s="708">
        <f t="shared" si="22"/>
        <v>23.457614472965655</v>
      </c>
      <c r="AC33" s="706">
        <f t="shared" si="23"/>
        <v>213653.23333333337</v>
      </c>
      <c r="AD33" s="706">
        <f>VLOOKUP("*"&amp;$B33&amp;"*",'S4 - Summ PRS Characteristics'!$C$5:$Q$12,14,FALSE)*$J33</f>
        <v>99.985590363811554</v>
      </c>
      <c r="AE33" s="706">
        <f t="shared" si="30"/>
        <v>449.01440963618847</v>
      </c>
      <c r="AF33" s="706">
        <f>IF($C33="other",(1-$C23)*AD33,(1-(VLOOKUP($C33,'S3 - Screening Tool Metrics'!$C$3:$G$17,5,FALSE)/100))*AD33)</f>
        <v>19.997118072762305</v>
      </c>
      <c r="AG33" s="706">
        <f>IF($C33="other",$C23*AD33,(VLOOKUP($C33,'S3 - Screening Tool Metrics'!$C$3:$G$17,5,FALSE)/100)*AD33)</f>
        <v>79.988472291049248</v>
      </c>
      <c r="AH33" s="708">
        <f t="shared" si="24"/>
        <v>14.569849233342305</v>
      </c>
      <c r="AI33" s="707">
        <f t="shared" si="25"/>
        <v>42730.646666666667</v>
      </c>
      <c r="AJ33" s="706">
        <f>VLOOKUP("*"&amp;$B33&amp;"*",'S4 - Summ PRS Characteristics'!$C$5:$Q$12,15,FALSE)*$J33</f>
        <v>30.773103133491865</v>
      </c>
      <c r="AK33" s="706">
        <f t="shared" si="29"/>
        <v>518.22689686650813</v>
      </c>
      <c r="AL33" s="706">
        <f>IF($C33="other",(1-$C23)*AJ33,(1-(VLOOKUP($C33,'S3 - Screening Tool Metrics'!$C$3:$G$17,5,FALSE)/100))*AJ33)</f>
        <v>6.1546206266983718</v>
      </c>
      <c r="AM33" s="706">
        <f>IF($C33="other",$C23*AJ33,(VLOOKUP($C33,'S3 - Screening Tool Metrics'!$C$3:$G$17,5,FALSE)/100)*AJ33)</f>
        <v>24.618482506793494</v>
      </c>
      <c r="AN33" s="709">
        <f t="shared" si="26"/>
        <v>4.4842408937693072</v>
      </c>
    </row>
    <row r="34" spans="2:40" x14ac:dyDescent="0.15">
      <c r="B34" s="700" t="s">
        <v>10</v>
      </c>
      <c r="C34" s="721" t="str">
        <f>$C24</f>
        <v>Other</v>
      </c>
      <c r="D34" s="552" t="s">
        <v>202</v>
      </c>
      <c r="E34" s="710">
        <f>VLOOKUP($B34&amp;"_"&amp;$D34,'App5 - CRUK Inci Rates'!C:H,6,FALSE)</f>
        <v>135.39541108208113</v>
      </c>
      <c r="F34" s="711">
        <f>VLOOKUP($B34&amp;"_"&amp;$D34,'App5 - CRUK Inci Rates'!C:H,3,FALSE)</f>
        <v>0</v>
      </c>
      <c r="G34" s="712">
        <f>VLOOKUP($B34&amp;"_"&amp;$D34,'App5 - CRUK Inci Rates'!C:J,8,FALSE)</f>
        <v>4355391.333333333</v>
      </c>
      <c r="H34" s="713">
        <f>VLOOKUP($B34&amp;"_"&amp;$D34,'App5 - CRUK Inci Rates'!C:J,7,FALSE)</f>
        <v>4355391.333333333</v>
      </c>
      <c r="I34" s="713">
        <f>VLOOKUP($B34&amp;"_"&amp;$D34,'App5 - CRUK Inci Rates'!C:J,4,FALSE)</f>
        <v>0</v>
      </c>
      <c r="J34" s="709">
        <f>VLOOKUP($B34&amp;"_"&amp;$D34,'App5 - CRUK Inci Rates'!C:K,9,FALSE)</f>
        <v>5897</v>
      </c>
      <c r="K34" s="706">
        <f t="shared" si="8"/>
        <v>2177695.6666666665</v>
      </c>
      <c r="L34" s="706">
        <f>VLOOKUP("*"&amp;$B34&amp;"*",'S4 - Summ PRS Characteristics'!$C$5:$Q$12,11,FALSE)*$J34</f>
        <v>4538.3666453042397</v>
      </c>
      <c r="M34" s="706">
        <f t="shared" si="9"/>
        <v>1358.6333546957603</v>
      </c>
      <c r="N34" s="706">
        <f>IF($C34="other",(1-$C$7)*L34,(1-(VLOOKUP($C34,'S3 - Screening Tool Metrics'!$C$3:$G$17,5,FALSE)/100))*L34)</f>
        <v>907.67332906084778</v>
      </c>
      <c r="O34" s="706">
        <f>IF($C34="other",$C$7*L34,(VLOOKUP($C34,'S3 - Screening Tool Metrics'!$C$3:$G$17,5,FALSE)/100)*L34)</f>
        <v>3630.693316243392</v>
      </c>
      <c r="P34" s="706">
        <f t="shared" si="10"/>
        <v>61.568480858799255</v>
      </c>
      <c r="Q34" s="707">
        <f t="shared" si="19"/>
        <v>871078.2666666666</v>
      </c>
      <c r="R34" s="706">
        <f>VLOOKUP("*"&amp;$B34&amp;"*",'S4 - Summ PRS Characteristics'!$C$5:$Q$12,12,FALSE)*$J34</f>
        <v>2704.1070326628937</v>
      </c>
      <c r="S34" s="706">
        <f t="shared" si="27"/>
        <v>3192.8929673371063</v>
      </c>
      <c r="T34" s="706">
        <f>IF($C34="other",(1-$C$23)*R34,(1-(VLOOKUP($C34,'S3 - Screening Tool Metrics'!$C$3:$G$17,5,FALSE)/100))*R34)</f>
        <v>540.82140653257864</v>
      </c>
      <c r="U34" s="706">
        <f>IF($C34="other",$C$23*R34,(VLOOKUP($C34,'S3 - Screening Tool Metrics'!$C$3:$G$17,5,FALSE)/100)*R34)</f>
        <v>2163.285626130315</v>
      </c>
      <c r="V34" s="708">
        <f t="shared" si="20"/>
        <v>36.684511211299217</v>
      </c>
      <c r="W34" s="707">
        <f t="shared" si="21"/>
        <v>435539.1333333333</v>
      </c>
      <c r="X34" s="706">
        <f>VLOOKUP("*"&amp;$B34&amp;"*",'S4 - Summ PRS Characteristics'!$C$5:$Q$12,13,FALSE)*$J34</f>
        <v>1729.1194068384809</v>
      </c>
      <c r="Y34" s="706">
        <f t="shared" si="28"/>
        <v>4167.8805931615188</v>
      </c>
      <c r="Z34" s="706">
        <f>IF($C34="other",(1-$C$23)*X34,(1-(VLOOKUP($C34,'S3 - Screening Tool Metrics'!$C$3:$G$17,5,FALSE)/100))*X34)</f>
        <v>345.82388136769612</v>
      </c>
      <c r="AA34" s="706">
        <f>IF($C34="other",$C$23*X34,(VLOOKUP($C34,'S3 - Screening Tool Metrics'!$C$3:$G$17,5,FALSE)/100)*X34)</f>
        <v>1383.2955254707849</v>
      </c>
      <c r="AB34" s="708">
        <f t="shared" si="22"/>
        <v>23.457614472965659</v>
      </c>
      <c r="AC34" s="706">
        <f t="shared" si="23"/>
        <v>217769.56666666665</v>
      </c>
      <c r="AD34" s="706">
        <f>VLOOKUP("*"&amp;$B34&amp;"*",'S4 - Summ PRS Characteristics'!$C$5:$Q$12,14,FALSE)*$J34</f>
        <v>1073.9800116127444</v>
      </c>
      <c r="AE34" s="706">
        <f t="shared" si="30"/>
        <v>4823.0199883872556</v>
      </c>
      <c r="AF34" s="706">
        <f>IF($C34="other",(1-$C$23)*AD34,(1-(VLOOKUP($C34,'S3 - Screening Tool Metrics'!$C$3:$G$17,5,FALSE)/100))*AD34)</f>
        <v>214.79600232254884</v>
      </c>
      <c r="AG34" s="706">
        <f>IF($C34="other",$C$23*AD34,(VLOOKUP($C34,'S3 - Screening Tool Metrics'!$C$3:$G$17,5,FALSE)/100)*AD34)</f>
        <v>859.1840092901956</v>
      </c>
      <c r="AH34" s="708">
        <f t="shared" si="24"/>
        <v>14.569849233342303</v>
      </c>
      <c r="AI34" s="707">
        <f t="shared" si="25"/>
        <v>43553.91333333333</v>
      </c>
      <c r="AJ34" s="706">
        <f>VLOOKUP("*"&amp;$B34&amp;"*",'S4 - Summ PRS Characteristics'!$C$5:$Q$12,15,FALSE)*$J34</f>
        <v>330.54460688196997</v>
      </c>
      <c r="AK34" s="706">
        <f t="shared" si="29"/>
        <v>5566.4553931180299</v>
      </c>
      <c r="AL34" s="706">
        <f>IF($C34="other",(1-$C$23)*AJ34,(1-(VLOOKUP($C34,'S3 - Screening Tool Metrics'!$C$3:$G$17,5,FALSE)/100))*AJ34)</f>
        <v>66.10892137639398</v>
      </c>
      <c r="AM34" s="706">
        <f>IF($C34="other",$C$23*AJ34,(VLOOKUP($C34,'S3 - Screening Tool Metrics'!$C$3:$G$17,5,FALSE)/100)*AJ34)</f>
        <v>264.43568550557598</v>
      </c>
      <c r="AN34" s="709">
        <f t="shared" si="26"/>
        <v>4.4842408937693063</v>
      </c>
    </row>
    <row r="35" spans="2:40" x14ac:dyDescent="0.15">
      <c r="B35" s="700" t="s">
        <v>10</v>
      </c>
      <c r="C35" s="721" t="str">
        <f t="shared" ref="C35:C36" si="31">$C25</f>
        <v>Other</v>
      </c>
      <c r="D35" s="552" t="s">
        <v>272</v>
      </c>
      <c r="E35" s="710">
        <f>VLOOKUP($B35&amp;"_"&amp;$D35,'App5 - CRUK Inci Rates'!C:H,6,FALSE)</f>
        <v>486.82466185429951</v>
      </c>
      <c r="F35" s="711">
        <f>VLOOKUP($B35&amp;"_"&amp;$D35,'App5 - CRUK Inci Rates'!C:H,3,FALSE)</f>
        <v>0</v>
      </c>
      <c r="G35" s="712">
        <f>VLOOKUP($B35&amp;"_"&amp;$D35,'App5 - CRUK Inci Rates'!C:J,8,FALSE)</f>
        <v>3461821.333333333</v>
      </c>
      <c r="H35" s="713">
        <f>VLOOKUP($B35&amp;"_"&amp;$D35,'App5 - CRUK Inci Rates'!C:J,7,FALSE)</f>
        <v>3461821.333333333</v>
      </c>
      <c r="I35" s="713">
        <f>VLOOKUP($B35&amp;"_"&amp;$D35,'App5 - CRUK Inci Rates'!C:J,4,FALSE)</f>
        <v>0</v>
      </c>
      <c r="J35" s="709">
        <f>VLOOKUP($B35&amp;"_"&amp;$D35,'App5 - CRUK Inci Rates'!C:K,9,FALSE)</f>
        <v>16853</v>
      </c>
      <c r="K35" s="706">
        <f t="shared" si="8"/>
        <v>1730910.6666666665</v>
      </c>
      <c r="L35" s="706">
        <f>VLOOKUP("*"&amp;$B35&amp;"*",'S4 - Summ PRS Characteristics'!$C$5:$Q$12,11,FALSE)*$J35</f>
        <v>12970.170098916798</v>
      </c>
      <c r="M35" s="706">
        <f t="shared" si="9"/>
        <v>3882.8299010832015</v>
      </c>
      <c r="N35" s="706">
        <f>IF($C35="other",(1-$C$7)*L35,(1-(VLOOKUP($C35,'S3 - Screening Tool Metrics'!$C$3:$G$17,5,FALSE)/100))*L35)</f>
        <v>2594.0340197833593</v>
      </c>
      <c r="O35" s="706">
        <f>IF($C35="other",$C$7*L35,(VLOOKUP($C35,'S3 - Screening Tool Metrics'!$C$3:$G$17,5,FALSE)/100)*L35)</f>
        <v>10376.136079133439</v>
      </c>
      <c r="P35" s="706">
        <f t="shared" ref="P35:P36" si="32">O35/J35*100</f>
        <v>61.568480858799255</v>
      </c>
      <c r="Q35" s="707">
        <f t="shared" si="19"/>
        <v>692364.2666666666</v>
      </c>
      <c r="R35" s="706">
        <f>VLOOKUP("*"&amp;$B35&amp;"*",'S4 - Summ PRS Characteristics'!$C$5:$Q$12,12,FALSE)*$J35</f>
        <v>7728.0508430503214</v>
      </c>
      <c r="S35" s="706">
        <f t="shared" ref="S35:S36" si="33">$J35-R35</f>
        <v>9124.9491569496786</v>
      </c>
      <c r="T35" s="706">
        <f>IF($C35="other",(1-$C$23)*R35,(1-(VLOOKUP($C35,'S3 - Screening Tool Metrics'!$C$3:$G$17,5,FALSE)/100))*R35)</f>
        <v>1545.610168610064</v>
      </c>
      <c r="U35" s="706">
        <f>IF($C35="other",$C$23*R35,(VLOOKUP($C35,'S3 - Screening Tool Metrics'!$C$3:$G$17,5,FALSE)/100)*R35)</f>
        <v>6182.4406744402577</v>
      </c>
      <c r="V35" s="708">
        <f t="shared" si="20"/>
        <v>36.684511211299217</v>
      </c>
      <c r="W35" s="707">
        <f t="shared" si="21"/>
        <v>346182.1333333333</v>
      </c>
      <c r="X35" s="706">
        <f>VLOOKUP("*"&amp;$B35&amp;"*",'S4 - Summ PRS Characteristics'!$C$5:$Q$12,13,FALSE)*$J35</f>
        <v>4941.6397089111279</v>
      </c>
      <c r="Y35" s="706">
        <f t="shared" ref="Y35:Y36" si="34">$J35-X35</f>
        <v>11911.360291088873</v>
      </c>
      <c r="Z35" s="706">
        <f>IF($C35="other",(1-$C$23)*X35,(1-(VLOOKUP($C35,'S3 - Screening Tool Metrics'!$C$3:$G$17,5,FALSE)/100))*X35)</f>
        <v>988.32794178222537</v>
      </c>
      <c r="AA35" s="706">
        <f>IF($C35="other",$C$23*X35,(VLOOKUP($C35,'S3 - Screening Tool Metrics'!$C$3:$G$17,5,FALSE)/100)*X35)</f>
        <v>3953.3117671289024</v>
      </c>
      <c r="AB35" s="708">
        <f t="shared" si="22"/>
        <v>23.457614472965655</v>
      </c>
      <c r="AC35" s="706">
        <f t="shared" si="23"/>
        <v>173091.06666666665</v>
      </c>
      <c r="AD35" s="706">
        <f>VLOOKUP("*"&amp;$B35&amp;"*",'S4 - Summ PRS Characteristics'!$C$5:$Q$12,14,FALSE)*$J35</f>
        <v>3069.3208641189726</v>
      </c>
      <c r="AE35" s="706">
        <f t="shared" ref="AE35:AE36" si="35">$J35-AD35</f>
        <v>13783.679135881028</v>
      </c>
      <c r="AF35" s="706">
        <f>IF($C35="other",(1-$C$23)*AD35,(1-(VLOOKUP($C35,'S3 - Screening Tool Metrics'!$C$3:$G$17,5,FALSE)/100))*AD35)</f>
        <v>613.86417282379443</v>
      </c>
      <c r="AG35" s="706">
        <f>IF($C35="other",$C$23*AD35,(VLOOKUP($C35,'S3 - Screening Tool Metrics'!$C$3:$G$17,5,FALSE)/100)*AD35)</f>
        <v>2455.4566912951782</v>
      </c>
      <c r="AH35" s="708">
        <f t="shared" si="24"/>
        <v>14.569849233342303</v>
      </c>
      <c r="AI35" s="707">
        <f t="shared" si="25"/>
        <v>34618.213333333333</v>
      </c>
      <c r="AJ35" s="706">
        <f>VLOOKUP("*"&amp;$B35&amp;"*",'S4 - Summ PRS Characteristics'!$C$5:$Q$12,15,FALSE)*$J35</f>
        <v>944.66139728367648</v>
      </c>
      <c r="AK35" s="706">
        <f t="shared" ref="AK35:AK36" si="36">$J35-AJ35</f>
        <v>15908.338602716323</v>
      </c>
      <c r="AL35" s="706">
        <f>IF($C35="other",(1-$C$23)*AJ35,(1-(VLOOKUP($C35,'S3 - Screening Tool Metrics'!$C$3:$G$17,5,FALSE)/100))*AJ35)</f>
        <v>188.93227945673524</v>
      </c>
      <c r="AM35" s="706">
        <f>IF($C35="other",$C$23*AJ35,(VLOOKUP($C35,'S3 - Screening Tool Metrics'!$C$3:$G$17,5,FALSE)/100)*AJ35)</f>
        <v>755.72911782694121</v>
      </c>
      <c r="AN35" s="709">
        <f t="shared" si="26"/>
        <v>4.4842408937693063</v>
      </c>
    </row>
    <row r="36" spans="2:40" x14ac:dyDescent="0.15">
      <c r="B36" s="700" t="s">
        <v>10</v>
      </c>
      <c r="C36" s="721" t="str">
        <f t="shared" si="31"/>
        <v>Other</v>
      </c>
      <c r="D36" s="552" t="s">
        <v>203</v>
      </c>
      <c r="E36" s="710">
        <f>VLOOKUP($B36&amp;"_"&amp;$D36,'App5 - CRUK Inci Rates'!C:H,6,FALSE)</f>
        <v>291.02444784453866</v>
      </c>
      <c r="F36" s="711">
        <f>VLOOKUP($B36&amp;"_"&amp;$D36,'App5 - CRUK Inci Rates'!C:H,3,FALSE)</f>
        <v>0</v>
      </c>
      <c r="G36" s="712">
        <f>VLOOKUP($B36&amp;"_"&amp;$D36,'App5 - CRUK Inci Rates'!C:J,8,FALSE)</f>
        <v>7817212.666666666</v>
      </c>
      <c r="H36" s="713">
        <f>VLOOKUP($B36&amp;"_"&amp;$D36,'App5 - CRUK Inci Rates'!C:J,7,FALSE)</f>
        <v>7817212.666666666</v>
      </c>
      <c r="I36" s="713">
        <f>VLOOKUP($B36&amp;"_"&amp;$D36,'App5 - CRUK Inci Rates'!C:J,4,FALSE)</f>
        <v>0</v>
      </c>
      <c r="J36" s="709">
        <f>VLOOKUP($B36&amp;"_"&amp;$D36,'App5 - CRUK Inci Rates'!C:K,9,FALSE)</f>
        <v>22750</v>
      </c>
      <c r="K36" s="706">
        <f t="shared" si="8"/>
        <v>3908606.333333333</v>
      </c>
      <c r="L36" s="706">
        <f>VLOOKUP("*"&amp;$B36&amp;"*",'S4 - Summ PRS Characteristics'!$C$5:$Q$12,11,FALSE)*$J36</f>
        <v>17508.536744221037</v>
      </c>
      <c r="M36" s="706">
        <f t="shared" si="9"/>
        <v>5241.4632557789628</v>
      </c>
      <c r="N36" s="706">
        <f>IF($C36="other",(1-$C$7)*L36,(1-(VLOOKUP($C36,'S3 - Screening Tool Metrics'!$C$3:$G$17,5,FALSE)/100))*L36)</f>
        <v>3501.7073488442065</v>
      </c>
      <c r="O36" s="706">
        <f>IF($C36="other",$C$7*L36,(VLOOKUP($C36,'S3 - Screening Tool Metrics'!$C$3:$G$17,5,FALSE)/100)*L36)</f>
        <v>14006.82939537683</v>
      </c>
      <c r="P36" s="706">
        <f t="shared" si="32"/>
        <v>61.568480858799255</v>
      </c>
      <c r="Q36" s="707">
        <f t="shared" si="19"/>
        <v>1563442.5333333332</v>
      </c>
      <c r="R36" s="706">
        <f>VLOOKUP("*"&amp;$B36&amp;"*",'S4 - Summ PRS Characteristics'!$C$5:$Q$12,12,FALSE)*$J36</f>
        <v>10432.157875713216</v>
      </c>
      <c r="S36" s="706">
        <f t="shared" si="33"/>
        <v>12317.842124286784</v>
      </c>
      <c r="T36" s="706">
        <f>IF($C36="other",(1-$C$23)*R36,(1-(VLOOKUP($C36,'S3 - Screening Tool Metrics'!$C$3:$G$17,5,FALSE)/100))*R36)</f>
        <v>2086.4315751426425</v>
      </c>
      <c r="U36" s="706">
        <f>IF($C36="other",$C$23*R36,(VLOOKUP($C36,'S3 - Screening Tool Metrics'!$C$3:$G$17,5,FALSE)/100)*R36)</f>
        <v>8345.7263005705736</v>
      </c>
      <c r="V36" s="708">
        <f t="shared" si="20"/>
        <v>36.684511211299224</v>
      </c>
      <c r="W36" s="707">
        <f t="shared" si="21"/>
        <v>781721.2666666666</v>
      </c>
      <c r="X36" s="706">
        <f>VLOOKUP("*"&amp;$B36&amp;"*",'S4 - Summ PRS Characteristics'!$C$5:$Q$12,13,FALSE)*$J36</f>
        <v>6670.7591157496081</v>
      </c>
      <c r="Y36" s="706">
        <f t="shared" si="34"/>
        <v>16079.240884250392</v>
      </c>
      <c r="Z36" s="706">
        <f>IF($C36="other",(1-$C$23)*X36,(1-(VLOOKUP($C36,'S3 - Screening Tool Metrics'!$C$3:$G$17,5,FALSE)/100))*X36)</f>
        <v>1334.1518231499213</v>
      </c>
      <c r="AA36" s="706">
        <f>IF($C36="other",$C$23*X36,(VLOOKUP($C36,'S3 - Screening Tool Metrics'!$C$3:$G$17,5,FALSE)/100)*X36)</f>
        <v>5336.6072925996868</v>
      </c>
      <c r="AB36" s="708">
        <f t="shared" si="22"/>
        <v>23.457614472965655</v>
      </c>
      <c r="AC36" s="706">
        <f t="shared" si="23"/>
        <v>390860.6333333333</v>
      </c>
      <c r="AD36" s="706">
        <f>VLOOKUP("*"&amp;$B36&amp;"*",'S4 - Summ PRS Characteristics'!$C$5:$Q$12,14,FALSE)*$J36</f>
        <v>4143.3008757317175</v>
      </c>
      <c r="AE36" s="706">
        <f t="shared" si="35"/>
        <v>18606.699124268282</v>
      </c>
      <c r="AF36" s="706">
        <f>IF($C36="other",(1-$C$23)*AD36,(1-(VLOOKUP($C36,'S3 - Screening Tool Metrics'!$C$3:$G$17,5,FALSE)/100))*AD36)</f>
        <v>828.66017514634336</v>
      </c>
      <c r="AG36" s="706">
        <f>IF($C36="other",$C$23*AD36,(VLOOKUP($C36,'S3 - Screening Tool Metrics'!$C$3:$G$17,5,FALSE)/100)*AD36)</f>
        <v>3314.6407005853744</v>
      </c>
      <c r="AH36" s="708">
        <f t="shared" si="24"/>
        <v>14.569849233342305</v>
      </c>
      <c r="AI36" s="707">
        <f t="shared" si="25"/>
        <v>78172.126666666663</v>
      </c>
      <c r="AJ36" s="706">
        <f>VLOOKUP("*"&amp;$B36&amp;"*",'S4 - Summ PRS Characteristics'!$C$5:$Q$12,15,FALSE)*$J36</f>
        <v>1275.2060041656464</v>
      </c>
      <c r="AK36" s="706">
        <f t="shared" si="36"/>
        <v>21474.793995834352</v>
      </c>
      <c r="AL36" s="706">
        <f>IF($C36="other",(1-$C$23)*AJ36,(1-(VLOOKUP($C36,'S3 - Screening Tool Metrics'!$C$3:$G$17,5,FALSE)/100))*AJ36)</f>
        <v>255.04120083312921</v>
      </c>
      <c r="AM36" s="706">
        <f>IF($C36="other",$C$23*AJ36,(VLOOKUP($C36,'S3 - Screening Tool Metrics'!$C$3:$G$17,5,FALSE)/100)*AJ36)</f>
        <v>1020.1648033325172</v>
      </c>
      <c r="AN36" s="709">
        <f t="shared" si="26"/>
        <v>4.4842408937693063</v>
      </c>
    </row>
    <row r="37" spans="2:40" x14ac:dyDescent="0.15">
      <c r="B37" s="700" t="s">
        <v>10</v>
      </c>
      <c r="C37" s="721" t="str">
        <f>$C25</f>
        <v>Other</v>
      </c>
      <c r="D37" s="552" t="s">
        <v>292</v>
      </c>
      <c r="E37" s="710">
        <f>VLOOKUP($B37&amp;"_"&amp;$D37,'App5 - CRUK Inci Rates'!C:H,6,FALSE)</f>
        <v>568.09764371802726</v>
      </c>
      <c r="F37" s="711">
        <f>VLOOKUP($B37&amp;"_"&amp;$D37,'App5 - CRUK Inci Rates'!C:H,3,FALSE)</f>
        <v>0</v>
      </c>
      <c r="G37" s="712">
        <f>VLOOKUP($B37&amp;"_"&amp;$D37,'App5 - CRUK Inci Rates'!C:J,8,FALSE)</f>
        <v>4929786.333333333</v>
      </c>
      <c r="H37" s="713">
        <f>VLOOKUP($B37&amp;"_"&amp;$D37,'App5 - CRUK Inci Rates'!C:J,7,FALSE)</f>
        <v>4929786.333333333</v>
      </c>
      <c r="I37" s="713">
        <f>VLOOKUP($B37&amp;"_"&amp;$D37,'App5 - CRUK Inci Rates'!C:J,4,FALSE)</f>
        <v>0</v>
      </c>
      <c r="J37" s="709">
        <f>VLOOKUP($B37&amp;"_"&amp;$D37,'App5 - CRUK Inci Rates'!C:K,9,FALSE)</f>
        <v>28006</v>
      </c>
      <c r="K37" s="706">
        <f t="shared" si="8"/>
        <v>2464893.1666666665</v>
      </c>
      <c r="L37" s="706">
        <f>VLOOKUP("*"&amp;$B37&amp;"*",'S4 - Summ PRS Characteristics'!$C$5:$Q$12,11,FALSE)*$J37</f>
        <v>21553.585936644151</v>
      </c>
      <c r="M37" s="706">
        <f t="shared" si="9"/>
        <v>6452.4140633558491</v>
      </c>
      <c r="N37" s="706">
        <f>IF($C37="other",(1-$C$7)*L37,(1-(VLOOKUP($C37,'S3 - Screening Tool Metrics'!$C$3:$G$17,5,FALSE)/100))*L37)</f>
        <v>4310.7171873288289</v>
      </c>
      <c r="O37" s="706">
        <f>IF($C37="other",$C$7*L37,(VLOOKUP($C37,'S3 - Screening Tool Metrics'!$C$3:$G$17,5,FALSE)/100)*L37)</f>
        <v>17242.868749315323</v>
      </c>
      <c r="P37" s="706">
        <f t="shared" si="10"/>
        <v>61.568480858799269</v>
      </c>
      <c r="Q37" s="707">
        <f t="shared" si="19"/>
        <v>985957.2666666666</v>
      </c>
      <c r="R37" s="706">
        <f>VLOOKUP("*"&amp;$B37&amp;"*",'S4 - Summ PRS Characteristics'!$C$5:$Q$12,12,FALSE)*$J37</f>
        <v>12842.330262295574</v>
      </c>
      <c r="S37" s="706">
        <f t="shared" si="27"/>
        <v>15163.669737704426</v>
      </c>
      <c r="T37" s="706">
        <f>IF($C37="other",(1-$C23)*R37,(1-(VLOOKUP($C37,'S3 - Screening Tool Metrics'!$C$3:$G$17,5,FALSE)/100))*R37)</f>
        <v>2568.4660524591145</v>
      </c>
      <c r="U37" s="706">
        <f>IF($C37="other",$C$23*R37,(VLOOKUP($C37,'S3 - Screening Tool Metrics'!$C$3:$G$17,5,FALSE)/100)*R37)</f>
        <v>10273.86420983646</v>
      </c>
      <c r="V37" s="708">
        <f t="shared" si="20"/>
        <v>36.684511211299217</v>
      </c>
      <c r="W37" s="707">
        <f t="shared" si="21"/>
        <v>492978.6333333333</v>
      </c>
      <c r="X37" s="706">
        <f>VLOOKUP("*"&amp;$B37&amp;"*",'S4 - Summ PRS Characteristics'!$C$5:$Q$12,13,FALSE)*$J37</f>
        <v>8211.9243866234519</v>
      </c>
      <c r="Y37" s="706">
        <f t="shared" si="28"/>
        <v>19794.075613376546</v>
      </c>
      <c r="Z37" s="706">
        <f>IF($C37="other",(1-$C$23)*X37,(1-(VLOOKUP($C37,'S3 - Screening Tool Metrics'!$C$3:$G$17,5,FALSE)/100))*X37)</f>
        <v>1642.38487732469</v>
      </c>
      <c r="AA37" s="706">
        <f>IF($C37="other",$C23*X37,(VLOOKUP($C37,'S3 - Screening Tool Metrics'!$C$3:$G$17,5,FALSE)/100)*X37)</f>
        <v>6569.5395092987619</v>
      </c>
      <c r="AB37" s="708">
        <f t="shared" si="22"/>
        <v>23.457614472965655</v>
      </c>
      <c r="AC37" s="706">
        <f t="shared" si="23"/>
        <v>246489.31666666665</v>
      </c>
      <c r="AD37" s="706">
        <f>VLOOKUP("*"&amp;$B37&amp;"*",'S4 - Summ PRS Characteristics'!$C$5:$Q$12,14,FALSE)*$J37</f>
        <v>5100.5399703623061</v>
      </c>
      <c r="AE37" s="706">
        <f t="shared" si="30"/>
        <v>22905.460029637696</v>
      </c>
      <c r="AF37" s="706">
        <f>IF($C37="other",(1-$C$23)*AD37,(1-(VLOOKUP($C37,'S3 - Screening Tool Metrics'!$C$3:$G$17,5,FALSE)/100))*AD37)</f>
        <v>1020.107994072461</v>
      </c>
      <c r="AG37" s="706">
        <f>IF($C37="other",$C$23*AD37,(VLOOKUP($C37,'S3 - Screening Tool Metrics'!$C$3:$G$17,5,FALSE)/100)*AD37)</f>
        <v>4080.4319762898449</v>
      </c>
      <c r="AH37" s="708">
        <f t="shared" si="24"/>
        <v>14.569849233342303</v>
      </c>
      <c r="AI37" s="707">
        <f t="shared" si="25"/>
        <v>49297.863333333335</v>
      </c>
      <c r="AJ37" s="706">
        <f>VLOOKUP("*"&amp;$B37&amp;"*",'S4 - Summ PRS Characteristics'!$C$5:$Q$12,15,FALSE)*$J37</f>
        <v>1569.8206308862898</v>
      </c>
      <c r="AK37" s="706">
        <f t="shared" si="29"/>
        <v>26436.17936911371</v>
      </c>
      <c r="AL37" s="706">
        <f>IF($C37="other",(1-$C$23)*AJ37,(1-(VLOOKUP($C37,'S3 - Screening Tool Metrics'!$C$3:$G$17,5,FALSE)/100))*AJ37)</f>
        <v>313.96412617725787</v>
      </c>
      <c r="AM37" s="706">
        <f>IF($C37="other",$C$23*AJ37,(VLOOKUP($C37,'S3 - Screening Tool Metrics'!$C$3:$G$17,5,FALSE)/100)*AJ37)</f>
        <v>1255.8565047090319</v>
      </c>
      <c r="AN37" s="709">
        <f t="shared" si="26"/>
        <v>4.4842408937693063</v>
      </c>
    </row>
    <row r="38" spans="2:40" x14ac:dyDescent="0.15">
      <c r="B38" s="700" t="s">
        <v>10</v>
      </c>
      <c r="C38" s="721" t="str">
        <f>$C24</f>
        <v>Other</v>
      </c>
      <c r="D38" s="552" t="s">
        <v>204</v>
      </c>
      <c r="E38" s="710">
        <f>VLOOKUP($B38&amp;"_"&amp;$D38,'App5 - CRUK Inci Rates'!C:H,6,FALSE)</f>
        <v>296.50668196175269</v>
      </c>
      <c r="F38" s="711">
        <f>VLOOKUP($B38&amp;"_"&amp;$D38,'App5 - CRUK Inci Rates'!C:H,3,FALSE)</f>
        <v>0</v>
      </c>
      <c r="G38" s="712">
        <f>VLOOKUP($B38&amp;"_"&amp;$D38,'App5 - CRUK Inci Rates'!C:J,8,FALSE)</f>
        <v>14565607.666666668</v>
      </c>
      <c r="H38" s="713">
        <f>VLOOKUP($B38&amp;"_"&amp;$D38,'App5 - CRUK Inci Rates'!C:J,7,FALSE)</f>
        <v>14565607.666666668</v>
      </c>
      <c r="I38" s="713">
        <f>VLOOKUP($B38&amp;"_"&amp;$D38,'App5 - CRUK Inci Rates'!C:J,4,FALSE)</f>
        <v>0</v>
      </c>
      <c r="J38" s="709">
        <f>VLOOKUP($B38&amp;"_"&amp;$D38,'App5 - CRUK Inci Rates'!C:K,9,FALSE)</f>
        <v>43188</v>
      </c>
      <c r="K38" s="706">
        <f t="shared" si="8"/>
        <v>7282803.833333334</v>
      </c>
      <c r="L38" s="706">
        <f>VLOOKUP("*"&amp;$B38&amp;"*",'S4 - Summ PRS Characteristics'!$C$5:$Q$12,11,FALSE)*$J38</f>
        <v>33237.744391622778</v>
      </c>
      <c r="M38" s="706">
        <f t="shared" si="9"/>
        <v>9950.2556083772215</v>
      </c>
      <c r="N38" s="706">
        <f>IF($C38="other",(1-$C$7)*L38,(1-(VLOOKUP($C38,'S3 - Screening Tool Metrics'!$C$3:$G$17,5,FALSE)/100))*L38)</f>
        <v>6647.5488783245546</v>
      </c>
      <c r="O38" s="706">
        <f>IF($C38="other",$C$7*L38,(VLOOKUP($C38,'S3 - Screening Tool Metrics'!$C$3:$G$17,5,FALSE)/100)*L38)</f>
        <v>26590.195513298226</v>
      </c>
      <c r="P38" s="706">
        <f t="shared" si="10"/>
        <v>61.568480858799269</v>
      </c>
      <c r="Q38" s="707">
        <f t="shared" si="19"/>
        <v>2913121.5333333337</v>
      </c>
      <c r="R38" s="706">
        <f>VLOOKUP("*"&amp;$B38&amp;"*",'S4 - Summ PRS Characteristics'!$C$5:$Q$12,12,FALSE)*$J38</f>
        <v>19804.133377419883</v>
      </c>
      <c r="S38" s="706">
        <f t="shared" si="27"/>
        <v>23383.866622580117</v>
      </c>
      <c r="T38" s="706">
        <f>IF($C38="other",(1-$C23)*R38,(1-(VLOOKUP($C38,'S3 - Screening Tool Metrics'!$C$3:$G$17,5,FALSE)/100))*R38)</f>
        <v>3960.8266754839756</v>
      </c>
      <c r="U38" s="706">
        <f>IF($C38="other",$C23*R38,(VLOOKUP($C38,'S3 - Screening Tool Metrics'!$C$3:$G$17,5,FALSE)/100)*R38)</f>
        <v>15843.306701935908</v>
      </c>
      <c r="V38" s="708">
        <f t="shared" si="20"/>
        <v>36.684511211299217</v>
      </c>
      <c r="W38" s="707">
        <f t="shared" si="21"/>
        <v>1456560.7666666668</v>
      </c>
      <c r="X38" s="706">
        <f>VLOOKUP("*"&amp;$B38&amp;"*",'S4 - Summ PRS Characteristics'!$C$5:$Q$12,13,FALSE)*$J38</f>
        <v>12663.593173230509</v>
      </c>
      <c r="Y38" s="706">
        <f t="shared" si="28"/>
        <v>30524.406826769489</v>
      </c>
      <c r="Z38" s="706">
        <f>IF($C38="other",(1-$C23)*X38,(1-(VLOOKUP($C38,'S3 - Screening Tool Metrics'!$C$3:$G$17,5,FALSE)/100))*X38)</f>
        <v>2532.7186346461012</v>
      </c>
      <c r="AA38" s="706">
        <f>IF($C38="other",$C23*X38,(VLOOKUP($C38,'S3 - Screening Tool Metrics'!$C$3:$G$17,5,FALSE)/100)*X38)</f>
        <v>10130.874538584409</v>
      </c>
      <c r="AB38" s="708">
        <f t="shared" si="22"/>
        <v>23.457614472965655</v>
      </c>
      <c r="AC38" s="706">
        <f t="shared" si="23"/>
        <v>728280.38333333342</v>
      </c>
      <c r="AD38" s="706">
        <f>VLOOKUP("*"&amp;$B38&amp;"*",'S4 - Summ PRS Characteristics'!$C$5:$Q$12,14,FALSE)*$J38</f>
        <v>7865.5331086198421</v>
      </c>
      <c r="AE38" s="706">
        <f t="shared" si="30"/>
        <v>35322.466891380158</v>
      </c>
      <c r="AF38" s="706">
        <f>IF($C38="other",(1-$C23)*AD38,(1-(VLOOKUP($C38,'S3 - Screening Tool Metrics'!$C$3:$G$17,5,FALSE)/100))*AD38)</f>
        <v>1573.1066217239681</v>
      </c>
      <c r="AG38" s="706">
        <f>IF($C38="other",$C23*AD38,(VLOOKUP($C38,'S3 - Screening Tool Metrics'!$C$3:$G$17,5,FALSE)/100)*AD38)</f>
        <v>6292.4264868958744</v>
      </c>
      <c r="AH38" s="708">
        <f t="shared" si="24"/>
        <v>14.569849233342305</v>
      </c>
      <c r="AI38" s="707">
        <f t="shared" si="25"/>
        <v>145656.07666666669</v>
      </c>
      <c r="AJ38" s="706">
        <f>VLOOKUP("*"&amp;$B38&amp;"*",'S4 - Summ PRS Characteristics'!$C$5:$Q$12,15,FALSE)*$J38</f>
        <v>2420.8174465013599</v>
      </c>
      <c r="AK38" s="706">
        <f t="shared" si="29"/>
        <v>40767.182553498642</v>
      </c>
      <c r="AL38" s="706">
        <f>IF($C38="other",(1-$C23)*AJ38,(1-(VLOOKUP($C38,'S3 - Screening Tool Metrics'!$C$3:$G$17,5,FALSE)/100))*AJ38)</f>
        <v>484.16348930027186</v>
      </c>
      <c r="AM38" s="706">
        <f>IF($C38="other",$C23*AJ38,(VLOOKUP($C38,'S3 - Screening Tool Metrics'!$C$3:$G$17,5,FALSE)/100)*AJ38)</f>
        <v>1936.6539572010879</v>
      </c>
      <c r="AN38" s="709">
        <f t="shared" si="26"/>
        <v>4.4842408937693063</v>
      </c>
    </row>
    <row r="39" spans="2:40" ht="14" thickBot="1" x14ac:dyDescent="0.2">
      <c r="B39" s="700" t="s">
        <v>10</v>
      </c>
      <c r="C39" s="721" t="str">
        <f>$C25</f>
        <v>Other</v>
      </c>
      <c r="D39" s="552" t="s">
        <v>205</v>
      </c>
      <c r="E39" s="710">
        <f>VLOOKUP($B39&amp;"_"&amp;$D39,'App5 - CRUK Inci Rates'!C:H,6,FALSE)</f>
        <v>183.8</v>
      </c>
      <c r="F39" s="711">
        <f>VLOOKUP($B39&amp;"_"&amp;$D39,'App5 - CRUK Inci Rates'!C:H,3,FALSE)</f>
        <v>0</v>
      </c>
      <c r="G39" s="712">
        <f>VLOOKUP($B39&amp;"_"&amp;$D39,'App5 - CRUK Inci Rates'!C:J,8,FALSE)</f>
        <v>32583225.666666668</v>
      </c>
      <c r="H39" s="713">
        <f>VLOOKUP($B39&amp;"_"&amp;$D39,'App5 - CRUK Inci Rates'!C:J,7,FALSE)</f>
        <v>32583225.666666668</v>
      </c>
      <c r="I39" s="713">
        <f>VLOOKUP($B39&amp;"_"&amp;$D39,'App5 - CRUK Inci Rates'!C:J,4,FALSE)</f>
        <v>0</v>
      </c>
      <c r="J39" s="709">
        <f>VLOOKUP($B39&amp;"_"&amp;$D39,'App5 - CRUK Inci Rates'!C:K,9,FALSE)</f>
        <v>52254</v>
      </c>
      <c r="K39" s="716"/>
      <c r="L39" s="716"/>
      <c r="M39" s="716"/>
      <c r="N39" s="716"/>
      <c r="O39" s="716"/>
      <c r="P39" s="716"/>
      <c r="Q39" s="715"/>
      <c r="R39" s="716"/>
      <c r="S39" s="716"/>
      <c r="T39" s="716"/>
      <c r="U39" s="716"/>
      <c r="V39" s="717"/>
      <c r="W39" s="715"/>
      <c r="X39" s="716"/>
      <c r="Y39" s="716"/>
      <c r="Z39" s="716"/>
      <c r="AA39" s="716"/>
      <c r="AB39" s="717"/>
      <c r="AC39" s="716"/>
      <c r="AD39" s="716"/>
      <c r="AE39" s="716"/>
      <c r="AF39" s="716"/>
      <c r="AG39" s="716"/>
      <c r="AH39" s="717"/>
      <c r="AI39" s="715"/>
      <c r="AJ39" s="716"/>
      <c r="AK39" s="716"/>
      <c r="AL39" s="716"/>
      <c r="AM39" s="716"/>
      <c r="AN39" s="718"/>
    </row>
    <row r="40" spans="2:40" ht="21" customHeight="1" thickBot="1" x14ac:dyDescent="0.2">
      <c r="B40" s="686" t="s">
        <v>11</v>
      </c>
      <c r="C40" s="687">
        <v>0.8</v>
      </c>
      <c r="D40" s="688"/>
      <c r="E40" s="689"/>
      <c r="F40" s="690"/>
      <c r="G40" s="691"/>
      <c r="H40" s="692"/>
      <c r="I40" s="692"/>
      <c r="J40" s="693"/>
      <c r="K40" s="694"/>
      <c r="L40" s="694"/>
      <c r="M40" s="694"/>
      <c r="N40" s="694"/>
      <c r="O40" s="694"/>
      <c r="P40" s="694"/>
      <c r="Q40" s="695"/>
      <c r="R40" s="696"/>
      <c r="S40" s="696"/>
      <c r="T40" s="696"/>
      <c r="U40" s="696"/>
      <c r="V40" s="697"/>
      <c r="W40" s="695"/>
      <c r="X40" s="696"/>
      <c r="Y40" s="696"/>
      <c r="Z40" s="696"/>
      <c r="AA40" s="696"/>
      <c r="AB40" s="697"/>
      <c r="AC40" s="696"/>
      <c r="AD40" s="696"/>
      <c r="AE40" s="696"/>
      <c r="AF40" s="696"/>
      <c r="AG40" s="696"/>
      <c r="AH40" s="697"/>
      <c r="AI40" s="695"/>
      <c r="AJ40" s="696"/>
      <c r="AK40" s="696"/>
      <c r="AL40" s="696"/>
      <c r="AM40" s="696"/>
      <c r="AN40" s="699"/>
    </row>
    <row r="41" spans="2:40" x14ac:dyDescent="0.15">
      <c r="B41" s="700" t="s">
        <v>11</v>
      </c>
      <c r="C41" s="741" t="s">
        <v>180</v>
      </c>
      <c r="D41" s="593" t="s">
        <v>192</v>
      </c>
      <c r="E41" s="701">
        <f>VLOOKUP($B41&amp;"_"&amp;$D41,'App5 - CRUK Inci Rates'!C:H,6,FALSE)</f>
        <v>14.5</v>
      </c>
      <c r="F41" s="702">
        <f>VLOOKUP($B41&amp;"_"&amp;$D41,'App5 - CRUK Inci Rates'!C:H,3,FALSE)</f>
        <v>13.5</v>
      </c>
      <c r="G41" s="703">
        <f>VLOOKUP($B41&amp;"_"&amp;$D41,'App5 - CRUK Inci Rates'!C:J,8,FALSE)</f>
        <v>4075608</v>
      </c>
      <c r="H41" s="704">
        <f>VLOOKUP($B41&amp;"_"&amp;$D41,'App5 - CRUK Inci Rates'!C:J,7,FALSE)</f>
        <v>2021384.6666666667</v>
      </c>
      <c r="I41" s="704">
        <f>VLOOKUP($B41&amp;"_"&amp;$D41,'App5 - CRUK Inci Rates'!C:J,4,FALSE)</f>
        <v>2054223.3333333333</v>
      </c>
      <c r="J41" s="705">
        <f>VLOOKUP($B41&amp;"_"&amp;$D41,'App5 - CRUK Inci Rates'!C:K,9,FALSE)</f>
        <v>570</v>
      </c>
      <c r="K41" s="706">
        <f t="shared" si="8"/>
        <v>2037804</v>
      </c>
      <c r="L41" s="706">
        <f>VLOOKUP("*"&amp;$B41&amp;"*",'S4 - Summ PRS Characteristics'!$C$5:$Q$12,11,FALSE)*$J41</f>
        <v>377.95600494311321</v>
      </c>
      <c r="M41" s="706">
        <f t="shared" si="9"/>
        <v>192.04399505688679</v>
      </c>
      <c r="N41" s="706">
        <f>IF($C41="other",(1-$C$7)*L41,(1-(VLOOKUP($C41,'S3 - Screening Tool Metrics'!$C$3:$G$17,5,FALSE)/100))*L41)</f>
        <v>75.591200988622631</v>
      </c>
      <c r="O41" s="706">
        <f>IF($C41="other",$C$7*L41,(VLOOKUP($C41,'S3 - Screening Tool Metrics'!$C$3:$G$17,5,FALSE)/100)*L41)</f>
        <v>302.36480395449058</v>
      </c>
      <c r="P41" s="706">
        <f t="shared" si="10"/>
        <v>53.046456834121159</v>
      </c>
      <c r="Q41" s="707">
        <f t="shared" ref="Q41:Q54" si="37">$G41*Q$3</f>
        <v>815121.60000000009</v>
      </c>
      <c r="R41" s="706">
        <f>VLOOKUP("*"&amp;$B41&amp;"*",'S4 - Summ PRS Characteristics'!$C$5:$Q$12,12,FALSE)*$J41</f>
        <v>192.07523115163704</v>
      </c>
      <c r="S41" s="706">
        <f>$J41-R41</f>
        <v>377.92476884836299</v>
      </c>
      <c r="T41" s="706">
        <f>IF($C41="other",(1-$C40)*R41,(1-(VLOOKUP($C41,'S3 - Screening Tool Metrics'!$C$3:$G$17,5,FALSE)/100))*R41)</f>
        <v>38.415046230327398</v>
      </c>
      <c r="U41" s="706">
        <f>IF($C41="other",$C40*R41,(VLOOKUP($C41,'S3 - Screening Tool Metrics'!$C$3:$G$17,5,FALSE)/100)*R41)</f>
        <v>153.66018492130965</v>
      </c>
      <c r="V41" s="708">
        <f t="shared" ref="V41:V54" si="38">$U41/$J41*100</f>
        <v>26.957927179177133</v>
      </c>
      <c r="W41" s="707">
        <f t="shared" ref="W41:W54" si="39">$G41*W$3</f>
        <v>407560.80000000005</v>
      </c>
      <c r="X41" s="706">
        <f>VLOOKUP("*"&amp;$B41&amp;"*",'S4 - Summ PRS Characteristics'!$C$5:$Q$12,13,FALSE)*$J41</f>
        <v>110.98529125453747</v>
      </c>
      <c r="Y41" s="706">
        <f>$J41-X41</f>
        <v>459.01470874546254</v>
      </c>
      <c r="Z41" s="706">
        <f>IF($C41="other",(1-$C40)*X41,(1-(VLOOKUP($C41,'S3 - Screening Tool Metrics'!$C$3:$G$17,5,FALSE)/100))*X41)</f>
        <v>22.197058250907489</v>
      </c>
      <c r="AA41" s="706">
        <f>IF($C41="other",$C40*X41,(VLOOKUP($C41,'S3 - Screening Tool Metrics'!$C$3:$G$17,5,FALSE)/100)*X41)</f>
        <v>88.788233003629983</v>
      </c>
      <c r="AB41" s="708">
        <f t="shared" ref="AB41:AB54" si="40">$AA41/$J41*100</f>
        <v>15.576882983092979</v>
      </c>
      <c r="AC41" s="706">
        <f t="shared" ref="AC41:AC54" si="41">$G41*AC$3</f>
        <v>203780.40000000002</v>
      </c>
      <c r="AD41" s="706">
        <f>VLOOKUP("*"&amp;$B41&amp;"*",'S4 - Summ PRS Characteristics'!$C$5:$Q$12,14,FALSE)*$J41</f>
        <v>62.974828563595921</v>
      </c>
      <c r="AE41" s="706">
        <f>$J41-AD41</f>
        <v>507.02517143640409</v>
      </c>
      <c r="AF41" s="706">
        <f>IF($C41="other",(1-$C40)*AD41,(1-(VLOOKUP($C41,'S3 - Screening Tool Metrics'!$C$3:$G$17,5,FALSE)/100))*AD41)</f>
        <v>12.594965712719182</v>
      </c>
      <c r="AG41" s="706">
        <f>IF($C41="other",$C40*AD41,(VLOOKUP($C41,'S3 - Screening Tool Metrics'!$C$3:$G$17,5,FALSE)/100)*AD41)</f>
        <v>50.379862850876741</v>
      </c>
      <c r="AH41" s="708">
        <f t="shared" ref="AH41:AH54" si="42">$AG41/$J41*100</f>
        <v>8.8385724299783757</v>
      </c>
      <c r="AI41" s="707">
        <f t="shared" ref="AI41:AI54" si="43">$G41*AI$3</f>
        <v>40756.080000000002</v>
      </c>
      <c r="AJ41" s="706">
        <f>VLOOKUP("*"&amp;$B41&amp;"*",'S4 - Summ PRS Characteristics'!$C$5:$Q$12,15,FALSE)*$J41</f>
        <v>16.165204085635832</v>
      </c>
      <c r="AK41" s="706">
        <f>$J41-AJ41</f>
        <v>553.83479591436412</v>
      </c>
      <c r="AL41" s="706">
        <f>IF($C41="other",(1-$C40)*AJ41,(1-(VLOOKUP($C41,'S3 - Screening Tool Metrics'!$C$3:$G$17,5,FALSE)/100))*AJ41)</f>
        <v>3.2330408171271658</v>
      </c>
      <c r="AM41" s="706">
        <f>IF($C41="other",$C40*AJ41,(VLOOKUP($C41,'S3 - Screening Tool Metrics'!$C$3:$G$17,5,FALSE)/100)*AJ41)</f>
        <v>12.932163268508667</v>
      </c>
      <c r="AN41" s="709">
        <f t="shared" ref="AN41:AN54" si="44">$AM41/$J41*100</f>
        <v>2.2688005734225731</v>
      </c>
    </row>
    <row r="42" spans="2:40" x14ac:dyDescent="0.15">
      <c r="B42" s="700" t="s">
        <v>11</v>
      </c>
      <c r="C42" s="721" t="str">
        <f>$C41</f>
        <v>Other</v>
      </c>
      <c r="D42" s="552" t="s">
        <v>193</v>
      </c>
      <c r="E42" s="710">
        <f>VLOOKUP($B42&amp;"_"&amp;$D42,'App5 - CRUK Inci Rates'!C:H,6,FALSE)</f>
        <v>24.4</v>
      </c>
      <c r="F42" s="711">
        <f>VLOOKUP($B42&amp;"_"&amp;$D42,'App5 - CRUK Inci Rates'!C:H,3,FALSE)</f>
        <v>21.6</v>
      </c>
      <c r="G42" s="712">
        <f>VLOOKUP($B42&amp;"_"&amp;$D42,'App5 - CRUK Inci Rates'!C:J,8,FALSE)</f>
        <v>4567159.333333334</v>
      </c>
      <c r="H42" s="713">
        <f>VLOOKUP($B42&amp;"_"&amp;$D42,'App5 - CRUK Inci Rates'!C:J,7,FALSE)</f>
        <v>2251680</v>
      </c>
      <c r="I42" s="713">
        <f>VLOOKUP($B42&amp;"_"&amp;$D42,'App5 - CRUK Inci Rates'!C:J,4,FALSE)</f>
        <v>2315479.3333333335</v>
      </c>
      <c r="J42" s="709">
        <f>VLOOKUP($B42&amp;"_"&amp;$D42,'App5 - CRUK Inci Rates'!C:K,9,FALSE)</f>
        <v>1047</v>
      </c>
      <c r="K42" s="706">
        <f t="shared" si="8"/>
        <v>2283579.666666667</v>
      </c>
      <c r="L42" s="706">
        <f>VLOOKUP("*"&amp;$B42&amp;"*",'S4 - Summ PRS Characteristics'!$C$5:$Q$12,11,FALSE)*$J42</f>
        <v>694.24550381656059</v>
      </c>
      <c r="M42" s="706">
        <f t="shared" si="9"/>
        <v>352.75449618343941</v>
      </c>
      <c r="N42" s="706">
        <f>IF($C42="other",(1-$C$7)*L42,(1-(VLOOKUP($C42,'S3 - Screening Tool Metrics'!$C$3:$G$17,5,FALSE)/100))*L42)</f>
        <v>138.84910076331209</v>
      </c>
      <c r="O42" s="706">
        <f>IF($C42="other",$C$7*L42,(VLOOKUP($C42,'S3 - Screening Tool Metrics'!$C$3:$G$17,5,FALSE)/100)*L42)</f>
        <v>555.39640305324849</v>
      </c>
      <c r="P42" s="706">
        <f t="shared" si="10"/>
        <v>53.046456834121159</v>
      </c>
      <c r="Q42" s="707">
        <f t="shared" si="37"/>
        <v>913431.86666666681</v>
      </c>
      <c r="R42" s="706">
        <f>VLOOKUP("*"&amp;$B42&amp;"*",'S4 - Summ PRS Characteristics'!$C$5:$Q$12,12,FALSE)*$J42</f>
        <v>352.81187195748066</v>
      </c>
      <c r="S42" s="706">
        <f t="shared" ref="S42:S54" si="45">$J42-R42</f>
        <v>694.18812804251934</v>
      </c>
      <c r="T42" s="706">
        <f>IF($C42="other",(1-$C40)*R42,(1-(VLOOKUP($C42,'S3 - Screening Tool Metrics'!$C$3:$G$17,5,FALSE)/100))*R42)</f>
        <v>70.562374391496121</v>
      </c>
      <c r="U42" s="706">
        <f>IF($C42="other",$C40*R42,(VLOOKUP($C42,'S3 - Screening Tool Metrics'!$C$3:$G$17,5,FALSE)/100)*R42)</f>
        <v>282.24949756598454</v>
      </c>
      <c r="V42" s="708">
        <f t="shared" si="38"/>
        <v>26.957927179177126</v>
      </c>
      <c r="W42" s="707">
        <f t="shared" si="39"/>
        <v>456715.93333333341</v>
      </c>
      <c r="X42" s="706">
        <f>VLOOKUP("*"&amp;$B42&amp;"*",'S4 - Summ PRS Characteristics'!$C$5:$Q$12,13,FALSE)*$J42</f>
        <v>203.86245604122936</v>
      </c>
      <c r="Y42" s="706">
        <f t="shared" ref="Y42:Y54" si="46">$J42-X42</f>
        <v>843.13754395877061</v>
      </c>
      <c r="Z42" s="706">
        <f>IF($C42="other",(1-$C40)*X42,(1-(VLOOKUP($C42,'S3 - Screening Tool Metrics'!$C$3:$G$17,5,FALSE)/100))*X42)</f>
        <v>40.772491208245867</v>
      </c>
      <c r="AA42" s="706">
        <f>IF($C42="other",$C40*X42,(VLOOKUP($C42,'S3 - Screening Tool Metrics'!$C$3:$G$17,5,FALSE)/100)*X42)</f>
        <v>163.0899648329835</v>
      </c>
      <c r="AB42" s="708">
        <f t="shared" si="40"/>
        <v>15.576882983092979</v>
      </c>
      <c r="AC42" s="706">
        <f t="shared" si="41"/>
        <v>228357.9666666667</v>
      </c>
      <c r="AD42" s="706">
        <f>VLOOKUP("*"&amp;$B42&amp;"*",'S4 - Summ PRS Characteristics'!$C$5:$Q$12,14,FALSE)*$J42</f>
        <v>115.67481667734198</v>
      </c>
      <c r="AE42" s="706">
        <f>$J42-AD42</f>
        <v>931.32518332265806</v>
      </c>
      <c r="AF42" s="706">
        <f>IF($C42="other",(1-$C40)*AD42,(1-(VLOOKUP($C42,'S3 - Screening Tool Metrics'!$C$3:$G$17,5,FALSE)/100))*AD42)</f>
        <v>23.134963335468392</v>
      </c>
      <c r="AG42" s="706">
        <f>IF($C42="other",$C40*AD42,(VLOOKUP($C42,'S3 - Screening Tool Metrics'!$C$3:$G$17,5,FALSE)/100)*AD42)</f>
        <v>92.539853341873595</v>
      </c>
      <c r="AH42" s="708">
        <f t="shared" si="42"/>
        <v>8.8385724299783757</v>
      </c>
      <c r="AI42" s="707">
        <f t="shared" si="43"/>
        <v>45671.593333333338</v>
      </c>
      <c r="AJ42" s="706">
        <f>VLOOKUP("*"&amp;$B42&amp;"*",'S4 - Summ PRS Characteristics'!$C$5:$Q$12,15,FALSE)*$J42</f>
        <v>29.692927504667924</v>
      </c>
      <c r="AK42" s="706">
        <f t="shared" ref="AK42:AK54" si="47">$J42-AJ42</f>
        <v>1017.307072495332</v>
      </c>
      <c r="AL42" s="706">
        <f>IF($C42="other",(1-$C40)*AJ42,(1-(VLOOKUP($C42,'S3 - Screening Tool Metrics'!$C$3:$G$17,5,FALSE)/100))*AJ42)</f>
        <v>5.9385855009335833</v>
      </c>
      <c r="AM42" s="706">
        <f>IF($C42="other",$C40*AJ42,(VLOOKUP($C42,'S3 - Screening Tool Metrics'!$C$3:$G$17,5,FALSE)/100)*AJ42)</f>
        <v>23.75434200373434</v>
      </c>
      <c r="AN42" s="709">
        <f t="shared" si="44"/>
        <v>2.2688005734225731</v>
      </c>
    </row>
    <row r="43" spans="2:40" x14ac:dyDescent="0.15">
      <c r="B43" s="700" t="s">
        <v>11</v>
      </c>
      <c r="C43" s="721" t="str">
        <f>$C41</f>
        <v>Other</v>
      </c>
      <c r="D43" s="552" t="s">
        <v>194</v>
      </c>
      <c r="E43" s="710">
        <f>VLOOKUP($B43&amp;"_"&amp;$D43,'App5 - CRUK Inci Rates'!C:H,6,FALSE)</f>
        <v>47.1</v>
      </c>
      <c r="F43" s="711">
        <f>VLOOKUP($B43&amp;"_"&amp;$D43,'App5 - CRUK Inci Rates'!C:H,3,FALSE)</f>
        <v>37.1</v>
      </c>
      <c r="G43" s="712">
        <f>VLOOKUP($B43&amp;"_"&amp;$D43,'App5 - CRUK Inci Rates'!C:J,8,FALSE)</f>
        <v>4658110.666666666</v>
      </c>
      <c r="H43" s="713">
        <f>VLOOKUP($B43&amp;"_"&amp;$D43,'App5 - CRUK Inci Rates'!C:J,7,FALSE)</f>
        <v>2293472.6666666665</v>
      </c>
      <c r="I43" s="713">
        <f>VLOOKUP($B43&amp;"_"&amp;$D43,'App5 - CRUK Inci Rates'!C:J,4,FALSE)</f>
        <v>2364638</v>
      </c>
      <c r="J43" s="709">
        <f>VLOOKUP($B43&amp;"_"&amp;$D43,'App5 - CRUK Inci Rates'!C:K,9,FALSE)</f>
        <v>1958</v>
      </c>
      <c r="K43" s="706">
        <f t="shared" si="8"/>
        <v>2329055.333333333</v>
      </c>
      <c r="L43" s="706">
        <f>VLOOKUP("*"&amp;$B43&amp;"*",'S4 - Summ PRS Characteristics'!$C$5:$Q$12,11,FALSE)*$J43</f>
        <v>1298.3120310151153</v>
      </c>
      <c r="M43" s="706">
        <f t="shared" si="9"/>
        <v>659.68796898488472</v>
      </c>
      <c r="N43" s="706">
        <f>IF($C43="other",(1-$C$7)*L43,(1-(VLOOKUP($C43,'S3 - Screening Tool Metrics'!$C$3:$G$17,5,FALSE)/100))*L43)</f>
        <v>259.66240620302301</v>
      </c>
      <c r="O43" s="706">
        <f>IF($C43="other",$C$7*L43,(VLOOKUP($C43,'S3 - Screening Tool Metrics'!$C$3:$G$17,5,FALSE)/100)*L43)</f>
        <v>1038.6496248120923</v>
      </c>
      <c r="P43" s="706">
        <f t="shared" si="10"/>
        <v>53.046456834121159</v>
      </c>
      <c r="Q43" s="707">
        <f t="shared" si="37"/>
        <v>931622.1333333333</v>
      </c>
      <c r="R43" s="706">
        <f>VLOOKUP("*"&amp;$B43&amp;"*",'S4 - Summ PRS Characteristics'!$C$5:$Q$12,12,FALSE)*$J43</f>
        <v>659.79526771036024</v>
      </c>
      <c r="S43" s="706">
        <f t="shared" si="45"/>
        <v>1298.2047322896397</v>
      </c>
      <c r="T43" s="706">
        <f>IF($C43="other",(1-$C40)*R43,(1-(VLOOKUP($C43,'S3 - Screening Tool Metrics'!$C$3:$G$17,5,FALSE)/100))*R43)</f>
        <v>131.95905354207201</v>
      </c>
      <c r="U43" s="706">
        <f>IF($C43="other",$C40*R43,(VLOOKUP($C43,'S3 - Screening Tool Metrics'!$C$3:$G$17,5,FALSE)/100)*R43)</f>
        <v>527.83621416828817</v>
      </c>
      <c r="V43" s="708">
        <f t="shared" si="38"/>
        <v>26.957927179177126</v>
      </c>
      <c r="W43" s="707">
        <f t="shared" si="39"/>
        <v>465811.06666666665</v>
      </c>
      <c r="X43" s="706">
        <f>VLOOKUP("*"&amp;$B43&amp;"*",'S4 - Summ PRS Characteristics'!$C$5:$Q$12,13,FALSE)*$J43</f>
        <v>381.24421101120066</v>
      </c>
      <c r="Y43" s="706">
        <f t="shared" si="46"/>
        <v>1576.7557889887994</v>
      </c>
      <c r="Z43" s="706">
        <f>IF($C43="other",(1-$C40)*X43,(1-(VLOOKUP($C43,'S3 - Screening Tool Metrics'!$C$3:$G$17,5,FALSE)/100))*X43)</f>
        <v>76.248842202240112</v>
      </c>
      <c r="AA43" s="706">
        <f>IF($C43="other",$C40*X43,(VLOOKUP($C43,'S3 - Screening Tool Metrics'!$C$3:$G$17,5,FALSE)/100)*X43)</f>
        <v>304.99536880896056</v>
      </c>
      <c r="AB43" s="708">
        <f t="shared" si="40"/>
        <v>15.576882983092979</v>
      </c>
      <c r="AC43" s="706">
        <f t="shared" si="41"/>
        <v>232905.53333333333</v>
      </c>
      <c r="AD43" s="706">
        <f>VLOOKUP("*"&amp;$B43&amp;"*",'S4 - Summ PRS Characteristics'!$C$5:$Q$12,14,FALSE)*$J43</f>
        <v>216.32406022372072</v>
      </c>
      <c r="AE43" s="706">
        <f t="shared" ref="AE43:AE54" si="48">$J43-AD43</f>
        <v>1741.6759397762794</v>
      </c>
      <c r="AF43" s="706">
        <f>IF($C43="other",(1-$C40)*AD43,(1-(VLOOKUP($C43,'S3 - Screening Tool Metrics'!$C$3:$G$17,5,FALSE)/100))*AD43)</f>
        <v>43.264812044744133</v>
      </c>
      <c r="AG43" s="706">
        <f>IF($C43="other",$C40*AD43,(VLOOKUP($C43,'S3 - Screening Tool Metrics'!$C$3:$G$17,5,FALSE)/100)*AD43)</f>
        <v>173.05924817897659</v>
      </c>
      <c r="AH43" s="708">
        <f t="shared" si="42"/>
        <v>8.8385724299783757</v>
      </c>
      <c r="AI43" s="707">
        <f t="shared" si="43"/>
        <v>46581.106666666659</v>
      </c>
      <c r="AJ43" s="706">
        <f>VLOOKUP("*"&amp;$B43&amp;"*",'S4 - Summ PRS Characteristics'!$C$5:$Q$12,15,FALSE)*$J43</f>
        <v>55.528894034517478</v>
      </c>
      <c r="AK43" s="706">
        <f t="shared" si="47"/>
        <v>1902.4711059654826</v>
      </c>
      <c r="AL43" s="706">
        <f>IF($C43="other",(1-$C40)*AJ43,(1-(VLOOKUP($C43,'S3 - Screening Tool Metrics'!$C$3:$G$17,5,FALSE)/100))*AJ43)</f>
        <v>11.105778806903492</v>
      </c>
      <c r="AM43" s="706">
        <f>IF($C43="other",$C40*AJ43,(VLOOKUP($C43,'S3 - Screening Tool Metrics'!$C$3:$G$17,5,FALSE)/100)*AJ43)</f>
        <v>44.423115227613984</v>
      </c>
      <c r="AN43" s="709">
        <f t="shared" si="44"/>
        <v>2.2688005734225731</v>
      </c>
    </row>
    <row r="44" spans="2:40" x14ac:dyDescent="0.15">
      <c r="B44" s="700" t="s">
        <v>11</v>
      </c>
      <c r="C44" s="721" t="str">
        <f>$C41</f>
        <v>Other</v>
      </c>
      <c r="D44" s="552" t="s">
        <v>195</v>
      </c>
      <c r="E44" s="710">
        <f>VLOOKUP($B44&amp;"_"&amp;$D44,'App5 - CRUK Inci Rates'!C:H,6,FALSE)</f>
        <v>87.7</v>
      </c>
      <c r="F44" s="711">
        <f>VLOOKUP($B44&amp;"_"&amp;$D44,'App5 - CRUK Inci Rates'!C:H,3,FALSE)</f>
        <v>60.6</v>
      </c>
      <c r="G44" s="712">
        <f>VLOOKUP($B44&amp;"_"&amp;$D44,'App5 - CRUK Inci Rates'!C:J,8,FALSE)</f>
        <v>4181606</v>
      </c>
      <c r="H44" s="713">
        <f>VLOOKUP($B44&amp;"_"&amp;$D44,'App5 - CRUK Inci Rates'!C:J,7,FALSE)</f>
        <v>2061918.6666666667</v>
      </c>
      <c r="I44" s="713">
        <f>VLOOKUP($B44&amp;"_"&amp;$D44,'App5 - CRUK Inci Rates'!C:J,4,FALSE)</f>
        <v>2119687.3333333335</v>
      </c>
      <c r="J44" s="709">
        <f>VLOOKUP($B44&amp;"_"&amp;$D44,'App5 - CRUK Inci Rates'!C:K,9,FALSE)</f>
        <v>3094</v>
      </c>
      <c r="K44" s="706">
        <f t="shared" si="8"/>
        <v>2090803</v>
      </c>
      <c r="L44" s="706">
        <f>VLOOKUP("*"&amp;$B44&amp;"*",'S4 - Summ PRS Characteristics'!$C$5:$Q$12,11,FALSE)*$J44</f>
        <v>2051.5717180596357</v>
      </c>
      <c r="M44" s="706">
        <f t="shared" si="9"/>
        <v>1042.4282819403643</v>
      </c>
      <c r="N44" s="706">
        <f>IF($C44="other",(1-$C$7)*L44,(1-(VLOOKUP($C44,'S3 - Screening Tool Metrics'!$C$3:$G$17,5,FALSE)/100))*L44)</f>
        <v>410.31434361192703</v>
      </c>
      <c r="O44" s="706">
        <f>IF($C44="other",$C$7*L44,(VLOOKUP($C44,'S3 - Screening Tool Metrics'!$C$3:$G$17,5,FALSE)/100)*L44)</f>
        <v>1641.2573744477086</v>
      </c>
      <c r="P44" s="706">
        <f t="shared" si="10"/>
        <v>53.046456834121159</v>
      </c>
      <c r="Q44" s="707">
        <f t="shared" si="37"/>
        <v>836321.20000000007</v>
      </c>
      <c r="R44" s="706">
        <f>VLOOKUP("*"&amp;$B44&amp;"*",'S4 - Summ PRS Characteristics'!$C$5:$Q$12,12,FALSE)*$J44</f>
        <v>1042.5978336546755</v>
      </c>
      <c r="S44" s="706">
        <f t="shared" si="45"/>
        <v>2051.4021663453245</v>
      </c>
      <c r="T44" s="706">
        <f>IF($C44="other",(1-$C40)*R44,(1-(VLOOKUP($C44,'S3 - Screening Tool Metrics'!$C$3:$G$17,5,FALSE)/100))*R44)</f>
        <v>208.51956673093505</v>
      </c>
      <c r="U44" s="706">
        <f>IF($C44="other",$C40*R44,(VLOOKUP($C44,'S3 - Screening Tool Metrics'!$C$3:$G$17,5,FALSE)/100)*R44)</f>
        <v>834.07826692374044</v>
      </c>
      <c r="V44" s="708">
        <f t="shared" si="38"/>
        <v>26.957927179177133</v>
      </c>
      <c r="W44" s="707">
        <f t="shared" si="39"/>
        <v>418160.60000000003</v>
      </c>
      <c r="X44" s="706">
        <f>VLOOKUP("*"&amp;$B44&amp;"*",'S4 - Summ PRS Characteristics'!$C$5:$Q$12,13,FALSE)*$J44</f>
        <v>602.43594937112096</v>
      </c>
      <c r="Y44" s="706">
        <f t="shared" si="46"/>
        <v>2491.5640506288792</v>
      </c>
      <c r="Z44" s="706">
        <f>IF($C44="other",(1-$C40)*X44,(1-(VLOOKUP($C44,'S3 - Screening Tool Metrics'!$C$3:$G$17,5,FALSE)/100))*X44)</f>
        <v>120.48718987422417</v>
      </c>
      <c r="AA44" s="706">
        <f>IF($C44="other",$C40*X44,(VLOOKUP($C44,'S3 - Screening Tool Metrics'!$C$3:$G$17,5,FALSE)/100)*X44)</f>
        <v>481.9487594968968</v>
      </c>
      <c r="AB44" s="708">
        <f t="shared" si="40"/>
        <v>15.576882983092979</v>
      </c>
      <c r="AC44" s="706">
        <f t="shared" si="41"/>
        <v>209080.30000000002</v>
      </c>
      <c r="AD44" s="706">
        <f>VLOOKUP("*"&amp;$B44&amp;"*",'S4 - Summ PRS Characteristics'!$C$5:$Q$12,14,FALSE)*$J44</f>
        <v>341.83178872941369</v>
      </c>
      <c r="AE44" s="706">
        <f t="shared" si="48"/>
        <v>2752.1682112705862</v>
      </c>
      <c r="AF44" s="706">
        <f>IF($C44="other",(1-$C40)*AD44,(1-(VLOOKUP($C44,'S3 - Screening Tool Metrics'!$C$3:$G$17,5,FALSE)/100))*AD44)</f>
        <v>68.366357745882723</v>
      </c>
      <c r="AG44" s="706">
        <f>IF($C44="other",$C40*AD44,(VLOOKUP($C44,'S3 - Screening Tool Metrics'!$C$3:$G$17,5,FALSE)/100)*AD44)</f>
        <v>273.46543098353095</v>
      </c>
      <c r="AH44" s="708">
        <f t="shared" si="42"/>
        <v>8.8385724299783757</v>
      </c>
      <c r="AI44" s="707">
        <f t="shared" si="43"/>
        <v>41816.06</v>
      </c>
      <c r="AJ44" s="706">
        <f>VLOOKUP("*"&amp;$B44&amp;"*",'S4 - Summ PRS Characteristics'!$C$5:$Q$12,15,FALSE)*$J44</f>
        <v>87.745862177118013</v>
      </c>
      <c r="AK44" s="706">
        <f t="shared" si="47"/>
        <v>3006.2541378228821</v>
      </c>
      <c r="AL44" s="706">
        <f>IF($C44="other",(1-$C40)*AJ44,(1-(VLOOKUP($C44,'S3 - Screening Tool Metrics'!$C$3:$G$17,5,FALSE)/100))*AJ44)</f>
        <v>17.5491724354236</v>
      </c>
      <c r="AM44" s="706">
        <f>IF($C44="other",$C40*AJ44,(VLOOKUP($C44,'S3 - Screening Tool Metrics'!$C$3:$G$17,5,FALSE)/100)*AJ44)</f>
        <v>70.196689741694414</v>
      </c>
      <c r="AN44" s="709">
        <f t="shared" si="44"/>
        <v>2.2688005734225731</v>
      </c>
    </row>
    <row r="45" spans="2:40" x14ac:dyDescent="0.15">
      <c r="B45" s="700" t="s">
        <v>11</v>
      </c>
      <c r="C45" s="721" t="str">
        <f>$C41</f>
        <v>Other</v>
      </c>
      <c r="D45" s="552" t="s">
        <v>196</v>
      </c>
      <c r="E45" s="710">
        <f>VLOOKUP($B45&amp;"_"&amp;$D45,'App5 - CRUK Inci Rates'!C:H,6,FALSE)</f>
        <v>151.4</v>
      </c>
      <c r="F45" s="711">
        <f>VLOOKUP($B45&amp;"_"&amp;$D45,'App5 - CRUK Inci Rates'!C:H,3,FALSE)</f>
        <v>91</v>
      </c>
      <c r="G45" s="712">
        <f>VLOOKUP($B45&amp;"_"&amp;$D45,'App5 - CRUK Inci Rates'!C:J,8,FALSE)</f>
        <v>3602002</v>
      </c>
      <c r="H45" s="713">
        <f>VLOOKUP($B45&amp;"_"&amp;$D45,'App5 - CRUK Inci Rates'!C:J,7,FALSE)</f>
        <v>1764828</v>
      </c>
      <c r="I45" s="713">
        <f>VLOOKUP($B45&amp;"_"&amp;$D45,'App5 - CRUK Inci Rates'!C:J,4,FALSE)</f>
        <v>1837174</v>
      </c>
      <c r="J45" s="709">
        <f>VLOOKUP($B45&amp;"_"&amp;$D45,'App5 - CRUK Inci Rates'!C:K,9,FALSE)</f>
        <v>4345</v>
      </c>
      <c r="K45" s="706">
        <f t="shared" si="8"/>
        <v>1801001</v>
      </c>
      <c r="L45" s="706">
        <f>VLOOKUP("*"&amp;$B45&amp;"*",'S4 - Summ PRS Characteristics'!$C$5:$Q$12,11,FALSE)*$J45</f>
        <v>2881.0856868032051</v>
      </c>
      <c r="M45" s="706">
        <f t="shared" si="9"/>
        <v>1463.9143131967949</v>
      </c>
      <c r="N45" s="706">
        <f>IF($C45="other",(1-$C$7)*L45,(1-(VLOOKUP($C45,'S3 - Screening Tool Metrics'!$C$3:$G$17,5,FALSE)/100))*L45)</f>
        <v>576.21713736064089</v>
      </c>
      <c r="O45" s="706">
        <f>IF($C45="other",$C$7*L45,(VLOOKUP($C45,'S3 - Screening Tool Metrics'!$C$3:$G$17,5,FALSE)/100)*L45)</f>
        <v>2304.868549442564</v>
      </c>
      <c r="P45" s="706">
        <f t="shared" si="10"/>
        <v>53.046456834121145</v>
      </c>
      <c r="Q45" s="707">
        <f t="shared" si="37"/>
        <v>720400.4</v>
      </c>
      <c r="R45" s="706">
        <f>VLOOKUP("*"&amp;$B45&amp;"*",'S4 - Summ PRS Characteristics'!$C$5:$Q$12,12,FALSE)*$J45</f>
        <v>1464.1524199190578</v>
      </c>
      <c r="S45" s="706">
        <f t="shared" si="45"/>
        <v>2880.847580080942</v>
      </c>
      <c r="T45" s="706">
        <f>IF($C45="other",(1-$C40)*R45,(1-(VLOOKUP($C45,'S3 - Screening Tool Metrics'!$C$3:$G$17,5,FALSE)/100))*R45)</f>
        <v>292.83048398381152</v>
      </c>
      <c r="U45" s="706">
        <f>IF($C45="other",$C40*R45,(VLOOKUP($C45,'S3 - Screening Tool Metrics'!$C$3:$G$17,5,FALSE)/100)*R45)</f>
        <v>1171.3219359352463</v>
      </c>
      <c r="V45" s="708">
        <f t="shared" si="38"/>
        <v>26.957927179177133</v>
      </c>
      <c r="W45" s="707">
        <f t="shared" si="39"/>
        <v>360200.2</v>
      </c>
      <c r="X45" s="706">
        <f>VLOOKUP("*"&amp;$B45&amp;"*",'S4 - Summ PRS Characteristics'!$C$5:$Q$12,13,FALSE)*$J45</f>
        <v>846.01945701923739</v>
      </c>
      <c r="Y45" s="706">
        <f t="shared" si="46"/>
        <v>3498.9805429807625</v>
      </c>
      <c r="Z45" s="706">
        <f>IF($C45="other",(1-$C40)*X45,(1-(VLOOKUP($C45,'S3 - Screening Tool Metrics'!$C$3:$G$17,5,FALSE)/100))*X45)</f>
        <v>169.20389140384745</v>
      </c>
      <c r="AA45" s="706">
        <f>IF($C45="other",$C40*X45,(VLOOKUP($C45,'S3 - Screening Tool Metrics'!$C$3:$G$17,5,FALSE)/100)*X45)</f>
        <v>676.81556561538991</v>
      </c>
      <c r="AB45" s="708">
        <f t="shared" si="40"/>
        <v>15.576882983092979</v>
      </c>
      <c r="AC45" s="706">
        <f t="shared" si="41"/>
        <v>180100.1</v>
      </c>
      <c r="AD45" s="706">
        <f>VLOOKUP("*"&amp;$B45&amp;"*",'S4 - Summ PRS Characteristics'!$C$5:$Q$12,14,FALSE)*$J45</f>
        <v>480.04496510320052</v>
      </c>
      <c r="AE45" s="706">
        <f t="shared" si="48"/>
        <v>3864.9550348967996</v>
      </c>
      <c r="AF45" s="706">
        <f>IF($C45="other",(1-$C40)*AD45,(1-(VLOOKUP($C45,'S3 - Screening Tool Metrics'!$C$3:$G$17,5,FALSE)/100))*AD45)</f>
        <v>96.008993020640077</v>
      </c>
      <c r="AG45" s="706">
        <f>IF($C45="other",$C40*AD45,(VLOOKUP($C45,'S3 - Screening Tool Metrics'!$C$3:$G$17,5,FALSE)/100)*AD45)</f>
        <v>384.03597208256042</v>
      </c>
      <c r="AH45" s="708">
        <f t="shared" si="42"/>
        <v>8.8385724299783757</v>
      </c>
      <c r="AI45" s="707">
        <f t="shared" si="43"/>
        <v>36020.020000000004</v>
      </c>
      <c r="AJ45" s="706">
        <f>VLOOKUP("*"&amp;$B45&amp;"*",'S4 - Summ PRS Characteristics'!$C$5:$Q$12,15,FALSE)*$J45</f>
        <v>123.2242311440135</v>
      </c>
      <c r="AK45" s="706">
        <f t="shared" si="47"/>
        <v>4221.7757688559868</v>
      </c>
      <c r="AL45" s="706">
        <f>IF($C45="other",(1-$C40)*AJ45,(1-(VLOOKUP($C45,'S3 - Screening Tool Metrics'!$C$3:$G$17,5,FALSE)/100))*AJ45)</f>
        <v>24.644846228802695</v>
      </c>
      <c r="AM45" s="706">
        <f>IF($C45="other",$C40*AJ45,(VLOOKUP($C45,'S3 - Screening Tool Metrics'!$C$3:$G$17,5,FALSE)/100)*AJ45)</f>
        <v>98.579384915210809</v>
      </c>
      <c r="AN45" s="709">
        <f t="shared" si="44"/>
        <v>2.2688005734225731</v>
      </c>
    </row>
    <row r="46" spans="2:40" x14ac:dyDescent="0.15">
      <c r="B46" s="700" t="s">
        <v>11</v>
      </c>
      <c r="C46" s="721" t="str">
        <f>$C41</f>
        <v>Other</v>
      </c>
      <c r="D46" s="552" t="s">
        <v>197</v>
      </c>
      <c r="E46" s="710">
        <f>VLOOKUP($B46&amp;"_"&amp;$D46,'App5 - CRUK Inci Rates'!C:H,6,FALSE)</f>
        <v>198.3</v>
      </c>
      <c r="F46" s="711">
        <f>VLOOKUP($B46&amp;"_"&amp;$D46,'App5 - CRUK Inci Rates'!C:H,3,FALSE)</f>
        <v>119.1</v>
      </c>
      <c r="G46" s="712">
        <f>VLOOKUP($B46&amp;"_"&amp;$D46,'App5 - CRUK Inci Rates'!C:J,8,FALSE)</f>
        <v>3502183.333333333</v>
      </c>
      <c r="H46" s="713">
        <f>VLOOKUP($B46&amp;"_"&amp;$D46,'App5 - CRUK Inci Rates'!C:J,7,FALSE)</f>
        <v>1696993.3333333333</v>
      </c>
      <c r="I46" s="713">
        <f>VLOOKUP($B46&amp;"_"&amp;$D46,'App5 - CRUK Inci Rates'!C:J,4,FALSE)</f>
        <v>1805190</v>
      </c>
      <c r="J46" s="709">
        <f>VLOOKUP($B46&amp;"_"&amp;$D46,'App5 - CRUK Inci Rates'!C:K,9,FALSE)</f>
        <v>5516</v>
      </c>
      <c r="K46" s="706">
        <f t="shared" si="8"/>
        <v>1751091.6666666665</v>
      </c>
      <c r="L46" s="706">
        <f>VLOOKUP("*"&amp;$B46&amp;"*",'S4 - Summ PRS Characteristics'!$C$5:$Q$12,11,FALSE)*$J46</f>
        <v>3657.5531987126533</v>
      </c>
      <c r="M46" s="706">
        <f t="shared" si="9"/>
        <v>1858.4468012873467</v>
      </c>
      <c r="N46" s="706">
        <f>IF($C46="other",(1-$C$7)*L46,(1-(VLOOKUP($C46,'S3 - Screening Tool Metrics'!$C$3:$G$17,5,FALSE)/100))*L46)</f>
        <v>731.51063974253054</v>
      </c>
      <c r="O46" s="706">
        <f>IF($C46="other",$C$7*L46,(VLOOKUP($C46,'S3 - Screening Tool Metrics'!$C$3:$G$17,5,FALSE)/100)*L46)</f>
        <v>2926.0425589701226</v>
      </c>
      <c r="P46" s="706">
        <f t="shared" si="10"/>
        <v>53.046456834121145</v>
      </c>
      <c r="Q46" s="707">
        <f t="shared" si="37"/>
        <v>700436.66666666663</v>
      </c>
      <c r="R46" s="706">
        <f>VLOOKUP("*"&amp;$B46&amp;"*",'S4 - Summ PRS Characteristics'!$C$5:$Q$12,12,FALSE)*$J46</f>
        <v>1858.749079004263</v>
      </c>
      <c r="S46" s="706">
        <f t="shared" si="45"/>
        <v>3657.250920995737</v>
      </c>
      <c r="T46" s="706">
        <f>IF($C46="other",(1-$C40)*R46,(1-(VLOOKUP($C46,'S3 - Screening Tool Metrics'!$C$3:$G$17,5,FALSE)/100))*R46)</f>
        <v>371.7498158008525</v>
      </c>
      <c r="U46" s="706">
        <f>IF($C46="other",$C40*R46,(VLOOKUP($C46,'S3 - Screening Tool Metrics'!$C$3:$G$17,5,FALSE)/100)*R46)</f>
        <v>1486.9992632034105</v>
      </c>
      <c r="V46" s="708">
        <f t="shared" si="38"/>
        <v>26.957927179177126</v>
      </c>
      <c r="W46" s="707">
        <f t="shared" si="39"/>
        <v>350218.33333333331</v>
      </c>
      <c r="X46" s="706">
        <f>VLOOKUP("*"&amp;$B46&amp;"*",'S4 - Summ PRS Characteristics'!$C$5:$Q$12,13,FALSE)*$J46</f>
        <v>1074.0260816842608</v>
      </c>
      <c r="Y46" s="706">
        <f t="shared" si="46"/>
        <v>4441.973918315739</v>
      </c>
      <c r="Z46" s="706">
        <f>IF($C46="other",(1-$C40)*X46,(1-(VLOOKUP($C46,'S3 - Screening Tool Metrics'!$C$3:$G$17,5,FALSE)/100))*X46)</f>
        <v>214.80521633685211</v>
      </c>
      <c r="AA46" s="706">
        <f>IF($C46="other",$C40*X46,(VLOOKUP($C46,'S3 - Screening Tool Metrics'!$C$3:$G$17,5,FALSE)/100)*X46)</f>
        <v>859.22086534740868</v>
      </c>
      <c r="AB46" s="708">
        <f t="shared" si="40"/>
        <v>15.576882983092979</v>
      </c>
      <c r="AC46" s="706">
        <f t="shared" si="41"/>
        <v>175109.16666666666</v>
      </c>
      <c r="AD46" s="706">
        <f>VLOOKUP("*"&amp;$B46&amp;"*",'S4 - Summ PRS Characteristics'!$C$5:$Q$12,14,FALSE)*$J46</f>
        <v>609.41956904700896</v>
      </c>
      <c r="AE46" s="706">
        <f t="shared" si="48"/>
        <v>4906.5804309529913</v>
      </c>
      <c r="AF46" s="706">
        <f>IF($C46="other",(1-$C40)*AD46,(1-(VLOOKUP($C46,'S3 - Screening Tool Metrics'!$C$3:$G$17,5,FALSE)/100))*AD46)</f>
        <v>121.88391380940176</v>
      </c>
      <c r="AG46" s="706">
        <f>IF($C46="other",$C40*AD46,(VLOOKUP($C46,'S3 - Screening Tool Metrics'!$C$3:$G$17,5,FALSE)/100)*AD46)</f>
        <v>487.53565523760722</v>
      </c>
      <c r="AH46" s="708">
        <f t="shared" si="42"/>
        <v>8.8385724299783774</v>
      </c>
      <c r="AI46" s="707">
        <f t="shared" si="43"/>
        <v>35021.833333333328</v>
      </c>
      <c r="AJ46" s="706">
        <f>VLOOKUP("*"&amp;$B46&amp;"*",'S4 - Summ PRS Characteristics'!$C$5:$Q$12,15,FALSE)*$J46</f>
        <v>156.43379953748641</v>
      </c>
      <c r="AK46" s="706">
        <f t="shared" si="47"/>
        <v>5359.5662004625137</v>
      </c>
      <c r="AL46" s="706">
        <f>IF($C46="other",(1-$C40)*AJ46,(1-(VLOOKUP($C46,'S3 - Screening Tool Metrics'!$C$3:$G$17,5,FALSE)/100))*AJ46)</f>
        <v>31.286759907497274</v>
      </c>
      <c r="AM46" s="706">
        <f>IF($C46="other",$C40*AJ46,(VLOOKUP($C46,'S3 - Screening Tool Metrics'!$C$3:$G$17,5,FALSE)/100)*AJ46)</f>
        <v>125.14703962998914</v>
      </c>
      <c r="AN46" s="709">
        <f t="shared" si="44"/>
        <v>2.2688005734225731</v>
      </c>
    </row>
    <row r="47" spans="2:40" x14ac:dyDescent="0.15">
      <c r="B47" s="700" t="s">
        <v>11</v>
      </c>
      <c r="C47" s="721" t="str">
        <f>$C41</f>
        <v>Other</v>
      </c>
      <c r="D47" s="552" t="s">
        <v>198</v>
      </c>
      <c r="E47" s="710">
        <f>VLOOKUP($B47&amp;"_"&amp;$D47,'App5 - CRUK Inci Rates'!C:H,6,FALSE)</f>
        <v>273.5</v>
      </c>
      <c r="F47" s="711">
        <f>VLOOKUP($B47&amp;"_"&amp;$D47,'App5 - CRUK Inci Rates'!C:H,3,FALSE)</f>
        <v>171.2</v>
      </c>
      <c r="G47" s="712">
        <f>VLOOKUP($B47&amp;"_"&amp;$D47,'App5 - CRUK Inci Rates'!C:J,8,FALSE)</f>
        <v>3071574.666666667</v>
      </c>
      <c r="H47" s="713">
        <f>VLOOKUP($B47&amp;"_"&amp;$D47,'App5 - CRUK Inci Rates'!C:J,7,FALSE)</f>
        <v>1467965</v>
      </c>
      <c r="I47" s="713">
        <f>VLOOKUP($B47&amp;"_"&amp;$D47,'App5 - CRUK Inci Rates'!C:J,4,FALSE)</f>
        <v>1603609.6666666667</v>
      </c>
      <c r="J47" s="709">
        <f>VLOOKUP($B47&amp;"_"&amp;$D47,'App5 - CRUK Inci Rates'!C:K,9,FALSE)</f>
        <v>6760</v>
      </c>
      <c r="K47" s="706">
        <f t="shared" si="8"/>
        <v>1535787.3333333335</v>
      </c>
      <c r="L47" s="706">
        <f>VLOOKUP("*"&amp;$B47&amp;"*",'S4 - Summ PRS Characteristics'!$C$5:$Q$12,11,FALSE)*$J47</f>
        <v>4482.4256024832375</v>
      </c>
      <c r="M47" s="706">
        <f t="shared" si="9"/>
        <v>2277.5743975167625</v>
      </c>
      <c r="N47" s="706">
        <f>IF($C47="other",(1-$C$7)*L47,(1-(VLOOKUP($C47,'S3 - Screening Tool Metrics'!$C$3:$G$17,5,FALSE)/100))*L47)</f>
        <v>896.48512049664726</v>
      </c>
      <c r="O47" s="706">
        <f>IF($C47="other",$C$7*L47,(VLOOKUP($C47,'S3 - Screening Tool Metrics'!$C$3:$G$17,5,FALSE)/100)*L47)</f>
        <v>3585.9404819865904</v>
      </c>
      <c r="P47" s="706">
        <f t="shared" si="10"/>
        <v>53.046456834121159</v>
      </c>
      <c r="Q47" s="707">
        <f t="shared" si="37"/>
        <v>614314.93333333347</v>
      </c>
      <c r="R47" s="706">
        <f>VLOOKUP("*"&amp;$B47&amp;"*",'S4 - Summ PRS Characteristics'!$C$5:$Q$12,12,FALSE)*$J47</f>
        <v>2277.9448466404674</v>
      </c>
      <c r="S47" s="706">
        <f t="shared" si="45"/>
        <v>4482.0551533595326</v>
      </c>
      <c r="T47" s="706">
        <f>IF($C47="other",(1-$C40)*R47,(1-(VLOOKUP($C47,'S3 - Screening Tool Metrics'!$C$3:$G$17,5,FALSE)/100))*R47)</f>
        <v>455.58896932809336</v>
      </c>
      <c r="U47" s="706">
        <f>IF($C47="other",$C40*R47,(VLOOKUP($C47,'S3 - Screening Tool Metrics'!$C$3:$G$17,5,FALSE)/100)*R47)</f>
        <v>1822.3558773123741</v>
      </c>
      <c r="V47" s="708">
        <f t="shared" si="38"/>
        <v>26.957927179177133</v>
      </c>
      <c r="W47" s="707">
        <f t="shared" si="39"/>
        <v>307157.46666666673</v>
      </c>
      <c r="X47" s="706">
        <f>VLOOKUP("*"&amp;$B47&amp;"*",'S4 - Summ PRS Characteristics'!$C$5:$Q$12,13,FALSE)*$J47</f>
        <v>1316.2466120713568</v>
      </c>
      <c r="Y47" s="706">
        <f t="shared" si="46"/>
        <v>5443.753387928643</v>
      </c>
      <c r="Z47" s="706">
        <f>IF($C47="other",(1-$C40)*X47,(1-(VLOOKUP($C47,'S3 - Screening Tool Metrics'!$C$3:$G$17,5,FALSE)/100))*X47)</f>
        <v>263.24932241427132</v>
      </c>
      <c r="AA47" s="706">
        <f>IF($C47="other",$C40*X47,(VLOOKUP($C47,'S3 - Screening Tool Metrics'!$C$3:$G$17,5,FALSE)/100)*X47)</f>
        <v>1052.9972896570855</v>
      </c>
      <c r="AB47" s="708">
        <f t="shared" si="40"/>
        <v>15.576882983092979</v>
      </c>
      <c r="AC47" s="706">
        <f t="shared" si="41"/>
        <v>153578.73333333337</v>
      </c>
      <c r="AD47" s="706">
        <f>VLOOKUP("*"&amp;$B47&amp;"*",'S4 - Summ PRS Characteristics'!$C$5:$Q$12,14,FALSE)*$J47</f>
        <v>746.85937033317271</v>
      </c>
      <c r="AE47" s="706">
        <f t="shared" si="48"/>
        <v>6013.1406296668274</v>
      </c>
      <c r="AF47" s="706">
        <f>IF($C47="other",(1-$C40)*AD47,(1-(VLOOKUP($C47,'S3 - Screening Tool Metrics'!$C$3:$G$17,5,FALSE)/100))*AD47)</f>
        <v>149.37187406663452</v>
      </c>
      <c r="AG47" s="706">
        <f>IF($C47="other",$C40*AD47,(VLOOKUP($C47,'S3 - Screening Tool Metrics'!$C$3:$G$17,5,FALSE)/100)*AD47)</f>
        <v>597.48749626653819</v>
      </c>
      <c r="AH47" s="708">
        <f t="shared" si="42"/>
        <v>8.8385724299783757</v>
      </c>
      <c r="AI47" s="707">
        <f t="shared" si="43"/>
        <v>30715.74666666667</v>
      </c>
      <c r="AJ47" s="706">
        <f>VLOOKUP("*"&amp;$B47&amp;"*",'S4 - Summ PRS Characteristics'!$C$5:$Q$12,15,FALSE)*$J47</f>
        <v>191.71364845420743</v>
      </c>
      <c r="AK47" s="706">
        <f t="shared" si="47"/>
        <v>6568.286351545793</v>
      </c>
      <c r="AL47" s="706">
        <f>IF($C47="other",(1-$C40)*AJ47,(1-(VLOOKUP($C47,'S3 - Screening Tool Metrics'!$C$3:$G$17,5,FALSE)/100))*AJ47)</f>
        <v>38.34272969084148</v>
      </c>
      <c r="AM47" s="706">
        <f>IF($C47="other",$C40*AJ47,(VLOOKUP($C47,'S3 - Screening Tool Metrics'!$C$3:$G$17,5,FALSE)/100)*AJ47)</f>
        <v>153.37091876336595</v>
      </c>
      <c r="AN47" s="709">
        <f t="shared" si="44"/>
        <v>2.2688005734225731</v>
      </c>
    </row>
    <row r="48" spans="2:40" x14ac:dyDescent="0.15">
      <c r="B48" s="700" t="s">
        <v>11</v>
      </c>
      <c r="C48" s="721" t="str">
        <f>$C41</f>
        <v>Other</v>
      </c>
      <c r="D48" s="552" t="s">
        <v>199</v>
      </c>
      <c r="E48" s="710">
        <f>VLOOKUP($B48&amp;"_"&amp;$D48,'App5 - CRUK Inci Rates'!C:H,6,FALSE)</f>
        <v>351.7</v>
      </c>
      <c r="F48" s="711">
        <f>VLOOKUP($B48&amp;"_"&amp;$D48,'App5 - CRUK Inci Rates'!C:H,3,FALSE)</f>
        <v>234.8</v>
      </c>
      <c r="G48" s="712">
        <f>VLOOKUP($B48&amp;"_"&amp;$D48,'App5 - CRUK Inci Rates'!C:J,8,FALSE)</f>
        <v>2189010.6666666665</v>
      </c>
      <c r="H48" s="713">
        <f>VLOOKUP($B48&amp;"_"&amp;$D48,'App5 - CRUK Inci Rates'!C:J,7,FALSE)</f>
        <v>1007365.3333333334</v>
      </c>
      <c r="I48" s="713">
        <f>VLOOKUP($B48&amp;"_"&amp;$D48,'App5 - CRUK Inci Rates'!C:J,4,FALSE)</f>
        <v>1181645.3333333333</v>
      </c>
      <c r="J48" s="709">
        <f>VLOOKUP($B48&amp;"_"&amp;$D48,'App5 - CRUK Inci Rates'!C:K,9,FALSE)</f>
        <v>6318</v>
      </c>
      <c r="K48" s="706">
        <f t="shared" si="8"/>
        <v>1094505.3333333333</v>
      </c>
      <c r="L48" s="706">
        <f>VLOOKUP("*"&amp;$B48&amp;"*",'S4 - Summ PRS Characteristics'!$C$5:$Q$12,11,FALSE)*$J48</f>
        <v>4189.3439284747183</v>
      </c>
      <c r="M48" s="706">
        <f t="shared" si="9"/>
        <v>2128.6560715252817</v>
      </c>
      <c r="N48" s="706">
        <f>IF($C48="other",(1-$C$7)*L48,(1-(VLOOKUP($C48,'S3 - Screening Tool Metrics'!$C$3:$G$17,5,FALSE)/100))*L48)</f>
        <v>837.86878569494343</v>
      </c>
      <c r="O48" s="706">
        <f>IF($C48="other",$C$7*L48,(VLOOKUP($C48,'S3 - Screening Tool Metrics'!$C$3:$G$17,5,FALSE)/100)*L48)</f>
        <v>3351.4751427797746</v>
      </c>
      <c r="P48" s="706">
        <f t="shared" si="10"/>
        <v>53.046456834121159</v>
      </c>
      <c r="Q48" s="707">
        <f t="shared" si="37"/>
        <v>437802.1333333333</v>
      </c>
      <c r="R48" s="706">
        <f>VLOOKUP("*"&amp;$B48&amp;"*",'S4 - Summ PRS Characteristics'!$C$5:$Q$12,12,FALSE)*$J48</f>
        <v>2129.0022989755139</v>
      </c>
      <c r="S48" s="706">
        <f t="shared" si="45"/>
        <v>4188.9977010244857</v>
      </c>
      <c r="T48" s="706">
        <f>IF($C48="other",(1-$C40)*R48,(1-(VLOOKUP($C48,'S3 - Screening Tool Metrics'!$C$3:$G$17,5,FALSE)/100))*R48)</f>
        <v>425.80045979510271</v>
      </c>
      <c r="U48" s="706">
        <f>IF($C48="other",$C40*R48,(VLOOKUP($C48,'S3 - Screening Tool Metrics'!$C$3:$G$17,5,FALSE)/100)*R48)</f>
        <v>1703.2018391804113</v>
      </c>
      <c r="V48" s="708">
        <f t="shared" si="38"/>
        <v>26.957927179177133</v>
      </c>
      <c r="W48" s="707">
        <f t="shared" si="39"/>
        <v>218901.06666666665</v>
      </c>
      <c r="X48" s="706">
        <f>VLOOKUP("*"&amp;$B48&amp;"*",'S4 - Summ PRS Characteristics'!$C$5:$Q$12,13,FALSE)*$J48</f>
        <v>1230.1843335897679</v>
      </c>
      <c r="Y48" s="706">
        <f t="shared" si="46"/>
        <v>5087.8156664102316</v>
      </c>
      <c r="Z48" s="706">
        <f>IF($C48="other",(1-$C40)*X48,(1-(VLOOKUP($C48,'S3 - Screening Tool Metrics'!$C$3:$G$17,5,FALSE)/100))*X48)</f>
        <v>246.03686671795353</v>
      </c>
      <c r="AA48" s="706">
        <f>IF($C48="other",$C40*X48,(VLOOKUP($C48,'S3 - Screening Tool Metrics'!$C$3:$G$17,5,FALSE)/100)*X48)</f>
        <v>984.14746687181434</v>
      </c>
      <c r="AB48" s="708">
        <f t="shared" si="40"/>
        <v>15.576882983092977</v>
      </c>
      <c r="AC48" s="706">
        <f t="shared" si="41"/>
        <v>109450.53333333333</v>
      </c>
      <c r="AD48" s="706">
        <f>VLOOKUP("*"&amp;$B48&amp;"*",'S4 - Summ PRS Characteristics'!$C$5:$Q$12,14,FALSE)*$J48</f>
        <v>698.02625765754215</v>
      </c>
      <c r="AE48" s="706">
        <f t="shared" si="48"/>
        <v>5619.9737423424576</v>
      </c>
      <c r="AF48" s="706">
        <f>IF($C48="other",(1-$C40)*AD48,(1-(VLOOKUP($C48,'S3 - Screening Tool Metrics'!$C$3:$G$17,5,FALSE)/100))*AD48)</f>
        <v>139.6052515315084</v>
      </c>
      <c r="AG48" s="706">
        <f>IF($C48="other",$C40*AD48,(VLOOKUP($C48,'S3 - Screening Tool Metrics'!$C$3:$G$17,5,FALSE)/100)*AD48)</f>
        <v>558.42100612603372</v>
      </c>
      <c r="AH48" s="708">
        <f t="shared" si="42"/>
        <v>8.8385724299783757</v>
      </c>
      <c r="AI48" s="707">
        <f t="shared" si="43"/>
        <v>21890.106666666667</v>
      </c>
      <c r="AJ48" s="706">
        <f>VLOOKUP("*"&amp;$B48&amp;"*",'S4 - Summ PRS Characteristics'!$C$5:$Q$12,15,FALSE)*$J48</f>
        <v>179.17852528604772</v>
      </c>
      <c r="AK48" s="706">
        <f t="shared" si="47"/>
        <v>6138.8214747139518</v>
      </c>
      <c r="AL48" s="706">
        <f>IF($C48="other",(1-$C40)*AJ48,(1-(VLOOKUP($C48,'S3 - Screening Tool Metrics'!$C$3:$G$17,5,FALSE)/100))*AJ48)</f>
        <v>35.835705057209537</v>
      </c>
      <c r="AM48" s="706">
        <f>IF($C48="other",$C40*AJ48,(VLOOKUP($C48,'S3 - Screening Tool Metrics'!$C$3:$G$17,5,FALSE)/100)*AJ48)</f>
        <v>143.34282022883818</v>
      </c>
      <c r="AN48" s="709">
        <f t="shared" si="44"/>
        <v>2.2688005734225731</v>
      </c>
    </row>
    <row r="49" spans="2:40" x14ac:dyDescent="0.15">
      <c r="B49" s="700" t="s">
        <v>11</v>
      </c>
      <c r="C49" s="721" t="str">
        <f>$C41</f>
        <v>Other</v>
      </c>
      <c r="D49" s="552" t="s">
        <v>200</v>
      </c>
      <c r="E49" s="710">
        <f>VLOOKUP($B49&amp;"_"&amp;$D49,'App5 - CRUK Inci Rates'!C:H,6,FALSE)</f>
        <v>80.808733585157356</v>
      </c>
      <c r="F49" s="711">
        <f>VLOOKUP($B49&amp;"_"&amp;$D49,'App5 - CRUK Inci Rates'!C:H,3,FALSE)</f>
        <v>54.095614158070582</v>
      </c>
      <c r="G49" s="712">
        <f>VLOOKUP($B49&amp;"_"&amp;$D49,'App5 - CRUK Inci Rates'!C:J,8,FALSE)</f>
        <v>24586669.333333336</v>
      </c>
      <c r="H49" s="713">
        <f>VLOOKUP($B49&amp;"_"&amp;$D49,'App5 - CRUK Inci Rates'!C:J,7,FALSE)</f>
        <v>12090277.333333334</v>
      </c>
      <c r="I49" s="713">
        <f>VLOOKUP($B49&amp;"_"&amp;$D49,'App5 - CRUK Inci Rates'!C:J,4,FALSE)</f>
        <v>12496392</v>
      </c>
      <c r="J49" s="709">
        <f>VLOOKUP($B49&amp;"_"&amp;$D49,'App5 - CRUK Inci Rates'!C:K,9,FALSE)</f>
        <v>16530</v>
      </c>
      <c r="K49" s="706">
        <f t="shared" si="8"/>
        <v>12293334.666666668</v>
      </c>
      <c r="L49" s="706">
        <f>VLOOKUP("*"&amp;$B49&amp;"*",'S4 - Summ PRS Characteristics'!$C$5:$Q$12,11,FALSE)*$J49</f>
        <v>10960.724143350282</v>
      </c>
      <c r="M49" s="706">
        <f t="shared" si="9"/>
        <v>5569.2758566497178</v>
      </c>
      <c r="N49" s="706">
        <f>IF($C49="other",(1-$C$7)*L49,(1-(VLOOKUP($C49,'S3 - Screening Tool Metrics'!$C$3:$G$17,5,FALSE)/100))*L49)</f>
        <v>2192.1448286700561</v>
      </c>
      <c r="O49" s="706">
        <f>IF($C49="other",$C$7*L49,(VLOOKUP($C49,'S3 - Screening Tool Metrics'!$C$3:$G$17,5,FALSE)/100)*L49)</f>
        <v>8768.5793146802262</v>
      </c>
      <c r="P49" s="706">
        <f t="shared" si="10"/>
        <v>53.046456834121145</v>
      </c>
      <c r="Q49" s="707">
        <f t="shared" si="37"/>
        <v>4917333.8666666672</v>
      </c>
      <c r="R49" s="706">
        <f>VLOOKUP("*"&amp;$B49&amp;"*",'S4 - Summ PRS Characteristics'!$C$5:$Q$12,12,FALSE)*$J49</f>
        <v>5570.1817033974739</v>
      </c>
      <c r="S49" s="706">
        <f t="shared" si="45"/>
        <v>10959.818296602527</v>
      </c>
      <c r="T49" s="706">
        <f>IF($C49="other",(1-$C40)*R49,(1-(VLOOKUP($C49,'S3 - Screening Tool Metrics'!$C$3:$G$17,5,FALSE)/100))*R49)</f>
        <v>1114.0363406794945</v>
      </c>
      <c r="U49" s="706">
        <f>IF($C49="other",$C40*R49,(VLOOKUP($C49,'S3 - Screening Tool Metrics'!$C$3:$G$17,5,FALSE)/100)*R49)</f>
        <v>4456.145362717979</v>
      </c>
      <c r="V49" s="708">
        <f t="shared" si="38"/>
        <v>26.957927179177126</v>
      </c>
      <c r="W49" s="707">
        <f t="shared" si="39"/>
        <v>2458666.9333333336</v>
      </c>
      <c r="X49" s="706">
        <f>VLOOKUP("*"&amp;$B49&amp;"*",'S4 - Summ PRS Characteristics'!$C$5:$Q$12,13,FALSE)*$J49</f>
        <v>3218.5734463815866</v>
      </c>
      <c r="Y49" s="706">
        <f t="shared" si="46"/>
        <v>13311.426553618414</v>
      </c>
      <c r="Z49" s="706">
        <f>IF($C49="other",(1-$C40)*X49,(1-(VLOOKUP($C49,'S3 - Screening Tool Metrics'!$C$3:$G$17,5,FALSE)/100))*X49)</f>
        <v>643.71468927631713</v>
      </c>
      <c r="AA49" s="706">
        <f>IF($C49="other",$C40*X49,(VLOOKUP($C49,'S3 - Screening Tool Metrics'!$C$3:$G$17,5,FALSE)/100)*X49)</f>
        <v>2574.8587571052694</v>
      </c>
      <c r="AB49" s="708">
        <f t="shared" si="40"/>
        <v>15.576882983092979</v>
      </c>
      <c r="AC49" s="706">
        <f t="shared" si="41"/>
        <v>1229333.4666666668</v>
      </c>
      <c r="AD49" s="706">
        <f>VLOOKUP("*"&amp;$B49&amp;"*",'S4 - Summ PRS Characteristics'!$C$5:$Q$12,14,FALSE)*$J49</f>
        <v>1826.2700283442819</v>
      </c>
      <c r="AE49" s="706">
        <f t="shared" si="48"/>
        <v>14703.729971655717</v>
      </c>
      <c r="AF49" s="706">
        <f>IF($C49="other",(1-$C40)*AD49,(1-(VLOOKUP($C49,'S3 - Screening Tool Metrics'!$C$3:$G$17,5,FALSE)/100))*AD49)</f>
        <v>365.25400566885628</v>
      </c>
      <c r="AG49" s="706">
        <f>IF($C49="other",$C40*AD49,(VLOOKUP($C49,'S3 - Screening Tool Metrics'!$C$3:$G$17,5,FALSE)/100)*AD49)</f>
        <v>1461.0160226754256</v>
      </c>
      <c r="AH49" s="708">
        <f t="shared" si="42"/>
        <v>8.8385724299783774</v>
      </c>
      <c r="AI49" s="707">
        <f t="shared" si="43"/>
        <v>245866.69333333336</v>
      </c>
      <c r="AJ49" s="706">
        <f>VLOOKUP("*"&amp;$B49&amp;"*",'S4 - Summ PRS Characteristics'!$C$5:$Q$12,15,FALSE)*$J49</f>
        <v>468.79091848343916</v>
      </c>
      <c r="AK49" s="706">
        <f t="shared" si="47"/>
        <v>16061.209081516561</v>
      </c>
      <c r="AL49" s="706">
        <f>IF($C49="other",(1-$C40)*AJ49,(1-(VLOOKUP($C49,'S3 - Screening Tool Metrics'!$C$3:$G$17,5,FALSE)/100))*AJ49)</f>
        <v>93.758183696687809</v>
      </c>
      <c r="AM49" s="706">
        <f>IF($C49="other",$C40*AJ49,(VLOOKUP($C49,'S3 - Screening Tool Metrics'!$C$3:$G$17,5,FALSE)/100)*AJ49)</f>
        <v>375.03273478675135</v>
      </c>
      <c r="AN49" s="709">
        <f t="shared" si="44"/>
        <v>2.2688005734225731</v>
      </c>
    </row>
    <row r="50" spans="2:40" x14ac:dyDescent="0.15">
      <c r="B50" s="700" t="s">
        <v>11</v>
      </c>
      <c r="C50" s="721" t="str">
        <f>$C41</f>
        <v>Other</v>
      </c>
      <c r="D50" s="552" t="s">
        <v>201</v>
      </c>
      <c r="E50" s="710">
        <f>VLOOKUP($B50&amp;"_"&amp;$D50,'App5 - CRUK Inci Rates'!C:H,6,FALSE)</f>
        <v>19.704826996143439</v>
      </c>
      <c r="F50" s="711">
        <f>VLOOKUP($B50&amp;"_"&amp;$D50,'App5 - CRUK Inci Rates'!C:H,3,FALSE)</f>
        <v>17.735760510936363</v>
      </c>
      <c r="G50" s="712">
        <f>VLOOKUP($B50&amp;"_"&amp;$D50,'App5 - CRUK Inci Rates'!C:J,8,FALSE)</f>
        <v>8642767.333333334</v>
      </c>
      <c r="H50" s="713">
        <f>VLOOKUP($B50&amp;"_"&amp;$D50,'App5 - CRUK Inci Rates'!C:J,7,FALSE)</f>
        <v>4273064.666666667</v>
      </c>
      <c r="I50" s="713">
        <f>VLOOKUP($B50&amp;"_"&amp;$D50,'App5 - CRUK Inci Rates'!C:J,4,FALSE)</f>
        <v>4369702.666666667</v>
      </c>
      <c r="J50" s="709">
        <f>VLOOKUP($B50&amp;"_"&amp;$D50,'App5 - CRUK Inci Rates'!C:K,9,FALSE)</f>
        <v>1617</v>
      </c>
      <c r="K50" s="706">
        <f t="shared" si="8"/>
        <v>4321383.666666667</v>
      </c>
      <c r="L50" s="706">
        <f>VLOOKUP("*"&amp;$B50&amp;"*",'S4 - Summ PRS Characteristics'!$C$5:$Q$12,11,FALSE)*$J50</f>
        <v>1072.2015087596737</v>
      </c>
      <c r="M50" s="706">
        <f t="shared" si="9"/>
        <v>544.79849124032626</v>
      </c>
      <c r="N50" s="706">
        <f>IF($C50="other",(1-$C$7)*L50,(1-(VLOOKUP($C50,'S3 - Screening Tool Metrics'!$C$3:$G$17,5,FALSE)/100))*L50)</f>
        <v>214.4403017519347</v>
      </c>
      <c r="O50" s="706">
        <f>IF($C50="other",$C$7*L50,(VLOOKUP($C50,'S3 - Screening Tool Metrics'!$C$3:$G$17,5,FALSE)/100)*L50)</f>
        <v>857.76120700773902</v>
      </c>
      <c r="P50" s="706">
        <f t="shared" si="10"/>
        <v>53.046456834121145</v>
      </c>
      <c r="Q50" s="707">
        <f t="shared" si="37"/>
        <v>1728553.4666666668</v>
      </c>
      <c r="R50" s="706">
        <f>VLOOKUP("*"&amp;$B50&amp;"*",'S4 - Summ PRS Characteristics'!$C$5:$Q$12,12,FALSE)*$J50</f>
        <v>544.88710310911767</v>
      </c>
      <c r="S50" s="706">
        <f t="shared" si="45"/>
        <v>1072.1128968908824</v>
      </c>
      <c r="T50" s="706">
        <f>IF($C50="other",(1-$C40)*R50,(1-(VLOOKUP($C50,'S3 - Screening Tool Metrics'!$C$3:$G$17,5,FALSE)/100))*R50)</f>
        <v>108.97742062182351</v>
      </c>
      <c r="U50" s="706">
        <f>IF($C50="other",$C40*R50,(VLOOKUP($C50,'S3 - Screening Tool Metrics'!$C$3:$G$17,5,FALSE)/100)*R50)</f>
        <v>435.90968248729416</v>
      </c>
      <c r="V50" s="708">
        <f t="shared" si="38"/>
        <v>26.957927179177126</v>
      </c>
      <c r="W50" s="707">
        <f t="shared" si="39"/>
        <v>864276.7333333334</v>
      </c>
      <c r="X50" s="706">
        <f>VLOOKUP("*"&amp;$B50&amp;"*",'S4 - Summ PRS Characteristics'!$C$5:$Q$12,13,FALSE)*$J50</f>
        <v>314.84774729576685</v>
      </c>
      <c r="Y50" s="706">
        <f t="shared" si="46"/>
        <v>1302.1522527042332</v>
      </c>
      <c r="Z50" s="706">
        <f>IF($C50="other",(1-$C40)*X50,(1-(VLOOKUP($C50,'S3 - Screening Tool Metrics'!$C$3:$G$17,5,FALSE)/100))*X50)</f>
        <v>62.969549459153356</v>
      </c>
      <c r="AA50" s="706">
        <f>IF($C50="other",$C40*X50,(VLOOKUP($C50,'S3 - Screening Tool Metrics'!$C$3:$G$17,5,FALSE)/100)*X50)</f>
        <v>251.87819783661348</v>
      </c>
      <c r="AB50" s="708">
        <f t="shared" si="40"/>
        <v>15.576882983092979</v>
      </c>
      <c r="AC50" s="706">
        <f t="shared" si="41"/>
        <v>432138.3666666667</v>
      </c>
      <c r="AD50" s="706">
        <f>VLOOKUP("*"&amp;$B50&amp;"*",'S4 - Summ PRS Characteristics'!$C$5:$Q$12,14,FALSE)*$J50</f>
        <v>178.6496452409379</v>
      </c>
      <c r="AE50" s="706">
        <f t="shared" si="48"/>
        <v>1438.3503547590622</v>
      </c>
      <c r="AF50" s="706">
        <f>IF($C50="other",(1-$C40)*AD50,(1-(VLOOKUP($C50,'S3 - Screening Tool Metrics'!$C$3:$G$17,5,FALSE)/100))*AD50)</f>
        <v>35.729929048187572</v>
      </c>
      <c r="AG50" s="706">
        <f>IF($C50="other",$C40*AD50,(VLOOKUP($C50,'S3 - Screening Tool Metrics'!$C$3:$G$17,5,FALSE)/100)*AD50)</f>
        <v>142.91971619275031</v>
      </c>
      <c r="AH50" s="708">
        <f t="shared" si="42"/>
        <v>8.8385724299783739</v>
      </c>
      <c r="AI50" s="707">
        <f t="shared" si="43"/>
        <v>86427.67333333334</v>
      </c>
      <c r="AJ50" s="706">
        <f>VLOOKUP("*"&amp;$B50&amp;"*",'S4 - Summ PRS Characteristics'!$C$5:$Q$12,15,FALSE)*$J50</f>
        <v>45.858131590303756</v>
      </c>
      <c r="AK50" s="706">
        <f t="shared" si="47"/>
        <v>1571.1418684096961</v>
      </c>
      <c r="AL50" s="706">
        <f>IF($C50="other",(1-$C40)*AJ50,(1-(VLOOKUP($C50,'S3 - Screening Tool Metrics'!$C$3:$G$17,5,FALSE)/100))*AJ50)</f>
        <v>9.1716263180607491</v>
      </c>
      <c r="AM50" s="706">
        <f>IF($C50="other",$C40*AJ50,(VLOOKUP($C50,'S3 - Screening Tool Metrics'!$C$3:$G$17,5,FALSE)/100)*AJ50)</f>
        <v>36.686505272243004</v>
      </c>
      <c r="AN50" s="709">
        <f t="shared" si="44"/>
        <v>2.2688005734225731</v>
      </c>
    </row>
    <row r="51" spans="2:40" x14ac:dyDescent="0.15">
      <c r="B51" s="700" t="s">
        <v>11</v>
      </c>
      <c r="C51" s="721" t="str">
        <f>$C41</f>
        <v>Other</v>
      </c>
      <c r="D51" s="552" t="s">
        <v>202</v>
      </c>
      <c r="E51" s="710">
        <f>VLOOKUP($B51&amp;"_"&amp;$D51,'App5 - CRUK Inci Rates'!C:H,6,FALSE)</f>
        <v>66.354542653419429</v>
      </c>
      <c r="F51" s="711">
        <f>VLOOKUP($B51&amp;"_"&amp;$D51,'App5 - CRUK Inci Rates'!C:H,3,FALSE)</f>
        <v>48.212380665809548</v>
      </c>
      <c r="G51" s="712">
        <f>VLOOKUP($B51&amp;"_"&amp;$D51,'App5 - CRUK Inci Rates'!C:J,8,FALSE)</f>
        <v>8839716.6666666679</v>
      </c>
      <c r="H51" s="713">
        <f>VLOOKUP($B51&amp;"_"&amp;$D51,'App5 - CRUK Inci Rates'!C:J,7,FALSE)</f>
        <v>4355391.333333333</v>
      </c>
      <c r="I51" s="713">
        <f>VLOOKUP($B51&amp;"_"&amp;$D51,'App5 - CRUK Inci Rates'!C:J,4,FALSE)</f>
        <v>4484325.333333334</v>
      </c>
      <c r="J51" s="709">
        <f>VLOOKUP($B51&amp;"_"&amp;$D51,'App5 - CRUK Inci Rates'!C:K,9,FALSE)</f>
        <v>5052</v>
      </c>
      <c r="K51" s="706">
        <f t="shared" si="8"/>
        <v>4419858.333333334</v>
      </c>
      <c r="L51" s="706">
        <f>VLOOKUP("*"&amp;$B51&amp;"*",'S4 - Summ PRS Characteristics'!$C$5:$Q$12,11,FALSE)*$J51</f>
        <v>3349.8837490747505</v>
      </c>
      <c r="M51" s="706">
        <f t="shared" si="9"/>
        <v>1702.1162509252495</v>
      </c>
      <c r="N51" s="706">
        <f>IF($C51="other",(1-$C$7)*L51,(1-(VLOOKUP($C51,'S3 - Screening Tool Metrics'!$C$3:$G$17,5,FALSE)/100))*L51)</f>
        <v>669.97674981494993</v>
      </c>
      <c r="O51" s="706">
        <f>IF($C51="other",$C$7*L51,(VLOOKUP($C51,'S3 - Screening Tool Metrics'!$C$3:$G$17,5,FALSE)/100)*L51)</f>
        <v>2679.9069992598006</v>
      </c>
      <c r="P51" s="706">
        <f t="shared" si="10"/>
        <v>53.046456834121145</v>
      </c>
      <c r="Q51" s="707">
        <f t="shared" si="37"/>
        <v>1767943.3333333337</v>
      </c>
      <c r="R51" s="706">
        <f>VLOOKUP("*"&amp;$B51&amp;"*",'S4 - Summ PRS Characteristics'!$C$5:$Q$12,12,FALSE)*$J51</f>
        <v>1702.3931013650356</v>
      </c>
      <c r="S51" s="706">
        <f t="shared" si="45"/>
        <v>3349.6068986349646</v>
      </c>
      <c r="T51" s="706">
        <f>IF($C51="other",(1-$C40)*R51,(1-(VLOOKUP($C51,'S3 - Screening Tool Metrics'!$C$3:$G$17,5,FALSE)/100))*R51)</f>
        <v>340.47862027300704</v>
      </c>
      <c r="U51" s="706">
        <f>IF($C51="other",$C40*R51,(VLOOKUP($C51,'S3 - Screening Tool Metrics'!$C$3:$G$17,5,FALSE)/100)*R51)</f>
        <v>1361.9144810920286</v>
      </c>
      <c r="V51" s="708">
        <f t="shared" si="38"/>
        <v>26.957927179177133</v>
      </c>
      <c r="W51" s="707">
        <f t="shared" si="39"/>
        <v>883971.66666666686</v>
      </c>
      <c r="X51" s="706">
        <f>VLOOKUP("*"&amp;$B51&amp;"*",'S4 - Summ PRS Characteristics'!$C$5:$Q$12,13,FALSE)*$J51</f>
        <v>983.68016038232167</v>
      </c>
      <c r="Y51" s="706">
        <f t="shared" si="46"/>
        <v>4068.3198396176786</v>
      </c>
      <c r="Z51" s="706">
        <f>IF($C51="other",(1-$C40)*X51,(1-(VLOOKUP($C51,'S3 - Screening Tool Metrics'!$C$3:$G$17,5,FALSE)/100))*X51)</f>
        <v>196.73603207646428</v>
      </c>
      <c r="AA51" s="706">
        <f>IF($C51="other",$C40*X51,(VLOOKUP($C51,'S3 - Screening Tool Metrics'!$C$3:$G$17,5,FALSE)/100)*X51)</f>
        <v>786.94412830585736</v>
      </c>
      <c r="AB51" s="708">
        <f t="shared" si="40"/>
        <v>15.576882983092979</v>
      </c>
      <c r="AC51" s="706">
        <f t="shared" si="41"/>
        <v>441985.83333333343</v>
      </c>
      <c r="AD51" s="706">
        <f>VLOOKUP("*"&amp;$B51&amp;"*",'S4 - Summ PRS Characteristics'!$C$5:$Q$12,14,FALSE)*$J51</f>
        <v>558.15584895313441</v>
      </c>
      <c r="AE51" s="706">
        <f t="shared" si="48"/>
        <v>4493.8441510468656</v>
      </c>
      <c r="AF51" s="706">
        <f>IF($C51="other",(1-$C40)*AD51,(1-(VLOOKUP($C51,'S3 - Screening Tool Metrics'!$C$3:$G$17,5,FALSE)/100))*AD51)</f>
        <v>111.63116979062686</v>
      </c>
      <c r="AG51" s="706">
        <f>IF($C51="other",$C40*AD51,(VLOOKUP($C51,'S3 - Screening Tool Metrics'!$C$3:$G$17,5,FALSE)/100)*AD51)</f>
        <v>446.52467916250754</v>
      </c>
      <c r="AH51" s="708">
        <f t="shared" si="42"/>
        <v>8.8385724299783757</v>
      </c>
      <c r="AI51" s="707">
        <f t="shared" si="43"/>
        <v>88397.166666666686</v>
      </c>
      <c r="AJ51" s="706">
        <f>VLOOKUP("*"&amp;$B51&amp;"*",'S4 - Summ PRS Characteristics'!$C$5:$Q$12,15,FALSE)*$J51</f>
        <v>143.27475621163549</v>
      </c>
      <c r="AK51" s="706">
        <f t="shared" si="47"/>
        <v>4908.7252437883644</v>
      </c>
      <c r="AL51" s="706">
        <f>IF($C51="other",(1-$C40)*AJ51,(1-(VLOOKUP($C51,'S3 - Screening Tool Metrics'!$C$3:$G$17,5,FALSE)/100))*AJ51)</f>
        <v>28.65495124232709</v>
      </c>
      <c r="AM51" s="706">
        <f>IF($C51="other",$C40*AJ51,(VLOOKUP($C51,'S3 - Screening Tool Metrics'!$C$3:$G$17,5,FALSE)/100)*AJ51)</f>
        <v>114.6198049693084</v>
      </c>
      <c r="AN51" s="709">
        <f t="shared" si="44"/>
        <v>2.2688005734225731</v>
      </c>
    </row>
    <row r="52" spans="2:40" x14ac:dyDescent="0.15">
      <c r="B52" s="700" t="s">
        <v>11</v>
      </c>
      <c r="C52" s="721" t="str">
        <f>$C41</f>
        <v>Other</v>
      </c>
      <c r="D52" s="552" t="s">
        <v>203</v>
      </c>
      <c r="E52" s="710">
        <f>VLOOKUP($B52&amp;"_"&amp;$D52,'App5 - CRUK Inci Rates'!C:H,6,FALSE)</f>
        <v>114.20950638927653</v>
      </c>
      <c r="F52" s="711">
        <f>VLOOKUP($B52&amp;"_"&amp;$D52,'App5 - CRUK Inci Rates'!C:H,3,FALSE)</f>
        <v>73.646226089279153</v>
      </c>
      <c r="G52" s="712">
        <f>VLOOKUP($B52&amp;"_"&amp;$D52,'App5 - CRUK Inci Rates'!C:J,8,FALSE)</f>
        <v>15943902</v>
      </c>
      <c r="H52" s="713">
        <f>VLOOKUP($B52&amp;"_"&amp;$D52,'App5 - CRUK Inci Rates'!C:J,7,FALSE)</f>
        <v>7817212.666666666</v>
      </c>
      <c r="I52" s="713">
        <f>VLOOKUP($B52&amp;"_"&amp;$D52,'App5 - CRUK Inci Rates'!C:J,4,FALSE)</f>
        <v>8126689.333333334</v>
      </c>
      <c r="J52" s="709">
        <f>VLOOKUP($B52&amp;"_"&amp;$D52,'App5 - CRUK Inci Rates'!C:K,9,FALSE)</f>
        <v>14913</v>
      </c>
      <c r="K52" s="706">
        <f t="shared" si="8"/>
        <v>7971951</v>
      </c>
      <c r="L52" s="706">
        <f>VLOOKUP("*"&amp;$B52&amp;"*",'S4 - Summ PRS Characteristics'!$C$5:$Q$12,11,FALSE)*$J52</f>
        <v>9888.5226345906085</v>
      </c>
      <c r="M52" s="706">
        <f t="shared" si="9"/>
        <v>5024.4773654093915</v>
      </c>
      <c r="N52" s="706">
        <f>IF($C52="other",(1-$C$7)*L52,(1-(VLOOKUP($C52,'S3 - Screening Tool Metrics'!$C$3:$G$17,5,FALSE)/100))*L52)</f>
        <v>1977.7045269181212</v>
      </c>
      <c r="O52" s="706">
        <f>IF($C52="other",$C$7*L52,(VLOOKUP($C52,'S3 - Screening Tool Metrics'!$C$3:$G$17,5,FALSE)/100)*L52)</f>
        <v>7910.8181076724868</v>
      </c>
      <c r="P52" s="706">
        <f t="shared" si="10"/>
        <v>53.046456834121145</v>
      </c>
      <c r="Q52" s="707">
        <f t="shared" si="37"/>
        <v>3188780.4000000004</v>
      </c>
      <c r="R52" s="706">
        <f>VLOOKUP("*"&amp;$B52&amp;"*",'S4 - Summ PRS Characteristics'!$C$5:$Q$12,12,FALSE)*$J52</f>
        <v>5025.2946002883564</v>
      </c>
      <c r="S52" s="706">
        <f t="shared" si="45"/>
        <v>9887.7053997116436</v>
      </c>
      <c r="T52" s="706">
        <f>IF($C52="other",(1-$C40)*R52,(1-(VLOOKUP($C52,'S3 - Screening Tool Metrics'!$C$3:$G$17,5,FALSE)/100))*R52)</f>
        <v>1005.058920057671</v>
      </c>
      <c r="U52" s="706">
        <f>IF($C52="other",$C40*R52,(VLOOKUP($C52,'S3 - Screening Tool Metrics'!$C$3:$G$17,5,FALSE)/100)*R52)</f>
        <v>4020.2356802306854</v>
      </c>
      <c r="V52" s="708">
        <f t="shared" si="38"/>
        <v>26.957927179177133</v>
      </c>
      <c r="W52" s="707">
        <f t="shared" si="39"/>
        <v>1594390.2000000002</v>
      </c>
      <c r="X52" s="706">
        <f>VLOOKUP("*"&amp;$B52&amp;"*",'S4 - Summ PRS Characteristics'!$C$5:$Q$12,13,FALSE)*$J52</f>
        <v>2903.72569908582</v>
      </c>
      <c r="Y52" s="706">
        <f t="shared" si="46"/>
        <v>12009.27430091418</v>
      </c>
      <c r="Z52" s="706">
        <f>IF($C52="other",(1-$C40)*X52,(1-(VLOOKUP($C52,'S3 - Screening Tool Metrics'!$C$3:$G$17,5,FALSE)/100))*X52)</f>
        <v>580.74513981716382</v>
      </c>
      <c r="AA52" s="706">
        <f>IF($C52="other",$C40*X52,(VLOOKUP($C52,'S3 - Screening Tool Metrics'!$C$3:$G$17,5,FALSE)/100)*X52)</f>
        <v>2322.9805592686562</v>
      </c>
      <c r="AB52" s="708">
        <f t="shared" si="40"/>
        <v>15.576882983092979</v>
      </c>
      <c r="AC52" s="706">
        <f t="shared" si="41"/>
        <v>797195.10000000009</v>
      </c>
      <c r="AD52" s="706">
        <f>VLOOKUP("*"&amp;$B52&amp;"*",'S4 - Summ PRS Characteristics'!$C$5:$Q$12,14,FALSE)*$J52</f>
        <v>1647.6203831033438</v>
      </c>
      <c r="AE52" s="706">
        <f t="shared" si="48"/>
        <v>13265.379616896656</v>
      </c>
      <c r="AF52" s="706">
        <f>IF($C52="other",(1-$C40)*AD52,(1-(VLOOKUP($C52,'S3 - Screening Tool Metrics'!$C$3:$G$17,5,FALSE)/100))*AD52)</f>
        <v>329.52407662066867</v>
      </c>
      <c r="AG52" s="706">
        <f>IF($C52="other",$C40*AD52,(VLOOKUP($C52,'S3 - Screening Tool Metrics'!$C$3:$G$17,5,FALSE)/100)*AD52)</f>
        <v>1318.0963064826751</v>
      </c>
      <c r="AH52" s="708">
        <f t="shared" si="42"/>
        <v>8.8385724299783757</v>
      </c>
      <c r="AI52" s="707">
        <f t="shared" si="43"/>
        <v>159439.01999999999</v>
      </c>
      <c r="AJ52" s="706">
        <f>VLOOKUP("*"&amp;$B52&amp;"*",'S4 - Summ PRS Characteristics'!$C$5:$Q$12,15,FALSE)*$J52</f>
        <v>422.93278689313541</v>
      </c>
      <c r="AK52" s="706">
        <f t="shared" si="47"/>
        <v>14490.067213106864</v>
      </c>
      <c r="AL52" s="706">
        <f>IF($C52="other",(1-$C40)*AJ52,(1-(VLOOKUP($C52,'S3 - Screening Tool Metrics'!$C$3:$G$17,5,FALSE)/100))*AJ52)</f>
        <v>84.586557378627063</v>
      </c>
      <c r="AM52" s="706">
        <f>IF($C52="other",$C40*AJ52,(VLOOKUP($C52,'S3 - Screening Tool Metrics'!$C$3:$G$17,5,FALSE)/100)*AJ52)</f>
        <v>338.34622951450837</v>
      </c>
      <c r="AN52" s="709">
        <f t="shared" si="44"/>
        <v>2.2688005734225731</v>
      </c>
    </row>
    <row r="53" spans="2:40" x14ac:dyDescent="0.15">
      <c r="B53" s="700" t="s">
        <v>11</v>
      </c>
      <c r="C53" s="721" t="str">
        <f>$C42</f>
        <v>Other</v>
      </c>
      <c r="D53" s="552" t="s">
        <v>292</v>
      </c>
      <c r="E53" s="710">
        <f>VLOOKUP($B53&amp;"_"&amp;$D53,'App5 - CRUK Inci Rates'!C:H,6,FALSE)</f>
        <v>203.90336051751802</v>
      </c>
      <c r="F53" s="711">
        <f>VLOOKUP($B53&amp;"_"&amp;$D53,'App5 - CRUK Inci Rates'!C:H,3,FALSE)</f>
        <v>125.21984320546531</v>
      </c>
      <c r="G53" s="712">
        <f>VLOOKUP($B53&amp;"_"&amp;$D53,'App5 - CRUK Inci Rates'!C:J,8,FALSE)</f>
        <v>8881256.9603638444</v>
      </c>
      <c r="H53" s="713">
        <f>VLOOKUP($B53&amp;"_"&amp;$D53,'App5 - CRUK Inci Rates'!C:J,7,FALSE)</f>
        <v>4929786.333333333</v>
      </c>
      <c r="I53" s="713">
        <f>VLOOKUP($B53&amp;"_"&amp;$D53,'App5 - CRUK Inci Rates'!C:J,4,FALSE)</f>
        <v>5245973.666666667</v>
      </c>
      <c r="J53" s="709">
        <f>VLOOKUP($B53&amp;"_"&amp;$D53,'App5 - CRUK Inci Rates'!C:K,9,FALSE)</f>
        <v>16621</v>
      </c>
      <c r="K53" s="706">
        <f t="shared" si="8"/>
        <v>4440628.4801819222</v>
      </c>
      <c r="L53" s="706">
        <f>VLOOKUP("*"&amp;$B53&amp;"*",'S4 - Summ PRS Characteristics'!$C$5:$Q$12,11,FALSE)*$J53</f>
        <v>11021.064487999096</v>
      </c>
      <c r="M53" s="706">
        <f t="shared" si="9"/>
        <v>5599.9355120009041</v>
      </c>
      <c r="N53" s="706">
        <f>IF($C53="other",(1-$C$7)*L53,(1-(VLOOKUP($C53,'S3 - Screening Tool Metrics'!$C$3:$G$17,5,FALSE)/100))*L53)</f>
        <v>2204.2128975998189</v>
      </c>
      <c r="O53" s="706">
        <f>IF($C53="other",$C$7*L53,(VLOOKUP($C53,'S3 - Screening Tool Metrics'!$C$3:$G$17,5,FALSE)/100)*L53)</f>
        <v>8816.8515903992775</v>
      </c>
      <c r="P53" s="706">
        <f t="shared" si="10"/>
        <v>53.046456834121159</v>
      </c>
      <c r="Q53" s="707">
        <f t="shared" si="37"/>
        <v>1776251.3920727689</v>
      </c>
      <c r="R53" s="706">
        <f>VLOOKUP("*"&amp;$B53&amp;"*",'S4 - Summ PRS Characteristics'!$C$5:$Q$12,12,FALSE)*$J53</f>
        <v>5600.8463455637884</v>
      </c>
      <c r="S53" s="706">
        <f t="shared" si="45"/>
        <v>11020.153654436212</v>
      </c>
      <c r="T53" s="706">
        <f>IF($C53="other",(1-$C40)*R53,(1-(VLOOKUP($C53,'S3 - Screening Tool Metrics'!$C$3:$G$17,5,FALSE)/100))*R53)</f>
        <v>1120.1692691127575</v>
      </c>
      <c r="U53" s="706">
        <f>IF($C53="other",$C40*R53,(VLOOKUP($C53,'S3 - Screening Tool Metrics'!$C$3:$G$17,5,FALSE)/100)*R53)</f>
        <v>4480.6770764510311</v>
      </c>
      <c r="V53" s="708">
        <f t="shared" si="38"/>
        <v>26.957927179177133</v>
      </c>
      <c r="W53" s="707">
        <f t="shared" si="39"/>
        <v>888125.69603638444</v>
      </c>
      <c r="X53" s="706">
        <f>VLOOKUP("*"&amp;$B53&amp;"*",'S4 - Summ PRS Characteristics'!$C$5:$Q$12,13,FALSE)*$J53</f>
        <v>3236.2921507748551</v>
      </c>
      <c r="Y53" s="706">
        <f t="shared" si="46"/>
        <v>13384.707849225146</v>
      </c>
      <c r="Z53" s="706">
        <f>IF($C53="other",(1-$C40)*X53,(1-(VLOOKUP($C53,'S3 - Screening Tool Metrics'!$C$3:$G$17,5,FALSE)/100))*X53)</f>
        <v>647.25843015497094</v>
      </c>
      <c r="AA53" s="706">
        <f>IF($C53="other",$C40*X53,(VLOOKUP($C53,'S3 - Screening Tool Metrics'!$C$3:$G$17,5,FALSE)/100)*X53)</f>
        <v>2589.0337206198842</v>
      </c>
      <c r="AB53" s="708">
        <f t="shared" si="40"/>
        <v>15.576882983092979</v>
      </c>
      <c r="AC53" s="706">
        <f t="shared" si="41"/>
        <v>444062.84801819222</v>
      </c>
      <c r="AD53" s="706">
        <f>VLOOKUP("*"&amp;$B53&amp;"*",'S4 - Summ PRS Characteristics'!$C$5:$Q$12,14,FALSE)*$J53</f>
        <v>1836.3239044833822</v>
      </c>
      <c r="AE53" s="706">
        <f t="shared" si="48"/>
        <v>14784.676095516617</v>
      </c>
      <c r="AF53" s="706">
        <f>IF($C53="other",(1-$C40)*AD53,(1-(VLOOKUP($C53,'S3 - Screening Tool Metrics'!$C$3:$G$17,5,FALSE)/100))*AD53)</f>
        <v>367.26478089667637</v>
      </c>
      <c r="AG53" s="706">
        <f>IF($C53="other",$C40*AD53,(VLOOKUP($C53,'S3 - Screening Tool Metrics'!$C$3:$G$17,5,FALSE)/100)*AD53)</f>
        <v>1469.0591235867059</v>
      </c>
      <c r="AH53" s="708">
        <f t="shared" si="42"/>
        <v>8.8385724299783774</v>
      </c>
      <c r="AI53" s="707">
        <f t="shared" si="43"/>
        <v>88812.569603638447</v>
      </c>
      <c r="AJ53" s="706">
        <f>VLOOKUP("*"&amp;$B53&amp;"*",'S4 - Summ PRS Characteristics'!$C$5:$Q$12,15,FALSE)*$J53</f>
        <v>471.37167913570732</v>
      </c>
      <c r="AK53" s="706">
        <f t="shared" si="47"/>
        <v>16149.628320864293</v>
      </c>
      <c r="AL53" s="706">
        <f>IF($C53="other",(1-$C40)*AJ53,(1-(VLOOKUP($C53,'S3 - Screening Tool Metrics'!$C$3:$G$17,5,FALSE)/100))*AJ53)</f>
        <v>94.274335827141442</v>
      </c>
      <c r="AM53" s="706">
        <f>IF($C53="other",$C40*AJ53,(VLOOKUP($C53,'S3 - Screening Tool Metrics'!$C$3:$G$17,5,FALSE)/100)*AJ53)</f>
        <v>377.09734330856588</v>
      </c>
      <c r="AN53" s="709">
        <f t="shared" si="44"/>
        <v>2.2688005734225731</v>
      </c>
    </row>
    <row r="54" spans="2:40" x14ac:dyDescent="0.15">
      <c r="B54" s="700" t="s">
        <v>11</v>
      </c>
      <c r="C54" s="721" t="str">
        <f>$C41</f>
        <v>Other</v>
      </c>
      <c r="D54" s="552" t="s">
        <v>204</v>
      </c>
      <c r="E54" s="710">
        <f>VLOOKUP($B54&amp;"_"&amp;$D54,'App5 - CRUK Inci Rates'!C:H,6,FALSE)</f>
        <v>118.95830504657053</v>
      </c>
      <c r="F54" s="711">
        <f>VLOOKUP($B54&amp;"_"&amp;$D54,'App5 - CRUK Inci Rates'!C:H,3,FALSE)</f>
        <v>80.364374337399624</v>
      </c>
      <c r="G54" s="712">
        <f>VLOOKUP($B54&amp;"_"&amp;$D54,'App5 - CRUK Inci Rates'!C:J,8,FALSE)</f>
        <v>29847254.666666668</v>
      </c>
      <c r="H54" s="713">
        <f>VLOOKUP($B54&amp;"_"&amp;$D54,'App5 - CRUK Inci Rates'!C:J,7,FALSE)</f>
        <v>14565607.666666668</v>
      </c>
      <c r="I54" s="713">
        <f>VLOOKUP($B54&amp;"_"&amp;$D54,'App5 - CRUK Inci Rates'!C:J,4,FALSE)</f>
        <v>15281647</v>
      </c>
      <c r="J54" s="709">
        <f>VLOOKUP($B54&amp;"_"&amp;$D54,'App5 - CRUK Inci Rates'!C:K,9,FALSE)</f>
        <v>29608</v>
      </c>
      <c r="K54" s="706">
        <f t="shared" si="8"/>
        <v>14923627.333333334</v>
      </c>
      <c r="L54" s="706">
        <f>VLOOKUP("*"&amp;$B54&amp;"*",'S4 - Summ PRS Characteristics'!$C$5:$Q$12,11,FALSE)*$J54</f>
        <v>19632.49367430824</v>
      </c>
      <c r="M54" s="706">
        <f t="shared" si="9"/>
        <v>9975.5063256917601</v>
      </c>
      <c r="N54" s="706">
        <f>IF($C54="other",(1-$C$7)*L54,(1-(VLOOKUP($C54,'S3 - Screening Tool Metrics'!$C$3:$G$17,5,FALSE)/100))*L54)</f>
        <v>3926.4987348616469</v>
      </c>
      <c r="O54" s="706">
        <f>IF($C54="other",$C$7*L54,(VLOOKUP($C54,'S3 - Screening Tool Metrics'!$C$3:$G$17,5,FALSE)/100)*L54)</f>
        <v>15705.994939446593</v>
      </c>
      <c r="P54" s="706">
        <f t="shared" si="10"/>
        <v>53.046456834121159</v>
      </c>
      <c r="Q54" s="707">
        <f t="shared" si="37"/>
        <v>5969450.9333333336</v>
      </c>
      <c r="R54" s="706">
        <f>VLOOKUP("*"&amp;$B54&amp;"*",'S4 - Summ PRS Characteristics'!$C$5:$Q$12,12,FALSE)*$J54</f>
        <v>9977.1288490134557</v>
      </c>
      <c r="S54" s="706">
        <f t="shared" si="45"/>
        <v>19630.871150986546</v>
      </c>
      <c r="T54" s="706">
        <f>IF($C54="other",(1-$C40)*R54,(1-(VLOOKUP($C54,'S3 - Screening Tool Metrics'!$C$3:$G$17,5,FALSE)/100))*R54)</f>
        <v>1995.4257698026906</v>
      </c>
      <c r="U54" s="706">
        <f>IF($C54="other",$C40*R54,(VLOOKUP($C54,'S3 - Screening Tool Metrics'!$C$3:$G$17,5,FALSE)/100)*R54)</f>
        <v>7981.7030792107653</v>
      </c>
      <c r="V54" s="708">
        <f t="shared" si="38"/>
        <v>26.957927179177133</v>
      </c>
      <c r="W54" s="707">
        <f t="shared" si="39"/>
        <v>2984725.4666666668</v>
      </c>
      <c r="X54" s="706">
        <f>VLOOKUP("*"&amp;$B54&amp;"*",'S4 - Summ PRS Characteristics'!$C$5:$Q$12,13,FALSE)*$J54</f>
        <v>5765.0043920427115</v>
      </c>
      <c r="Y54" s="706">
        <f t="shared" si="46"/>
        <v>23842.995607957288</v>
      </c>
      <c r="Z54" s="706">
        <f>IF($C54="other",(1-$C40)*X54,(1-(VLOOKUP($C54,'S3 - Screening Tool Metrics'!$C$3:$G$17,5,FALSE)/100))*X54)</f>
        <v>1153.0008784085421</v>
      </c>
      <c r="AA54" s="706">
        <f>IF($C54="other",$C40*X54,(VLOOKUP($C54,'S3 - Screening Tool Metrics'!$C$3:$G$17,5,FALSE)/100)*X54)</f>
        <v>4612.0035136341694</v>
      </c>
      <c r="AB54" s="708">
        <f t="shared" si="40"/>
        <v>15.576882983092979</v>
      </c>
      <c r="AC54" s="706">
        <f t="shared" si="41"/>
        <v>1492362.7333333334</v>
      </c>
      <c r="AD54" s="706">
        <f>VLOOKUP("*"&amp;$B54&amp;"*",'S4 - Summ PRS Characteristics'!$C$5:$Q$12,14,FALSE)*$J54</f>
        <v>3271.1556563349968</v>
      </c>
      <c r="AE54" s="706">
        <f t="shared" si="48"/>
        <v>26336.844343665005</v>
      </c>
      <c r="AF54" s="706">
        <f>IF($C54="other",(1-$C40)*AD54,(1-(VLOOKUP($C54,'S3 - Screening Tool Metrics'!$C$3:$G$17,5,FALSE)/100))*AD54)</f>
        <v>654.23113126699923</v>
      </c>
      <c r="AG54" s="706">
        <f>IF($C54="other",$C40*AD54,(VLOOKUP($C54,'S3 - Screening Tool Metrics'!$C$3:$G$17,5,FALSE)/100)*AD54)</f>
        <v>2616.9245250679978</v>
      </c>
      <c r="AH54" s="708">
        <f t="shared" si="42"/>
        <v>8.8385724299783774</v>
      </c>
      <c r="AI54" s="707">
        <f t="shared" si="43"/>
        <v>298472.54666666669</v>
      </c>
      <c r="AJ54" s="706">
        <f>VLOOKUP("*"&amp;$B54&amp;"*",'S4 - Summ PRS Characteristics'!$C$5:$Q$12,15,FALSE)*$J54</f>
        <v>839.6830922236943</v>
      </c>
      <c r="AK54" s="706">
        <f t="shared" si="47"/>
        <v>28768.316907776305</v>
      </c>
      <c r="AL54" s="706">
        <f>IF($C54="other",(1-$C40)*AJ54,(1-(VLOOKUP($C54,'S3 - Screening Tool Metrics'!$C$3:$G$17,5,FALSE)/100))*AJ54)</f>
        <v>167.93661844473883</v>
      </c>
      <c r="AM54" s="706">
        <f>IF($C54="other",$C40*AJ54,(VLOOKUP($C54,'S3 - Screening Tool Metrics'!$C$3:$G$17,5,FALSE)/100)*AJ54)</f>
        <v>671.74647377895553</v>
      </c>
      <c r="AN54" s="709">
        <f t="shared" si="44"/>
        <v>2.2688005734225731</v>
      </c>
    </row>
    <row r="55" spans="2:40" ht="14" thickBot="1" x14ac:dyDescent="0.2">
      <c r="B55" s="700" t="s">
        <v>11</v>
      </c>
      <c r="C55" s="721" t="str">
        <f>$C42</f>
        <v>Other</v>
      </c>
      <c r="D55" s="552" t="s">
        <v>205</v>
      </c>
      <c r="E55" s="710">
        <f>VLOOKUP($B55&amp;"_"&amp;$D55,'App5 - CRUK Inci Rates'!C:H,6,FALSE)</f>
        <v>84.5</v>
      </c>
      <c r="F55" s="711">
        <f>VLOOKUP($B55&amp;"_"&amp;$D55,'App5 - CRUK Inci Rates'!C:H,3,FALSE)</f>
        <v>56.5</v>
      </c>
      <c r="G55" s="712">
        <f>VLOOKUP($B55&amp;"_"&amp;$D55,'App5 - CRUK Inci Rates'!C:J,8,FALSE)</f>
        <v>66041277.666666664</v>
      </c>
      <c r="H55" s="713">
        <f>VLOOKUP($B55&amp;"_"&amp;$D55,'App5 - CRUK Inci Rates'!C:J,7,FALSE)</f>
        <v>32583225.666666668</v>
      </c>
      <c r="I55" s="713">
        <f>VLOOKUP($B55&amp;"_"&amp;$D55,'App5 - CRUK Inci Rates'!C:J,4,FALSE)</f>
        <v>33458051.999999996</v>
      </c>
      <c r="J55" s="709">
        <f>VLOOKUP($B55&amp;"_"&amp;$D55,'App5 - CRUK Inci Rates'!C:K,9,FALSE)</f>
        <v>42885</v>
      </c>
      <c r="K55" s="716"/>
      <c r="L55" s="716"/>
      <c r="M55" s="716"/>
      <c r="N55" s="716"/>
      <c r="O55" s="716"/>
      <c r="P55" s="716"/>
      <c r="Q55" s="715"/>
      <c r="R55" s="716"/>
      <c r="S55" s="716"/>
      <c r="T55" s="716"/>
      <c r="U55" s="716"/>
      <c r="V55" s="717"/>
      <c r="W55" s="715"/>
      <c r="X55" s="716"/>
      <c r="Y55" s="716"/>
      <c r="Z55" s="716"/>
      <c r="AA55" s="716"/>
      <c r="AB55" s="717"/>
      <c r="AC55" s="716"/>
      <c r="AD55" s="716"/>
      <c r="AE55" s="716"/>
      <c r="AF55" s="716"/>
      <c r="AG55" s="716"/>
      <c r="AH55" s="717"/>
      <c r="AI55" s="715"/>
      <c r="AJ55" s="716"/>
      <c r="AK55" s="716"/>
      <c r="AL55" s="716"/>
      <c r="AM55" s="716"/>
      <c r="AN55" s="718"/>
    </row>
    <row r="56" spans="2:40" ht="21" customHeight="1" thickBot="1" x14ac:dyDescent="0.2">
      <c r="B56" s="686" t="s">
        <v>12</v>
      </c>
      <c r="C56" s="687">
        <v>0.8</v>
      </c>
      <c r="D56" s="688"/>
      <c r="E56" s="689"/>
      <c r="F56" s="690"/>
      <c r="G56" s="691"/>
      <c r="H56" s="692"/>
      <c r="I56" s="692"/>
      <c r="J56" s="693"/>
      <c r="K56" s="694"/>
      <c r="L56" s="694"/>
      <c r="M56" s="694"/>
      <c r="N56" s="694"/>
      <c r="O56" s="694"/>
      <c r="P56" s="694"/>
      <c r="Q56" s="695"/>
      <c r="R56" s="696"/>
      <c r="S56" s="696"/>
      <c r="T56" s="696"/>
      <c r="U56" s="696"/>
      <c r="V56" s="697"/>
      <c r="W56" s="695"/>
      <c r="X56" s="696"/>
      <c r="Y56" s="696"/>
      <c r="Z56" s="696"/>
      <c r="AA56" s="696"/>
      <c r="AB56" s="697"/>
      <c r="AC56" s="696"/>
      <c r="AD56" s="696"/>
      <c r="AE56" s="696"/>
      <c r="AF56" s="696"/>
      <c r="AG56" s="696"/>
      <c r="AH56" s="697"/>
      <c r="AI56" s="695"/>
      <c r="AJ56" s="696"/>
      <c r="AK56" s="696"/>
      <c r="AL56" s="696"/>
      <c r="AM56" s="696"/>
      <c r="AN56" s="699"/>
    </row>
    <row r="57" spans="2:40" x14ac:dyDescent="0.15">
      <c r="B57" s="700" t="s">
        <v>12</v>
      </c>
      <c r="C57" s="741" t="s">
        <v>180</v>
      </c>
      <c r="D57" s="593" t="s">
        <v>192</v>
      </c>
      <c r="E57" s="701">
        <f>VLOOKUP($B57&amp;"_"&amp;$D57,'App5 - CRUK Inci Rates'!C:H,6,FALSE)</f>
        <v>2.6</v>
      </c>
      <c r="F57" s="702">
        <f>VLOOKUP($B57&amp;"_"&amp;$D57,'App5 - CRUK Inci Rates'!C:H,3,FALSE)</f>
        <v>2</v>
      </c>
      <c r="G57" s="703">
        <f>VLOOKUP($B57&amp;"_"&amp;$D57,'App5 - CRUK Inci Rates'!C:J,8,FALSE)</f>
        <v>4075608</v>
      </c>
      <c r="H57" s="704">
        <f>VLOOKUP($B57&amp;"_"&amp;$D57,'App5 - CRUK Inci Rates'!C:J,7,FALSE)</f>
        <v>2021384.6666666667</v>
      </c>
      <c r="I57" s="704">
        <f>VLOOKUP($B57&amp;"_"&amp;$D57,'App5 - CRUK Inci Rates'!C:J,4,FALSE)</f>
        <v>2054223.3333333333</v>
      </c>
      <c r="J57" s="705">
        <f>VLOOKUP($B57&amp;"_"&amp;$D57,'App5 - CRUK Inci Rates'!C:K,9,FALSE)</f>
        <v>94</v>
      </c>
      <c r="K57" s="706">
        <f t="shared" si="8"/>
        <v>2037804</v>
      </c>
      <c r="L57" s="706">
        <f>VLOOKUP("*"&amp;$B57&amp;"*",'S4 - Summ PRS Characteristics'!$C$5:$Q$12,11,FALSE)*$J57</f>
        <v>57.433178330318569</v>
      </c>
      <c r="M57" s="706">
        <f t="shared" si="9"/>
        <v>36.566821669681431</v>
      </c>
      <c r="N57" s="706">
        <f>IF($C57="other",(1-$C$7)*L57,(1-(VLOOKUP($C57,'S3 - Screening Tool Metrics'!$C$3:$G$17,5,FALSE)/100))*L57)</f>
        <v>11.486635666063711</v>
      </c>
      <c r="O57" s="706">
        <f>IF($C57="other",$C$7*L57,(VLOOKUP($C57,'S3 - Screening Tool Metrics'!$C$3:$G$17,5,FALSE)/100)*L57)</f>
        <v>45.946542664254856</v>
      </c>
      <c r="P57" s="706">
        <f t="shared" si="10"/>
        <v>48.879300706654107</v>
      </c>
      <c r="Q57" s="707">
        <f t="shared" ref="Q57:Q70" si="49">$G57*Q$3</f>
        <v>815121.60000000009</v>
      </c>
      <c r="R57" s="706">
        <f>VLOOKUP("*"&amp;$B57&amp;"*",'S4 - Summ PRS Characteristics'!$C$5:$Q$12,12,FALSE)*$J57</f>
        <v>27.056584247998874</v>
      </c>
      <c r="S57" s="706">
        <f>$J57-R57</f>
        <v>66.94341575200113</v>
      </c>
      <c r="T57" s="706">
        <f>IF($C57="other",(1-$C56)*R57,(1-(VLOOKUP($C57,'S3 - Screening Tool Metrics'!$C$3:$G$17,5,FALSE)/100))*R57)</f>
        <v>5.4113168495997739</v>
      </c>
      <c r="U57" s="706">
        <f>IF($C57="other",$C56*R57,(VLOOKUP($C57,'S3 - Screening Tool Metrics'!$C$3:$G$17,5,FALSE)/100)*R57)</f>
        <v>21.645267398399099</v>
      </c>
      <c r="V57" s="708">
        <f t="shared" ref="V57:V70" si="50">$U57/$J57*100</f>
        <v>23.026880211062874</v>
      </c>
      <c r="W57" s="707">
        <f t="shared" ref="W57:W70" si="51">$G57*W$3</f>
        <v>407560.80000000005</v>
      </c>
      <c r="X57" s="706">
        <f>VLOOKUP("*"&amp;$B57&amp;"*",'S4 - Summ PRS Characteristics'!$C$5:$Q$12,13,FALSE)*$J57</f>
        <v>14.921600808760783</v>
      </c>
      <c r="Y57" s="706">
        <f>$J57-X57</f>
        <v>79.078399191239214</v>
      </c>
      <c r="Z57" s="706">
        <f>IF($C57="other",(1-$C56)*X57,(1-(VLOOKUP($C57,'S3 - Screening Tool Metrics'!$C$3:$G$17,5,FALSE)/100))*X57)</f>
        <v>2.984320161752156</v>
      </c>
      <c r="AA57" s="706">
        <f>IF($C57="other",$C56*X57,(VLOOKUP($C57,'S3 - Screening Tool Metrics'!$C$3:$G$17,5,FALSE)/100)*X57)</f>
        <v>11.937280647008627</v>
      </c>
      <c r="AB57" s="708">
        <f t="shared" ref="AB57:AB70" si="52">$AA57/$J57*100</f>
        <v>12.699234730860242</v>
      </c>
      <c r="AC57" s="706">
        <f t="shared" ref="AC57:AC70" si="53">$G57*AC$3</f>
        <v>203780.40000000002</v>
      </c>
      <c r="AD57" s="706">
        <f>VLOOKUP("*"&amp;$B57&amp;"*",'S4 - Summ PRS Characteristics'!$C$5:$Q$12,14,FALSE)*$J57</f>
        <v>8.1262172205425944</v>
      </c>
      <c r="AE57" s="706">
        <f>$J57-AD57</f>
        <v>85.8737827794574</v>
      </c>
      <c r="AF57" s="706">
        <f>IF($C57="other",(1-$C56)*AD57,(1-(VLOOKUP($C57,'S3 - Screening Tool Metrics'!$C$3:$G$17,5,FALSE)/100))*AD57)</f>
        <v>1.6252434441085186</v>
      </c>
      <c r="AG57" s="706">
        <f>IF($C57="other",$C56*AD57,(VLOOKUP($C57,'S3 - Screening Tool Metrics'!$C$3:$G$17,5,FALSE)/100)*AD57)</f>
        <v>6.5009737764340763</v>
      </c>
      <c r="AH57" s="708">
        <f t="shared" ref="AH57:AH70" si="54">$AG57/$J57*100</f>
        <v>6.9159295493979531</v>
      </c>
      <c r="AI57" s="707">
        <f t="shared" ref="AI57:AI70" si="55">$G57*AI$3</f>
        <v>40756.080000000002</v>
      </c>
      <c r="AJ57" s="706">
        <f>VLOOKUP("*"&amp;$B57&amp;"*",'S4 - Summ PRS Characteristics'!$C$5:$Q$12,15,FALSE)*$J57</f>
        <v>1.9227545088381404</v>
      </c>
      <c r="AK57" s="706">
        <f>$J57-AJ57</f>
        <v>92.077245491161861</v>
      </c>
      <c r="AL57" s="706">
        <f>IF($C57="other",(1-$C56)*AJ57,(1-(VLOOKUP($C57,'S3 - Screening Tool Metrics'!$C$3:$G$17,5,FALSE)/100))*AJ57)</f>
        <v>0.38455090176762796</v>
      </c>
      <c r="AM57" s="706">
        <f>IF($C57="other",$C56*AJ57,(VLOOKUP($C57,'S3 - Screening Tool Metrics'!$C$3:$G$17,5,FALSE)/100)*AJ57)</f>
        <v>1.5382036070705123</v>
      </c>
      <c r="AN57" s="709">
        <f t="shared" ref="AN57:AN70" si="56">$AM57/$J57*100</f>
        <v>1.6363868160324597</v>
      </c>
    </row>
    <row r="58" spans="2:40" x14ac:dyDescent="0.15">
      <c r="B58" s="700" t="s">
        <v>12</v>
      </c>
      <c r="C58" s="721" t="str">
        <f>$C57</f>
        <v>Other</v>
      </c>
      <c r="D58" s="552" t="s">
        <v>193</v>
      </c>
      <c r="E58" s="710">
        <f>VLOOKUP($B58&amp;"_"&amp;$D58,'App5 - CRUK Inci Rates'!C:H,6,FALSE)</f>
        <v>5.6</v>
      </c>
      <c r="F58" s="711">
        <f>VLOOKUP($B58&amp;"_"&amp;$D58,'App5 - CRUK Inci Rates'!C:H,3,FALSE)</f>
        <v>3.9</v>
      </c>
      <c r="G58" s="712">
        <f>VLOOKUP($B58&amp;"_"&amp;$D58,'App5 - CRUK Inci Rates'!C:J,8,FALSE)</f>
        <v>4567159.333333334</v>
      </c>
      <c r="H58" s="713">
        <f>VLOOKUP($B58&amp;"_"&amp;$D58,'App5 - CRUK Inci Rates'!C:J,7,FALSE)</f>
        <v>2251680</v>
      </c>
      <c r="I58" s="713">
        <f>VLOOKUP($B58&amp;"_"&amp;$D58,'App5 - CRUK Inci Rates'!C:J,4,FALSE)</f>
        <v>2315479.3333333335</v>
      </c>
      <c r="J58" s="709">
        <f>VLOOKUP($B58&amp;"_"&amp;$D58,'App5 - CRUK Inci Rates'!C:K,9,FALSE)</f>
        <v>215</v>
      </c>
      <c r="K58" s="706">
        <f t="shared" si="8"/>
        <v>2283579.666666667</v>
      </c>
      <c r="L58" s="706">
        <f>VLOOKUP("*"&amp;$B58&amp;"*",'S4 - Summ PRS Characteristics'!$C$5:$Q$12,11,FALSE)*$J58</f>
        <v>131.3631206491329</v>
      </c>
      <c r="M58" s="706">
        <f t="shared" si="9"/>
        <v>83.636879350867105</v>
      </c>
      <c r="N58" s="706">
        <f>IF($C58="other",(1-$C$7)*L58,(1-(VLOOKUP($C58,'S3 - Screening Tool Metrics'!$C$3:$G$17,5,FALSE)/100))*L58)</f>
        <v>26.272624129826575</v>
      </c>
      <c r="O58" s="706">
        <f>IF($C58="other",$C$7*L58,(VLOOKUP($C58,'S3 - Screening Tool Metrics'!$C$3:$G$17,5,FALSE)/100)*L58)</f>
        <v>105.09049651930633</v>
      </c>
      <c r="P58" s="706">
        <f t="shared" si="10"/>
        <v>48.879300706654107</v>
      </c>
      <c r="Q58" s="707">
        <f t="shared" si="49"/>
        <v>913431.86666666681</v>
      </c>
      <c r="R58" s="706">
        <f>VLOOKUP("*"&amp;$B58&amp;"*",'S4 - Summ PRS Characteristics'!$C$5:$Q$12,12,FALSE)*$J58</f>
        <v>61.884740567231468</v>
      </c>
      <c r="S58" s="706">
        <f t="shared" ref="S58:S70" si="57">$J58-R58</f>
        <v>153.11525943276854</v>
      </c>
      <c r="T58" s="706">
        <f>IF($C58="other",(1-$C56)*R58,(1-(VLOOKUP($C58,'S3 - Screening Tool Metrics'!$C$3:$G$17,5,FALSE)/100))*R58)</f>
        <v>12.376948113446291</v>
      </c>
      <c r="U58" s="706">
        <f>IF($C58="other",$C56*R58,(VLOOKUP($C58,'S3 - Screening Tool Metrics'!$C$3:$G$17,5,FALSE)/100)*R58)</f>
        <v>49.507792453785179</v>
      </c>
      <c r="V58" s="708">
        <f t="shared" si="50"/>
        <v>23.026880211062874</v>
      </c>
      <c r="W58" s="707">
        <f t="shared" si="51"/>
        <v>456715.93333333341</v>
      </c>
      <c r="X58" s="706">
        <f>VLOOKUP("*"&amp;$B58&amp;"*",'S4 - Summ PRS Characteristics'!$C$5:$Q$12,13,FALSE)*$J58</f>
        <v>34.129193339186898</v>
      </c>
      <c r="Y58" s="706">
        <f t="shared" ref="Y58:Y70" si="58">$J58-X58</f>
        <v>180.87080666081312</v>
      </c>
      <c r="Z58" s="706">
        <f>IF($C58="other",(1-$C56)*X58,(1-(VLOOKUP($C58,'S3 - Screening Tool Metrics'!$C$3:$G$17,5,FALSE)/100))*X58)</f>
        <v>6.8258386678373784</v>
      </c>
      <c r="AA58" s="706">
        <f>IF($C58="other",$C56*X58,(VLOOKUP($C58,'S3 - Screening Tool Metrics'!$C$3:$G$17,5,FALSE)/100)*X58)</f>
        <v>27.303354671349521</v>
      </c>
      <c r="AB58" s="708">
        <f t="shared" si="52"/>
        <v>12.699234730860242</v>
      </c>
      <c r="AC58" s="706">
        <f t="shared" si="53"/>
        <v>228357.9666666667</v>
      </c>
      <c r="AD58" s="706">
        <f>VLOOKUP("*"&amp;$B58&amp;"*",'S4 - Summ PRS Characteristics'!$C$5:$Q$12,14,FALSE)*$J58</f>
        <v>18.586560664006996</v>
      </c>
      <c r="AE58" s="706">
        <f>$J58-AD58</f>
        <v>196.41343933599302</v>
      </c>
      <c r="AF58" s="706">
        <f>IF($C58="other",(1-$C56)*AD58,(1-(VLOOKUP($C58,'S3 - Screening Tool Metrics'!$C$3:$G$17,5,FALSE)/100))*AD58)</f>
        <v>3.7173121328013985</v>
      </c>
      <c r="AG58" s="706">
        <f>IF($C58="other",$C56*AD58,(VLOOKUP($C58,'S3 - Screening Tool Metrics'!$C$3:$G$17,5,FALSE)/100)*AD58)</f>
        <v>14.869248531205598</v>
      </c>
      <c r="AH58" s="708">
        <f t="shared" si="54"/>
        <v>6.9159295493979522</v>
      </c>
      <c r="AI58" s="707">
        <f t="shared" si="55"/>
        <v>45671.593333333338</v>
      </c>
      <c r="AJ58" s="706">
        <f>VLOOKUP("*"&amp;$B58&amp;"*",'S4 - Summ PRS Characteristics'!$C$5:$Q$12,15,FALSE)*$J58</f>
        <v>4.3977895680872363</v>
      </c>
      <c r="AK58" s="706">
        <f t="shared" ref="AK58:AK70" si="59">$J58-AJ58</f>
        <v>210.60221043191277</v>
      </c>
      <c r="AL58" s="706">
        <f>IF($C58="other",(1-$C56)*AJ58,(1-(VLOOKUP($C58,'S3 - Screening Tool Metrics'!$C$3:$G$17,5,FALSE)/100))*AJ58)</f>
        <v>0.87955791361744706</v>
      </c>
      <c r="AM58" s="706">
        <f>IF($C58="other",$C56*AJ58,(VLOOKUP($C58,'S3 - Screening Tool Metrics'!$C$3:$G$17,5,FALSE)/100)*AJ58)</f>
        <v>3.5182316544697891</v>
      </c>
      <c r="AN58" s="709">
        <f t="shared" si="56"/>
        <v>1.6363868160324602</v>
      </c>
    </row>
    <row r="59" spans="2:40" x14ac:dyDescent="0.15">
      <c r="B59" s="700" t="s">
        <v>12</v>
      </c>
      <c r="C59" s="721" t="str">
        <f>$C57</f>
        <v>Other</v>
      </c>
      <c r="D59" s="552" t="s">
        <v>194</v>
      </c>
      <c r="E59" s="710">
        <f>VLOOKUP($B59&amp;"_"&amp;$D59,'App5 - CRUK Inci Rates'!C:H,6,FALSE)</f>
        <v>10.199999999999999</v>
      </c>
      <c r="F59" s="711">
        <f>VLOOKUP($B59&amp;"_"&amp;$D59,'App5 - CRUK Inci Rates'!C:H,3,FALSE)</f>
        <v>7.3</v>
      </c>
      <c r="G59" s="712">
        <f>VLOOKUP($B59&amp;"_"&amp;$D59,'App5 - CRUK Inci Rates'!C:J,8,FALSE)</f>
        <v>4658110.666666666</v>
      </c>
      <c r="H59" s="713">
        <f>VLOOKUP($B59&amp;"_"&amp;$D59,'App5 - CRUK Inci Rates'!C:J,7,FALSE)</f>
        <v>2293472.6666666665</v>
      </c>
      <c r="I59" s="713">
        <f>VLOOKUP($B59&amp;"_"&amp;$D59,'App5 - CRUK Inci Rates'!C:J,4,FALSE)</f>
        <v>2364638</v>
      </c>
      <c r="J59" s="709">
        <f>VLOOKUP($B59&amp;"_"&amp;$D59,'App5 - CRUK Inci Rates'!C:K,9,FALSE)</f>
        <v>409</v>
      </c>
      <c r="K59" s="706">
        <f t="shared" si="8"/>
        <v>2329055.333333333</v>
      </c>
      <c r="L59" s="706">
        <f>VLOOKUP("*"&amp;$B59&amp;"*",'S4 - Summ PRS Characteristics'!$C$5:$Q$12,11,FALSE)*$J59</f>
        <v>249.89542486276909</v>
      </c>
      <c r="M59" s="706">
        <f t="shared" si="9"/>
        <v>159.10457513723091</v>
      </c>
      <c r="N59" s="706">
        <f>IF($C59="other",(1-$C$7)*L59,(1-(VLOOKUP($C59,'S3 - Screening Tool Metrics'!$C$3:$G$17,5,FALSE)/100))*L59)</f>
        <v>49.979084972553807</v>
      </c>
      <c r="O59" s="706">
        <f>IF($C59="other",$C$7*L59,(VLOOKUP($C59,'S3 - Screening Tool Metrics'!$C$3:$G$17,5,FALSE)/100)*L59)</f>
        <v>199.91633989021528</v>
      </c>
      <c r="P59" s="706">
        <f t="shared" si="10"/>
        <v>48.879300706654107</v>
      </c>
      <c r="Q59" s="707">
        <f t="shared" si="49"/>
        <v>931622.1333333333</v>
      </c>
      <c r="R59" s="706">
        <f>VLOOKUP("*"&amp;$B59&amp;"*",'S4 - Summ PRS Characteristics'!$C$5:$Q$12,12,FALSE)*$J59</f>
        <v>117.72492507905893</v>
      </c>
      <c r="S59" s="706">
        <f t="shared" si="57"/>
        <v>291.27507492094105</v>
      </c>
      <c r="T59" s="706">
        <f>IF($C59="other",(1-$C56)*R59,(1-(VLOOKUP($C59,'S3 - Screening Tool Metrics'!$C$3:$G$17,5,FALSE)/100))*R59)</f>
        <v>23.544985015811783</v>
      </c>
      <c r="U59" s="706">
        <f>IF($C59="other",$C56*R59,(VLOOKUP($C59,'S3 - Screening Tool Metrics'!$C$3:$G$17,5,FALSE)/100)*R59)</f>
        <v>94.179940063247159</v>
      </c>
      <c r="V59" s="708">
        <f t="shared" si="50"/>
        <v>23.026880211062874</v>
      </c>
      <c r="W59" s="707">
        <f t="shared" si="51"/>
        <v>465811.06666666665</v>
      </c>
      <c r="X59" s="706">
        <f>VLOOKUP("*"&amp;$B59&amp;"*",'S4 - Summ PRS Characteristics'!$C$5:$Q$12,13,FALSE)*$J59</f>
        <v>64.924837561522978</v>
      </c>
      <c r="Y59" s="706">
        <f t="shared" si="58"/>
        <v>344.07516243847704</v>
      </c>
      <c r="Z59" s="706">
        <f>IF($C59="other",(1-$C56)*X59,(1-(VLOOKUP($C59,'S3 - Screening Tool Metrics'!$C$3:$G$17,5,FALSE)/100))*X59)</f>
        <v>12.984967512304593</v>
      </c>
      <c r="AA59" s="706">
        <f>IF($C59="other",$C56*X59,(VLOOKUP($C59,'S3 - Screening Tool Metrics'!$C$3:$G$17,5,FALSE)/100)*X59)</f>
        <v>51.939870049218385</v>
      </c>
      <c r="AB59" s="708">
        <f t="shared" si="52"/>
        <v>12.69923473086024</v>
      </c>
      <c r="AC59" s="706">
        <f t="shared" si="53"/>
        <v>232905.53333333333</v>
      </c>
      <c r="AD59" s="706">
        <f>VLOOKUP("*"&amp;$B59&amp;"*",'S4 - Summ PRS Characteristics'!$C$5:$Q$12,14,FALSE)*$J59</f>
        <v>35.357689821297029</v>
      </c>
      <c r="AE59" s="706">
        <f t="shared" ref="AE59:AE70" si="60">$J59-AD59</f>
        <v>373.64231017870299</v>
      </c>
      <c r="AF59" s="706">
        <f>IF($C59="other",(1-$C56)*AD59,(1-(VLOOKUP($C59,'S3 - Screening Tool Metrics'!$C$3:$G$17,5,FALSE)/100))*AD59)</f>
        <v>7.0715379642594041</v>
      </c>
      <c r="AG59" s="706">
        <f>IF($C59="other",$C56*AD59,(VLOOKUP($C59,'S3 - Screening Tool Metrics'!$C$3:$G$17,5,FALSE)/100)*AD59)</f>
        <v>28.286151857037623</v>
      </c>
      <c r="AH59" s="708">
        <f t="shared" si="54"/>
        <v>6.9159295493979522</v>
      </c>
      <c r="AI59" s="707">
        <f t="shared" si="55"/>
        <v>46581.106666666659</v>
      </c>
      <c r="AJ59" s="706">
        <f>VLOOKUP("*"&amp;$B59&amp;"*",'S4 - Summ PRS Characteristics'!$C$5:$Q$12,15,FALSE)*$J59</f>
        <v>8.3660275969659512</v>
      </c>
      <c r="AK59" s="706">
        <f t="shared" si="59"/>
        <v>400.63397240303402</v>
      </c>
      <c r="AL59" s="706">
        <f>IF($C59="other",(1-$C56)*AJ59,(1-(VLOOKUP($C59,'S3 - Screening Tool Metrics'!$C$3:$G$17,5,FALSE)/100))*AJ59)</f>
        <v>1.6732055193931898</v>
      </c>
      <c r="AM59" s="706">
        <f>IF($C59="other",$C56*AJ59,(VLOOKUP($C59,'S3 - Screening Tool Metrics'!$C$3:$G$17,5,FALSE)/100)*AJ59)</f>
        <v>6.6928220775727612</v>
      </c>
      <c r="AN59" s="709">
        <f t="shared" si="56"/>
        <v>1.6363868160324602</v>
      </c>
    </row>
    <row r="60" spans="2:40" x14ac:dyDescent="0.15">
      <c r="B60" s="700" t="s">
        <v>12</v>
      </c>
      <c r="C60" s="721" t="str">
        <f>$C57</f>
        <v>Other</v>
      </c>
      <c r="D60" s="552" t="s">
        <v>195</v>
      </c>
      <c r="E60" s="710">
        <f>VLOOKUP($B60&amp;"_"&amp;$D60,'App5 - CRUK Inci Rates'!C:H,6,FALSE)</f>
        <v>18.3</v>
      </c>
      <c r="F60" s="711">
        <f>VLOOKUP($B60&amp;"_"&amp;$D60,'App5 - CRUK Inci Rates'!C:H,3,FALSE)</f>
        <v>13.6</v>
      </c>
      <c r="G60" s="712">
        <f>VLOOKUP($B60&amp;"_"&amp;$D60,'App5 - CRUK Inci Rates'!C:J,8,FALSE)</f>
        <v>4181606</v>
      </c>
      <c r="H60" s="713">
        <f>VLOOKUP($B60&amp;"_"&amp;$D60,'App5 - CRUK Inci Rates'!C:J,7,FALSE)</f>
        <v>2061918.6666666667</v>
      </c>
      <c r="I60" s="713">
        <f>VLOOKUP($B60&amp;"_"&amp;$D60,'App5 - CRUK Inci Rates'!C:J,4,FALSE)</f>
        <v>2119687.3333333335</v>
      </c>
      <c r="J60" s="709">
        <f>VLOOKUP($B60&amp;"_"&amp;$D60,'App5 - CRUK Inci Rates'!C:K,9,FALSE)</f>
        <v>666</v>
      </c>
      <c r="K60" s="706">
        <f t="shared" si="8"/>
        <v>2090803</v>
      </c>
      <c r="L60" s="706">
        <f>VLOOKUP("*"&amp;$B60&amp;"*",'S4 - Summ PRS Characteristics'!$C$5:$Q$12,11,FALSE)*$J60</f>
        <v>406.92017838289541</v>
      </c>
      <c r="M60" s="706">
        <f t="shared" si="9"/>
        <v>259.07982161710459</v>
      </c>
      <c r="N60" s="706">
        <f>IF($C60="other",(1-$C$7)*L60,(1-(VLOOKUP($C60,'S3 - Screening Tool Metrics'!$C$3:$G$17,5,FALSE)/100))*L60)</f>
        <v>81.38403567657906</v>
      </c>
      <c r="O60" s="706">
        <f>IF($C60="other",$C$7*L60,(VLOOKUP($C60,'S3 - Screening Tool Metrics'!$C$3:$G$17,5,FALSE)/100)*L60)</f>
        <v>325.53614270631635</v>
      </c>
      <c r="P60" s="706">
        <f t="shared" si="10"/>
        <v>48.879300706654107</v>
      </c>
      <c r="Q60" s="707">
        <f t="shared" si="49"/>
        <v>836321.20000000007</v>
      </c>
      <c r="R60" s="706">
        <f>VLOOKUP("*"&amp;$B60&amp;"*",'S4 - Summ PRS Characteristics'!$C$5:$Q$12,12,FALSE)*$J60</f>
        <v>191.69877775709841</v>
      </c>
      <c r="S60" s="706">
        <f t="shared" si="57"/>
        <v>474.30122224290159</v>
      </c>
      <c r="T60" s="706">
        <f>IF($C60="other",(1-$C56)*R60,(1-(VLOOKUP($C60,'S3 - Screening Tool Metrics'!$C$3:$G$17,5,FALSE)/100))*R60)</f>
        <v>38.339755551419671</v>
      </c>
      <c r="U60" s="706">
        <f>IF($C60="other",$C56*R60,(VLOOKUP($C60,'S3 - Screening Tool Metrics'!$C$3:$G$17,5,FALSE)/100)*R60)</f>
        <v>153.35902220567874</v>
      </c>
      <c r="V60" s="708">
        <f t="shared" si="50"/>
        <v>23.026880211062874</v>
      </c>
      <c r="W60" s="707">
        <f t="shared" si="51"/>
        <v>418160.60000000003</v>
      </c>
      <c r="X60" s="706">
        <f>VLOOKUP("*"&amp;$B60&amp;"*",'S4 - Summ PRS Characteristics'!$C$5:$Q$12,13,FALSE)*$J60</f>
        <v>105.7211291344115</v>
      </c>
      <c r="Y60" s="706">
        <f t="shared" si="58"/>
        <v>560.27887086558849</v>
      </c>
      <c r="Z60" s="706">
        <f>IF($C60="other",(1-$C56)*X60,(1-(VLOOKUP($C60,'S3 - Screening Tool Metrics'!$C$3:$G$17,5,FALSE)/100))*X60)</f>
        <v>21.144225826882295</v>
      </c>
      <c r="AA60" s="706">
        <f>IF($C60="other",$C56*X60,(VLOOKUP($C60,'S3 - Screening Tool Metrics'!$C$3:$G$17,5,FALSE)/100)*X60)</f>
        <v>84.576903307529207</v>
      </c>
      <c r="AB60" s="708">
        <f t="shared" si="52"/>
        <v>12.699234730860242</v>
      </c>
      <c r="AC60" s="706">
        <f t="shared" si="53"/>
        <v>209080.30000000002</v>
      </c>
      <c r="AD60" s="706">
        <f>VLOOKUP("*"&amp;$B60&amp;"*",'S4 - Summ PRS Characteristics'!$C$5:$Q$12,14,FALSE)*$J60</f>
        <v>57.575113498737956</v>
      </c>
      <c r="AE60" s="706">
        <f t="shared" si="60"/>
        <v>608.42488650126199</v>
      </c>
      <c r="AF60" s="706">
        <f>IF($C60="other",(1-$C56)*AD60,(1-(VLOOKUP($C60,'S3 - Screening Tool Metrics'!$C$3:$G$17,5,FALSE)/100))*AD60)</f>
        <v>11.515022699747588</v>
      </c>
      <c r="AG60" s="706">
        <f>IF($C60="other",$C56*AD60,(VLOOKUP($C60,'S3 - Screening Tool Metrics'!$C$3:$G$17,5,FALSE)/100)*AD60)</f>
        <v>46.060090798990366</v>
      </c>
      <c r="AH60" s="708">
        <f t="shared" si="54"/>
        <v>6.9159295493979531</v>
      </c>
      <c r="AI60" s="707">
        <f t="shared" si="55"/>
        <v>41816.06</v>
      </c>
      <c r="AJ60" s="706">
        <f>VLOOKUP("*"&amp;$B60&amp;"*",'S4 - Summ PRS Characteristics'!$C$5:$Q$12,15,FALSE)*$J60</f>
        <v>13.622920243470229</v>
      </c>
      <c r="AK60" s="706">
        <f t="shared" si="59"/>
        <v>652.37707975652972</v>
      </c>
      <c r="AL60" s="706">
        <f>IF($C60="other",(1-$C56)*AJ60,(1-(VLOOKUP($C60,'S3 - Screening Tool Metrics'!$C$3:$G$17,5,FALSE)/100))*AJ60)</f>
        <v>2.7245840486940454</v>
      </c>
      <c r="AM60" s="706">
        <f>IF($C60="other",$C56*AJ60,(VLOOKUP($C60,'S3 - Screening Tool Metrics'!$C$3:$G$17,5,FALSE)/100)*AJ60)</f>
        <v>10.898336194776185</v>
      </c>
      <c r="AN60" s="709">
        <f t="shared" si="56"/>
        <v>1.6363868160324602</v>
      </c>
    </row>
    <row r="61" spans="2:40" x14ac:dyDescent="0.15">
      <c r="B61" s="700" t="s">
        <v>12</v>
      </c>
      <c r="C61" s="721" t="str">
        <f>$C57</f>
        <v>Other</v>
      </c>
      <c r="D61" s="552" t="s">
        <v>196</v>
      </c>
      <c r="E61" s="710">
        <f>VLOOKUP($B61&amp;"_"&amp;$D61,'App5 - CRUK Inci Rates'!C:H,6,FALSE)</f>
        <v>29.2</v>
      </c>
      <c r="F61" s="711">
        <f>VLOOKUP($B61&amp;"_"&amp;$D61,'App5 - CRUK Inci Rates'!C:H,3,FALSE)</f>
        <v>22.4</v>
      </c>
      <c r="G61" s="712">
        <f>VLOOKUP($B61&amp;"_"&amp;$D61,'App5 - CRUK Inci Rates'!C:J,8,FALSE)</f>
        <v>3602002</v>
      </c>
      <c r="H61" s="713">
        <f>VLOOKUP($B61&amp;"_"&amp;$D61,'App5 - CRUK Inci Rates'!C:J,7,FALSE)</f>
        <v>1764828</v>
      </c>
      <c r="I61" s="713">
        <f>VLOOKUP($B61&amp;"_"&amp;$D61,'App5 - CRUK Inci Rates'!C:J,4,FALSE)</f>
        <v>1837174</v>
      </c>
      <c r="J61" s="709">
        <f>VLOOKUP($B61&amp;"_"&amp;$D61,'App5 - CRUK Inci Rates'!C:K,9,FALSE)</f>
        <v>926</v>
      </c>
      <c r="K61" s="706">
        <f t="shared" si="8"/>
        <v>1801001</v>
      </c>
      <c r="L61" s="706">
        <f>VLOOKUP("*"&amp;$B61&amp;"*",'S4 - Summ PRS Characteristics'!$C$5:$Q$12,11,FALSE)*$J61</f>
        <v>565.77790567952127</v>
      </c>
      <c r="M61" s="706">
        <f t="shared" si="9"/>
        <v>360.22209432047873</v>
      </c>
      <c r="N61" s="706">
        <f>IF($C61="other",(1-$C$7)*L61,(1-(VLOOKUP($C61,'S3 - Screening Tool Metrics'!$C$3:$G$17,5,FALSE)/100))*L61)</f>
        <v>113.15558113590423</v>
      </c>
      <c r="O61" s="706">
        <f>IF($C61="other",$C$7*L61,(VLOOKUP($C61,'S3 - Screening Tool Metrics'!$C$3:$G$17,5,FALSE)/100)*L61)</f>
        <v>452.62232454361703</v>
      </c>
      <c r="P61" s="706">
        <f t="shared" si="10"/>
        <v>48.879300706654107</v>
      </c>
      <c r="Q61" s="707">
        <f t="shared" si="49"/>
        <v>720400.4</v>
      </c>
      <c r="R61" s="706">
        <f>VLOOKUP("*"&amp;$B61&amp;"*",'S4 - Summ PRS Characteristics'!$C$5:$Q$12,12,FALSE)*$J61</f>
        <v>266.53613844305272</v>
      </c>
      <c r="S61" s="706">
        <f t="shared" si="57"/>
        <v>659.46386155694722</v>
      </c>
      <c r="T61" s="706">
        <f>IF($C61="other",(1-$C56)*R61,(1-(VLOOKUP($C61,'S3 - Screening Tool Metrics'!$C$3:$G$17,5,FALSE)/100))*R61)</f>
        <v>53.307227688610531</v>
      </c>
      <c r="U61" s="706">
        <f>IF($C61="other",$C56*R61,(VLOOKUP($C61,'S3 - Screening Tool Metrics'!$C$3:$G$17,5,FALSE)/100)*R61)</f>
        <v>213.22891075444218</v>
      </c>
      <c r="V61" s="708">
        <f t="shared" si="50"/>
        <v>23.026880211062871</v>
      </c>
      <c r="W61" s="707">
        <f t="shared" si="51"/>
        <v>360200.2</v>
      </c>
      <c r="X61" s="706">
        <f>VLOOKUP("*"&amp;$B61&amp;"*",'S4 - Summ PRS Characteristics'!$C$5:$Q$12,13,FALSE)*$J61</f>
        <v>146.99364200970729</v>
      </c>
      <c r="Y61" s="706">
        <f t="shared" si="58"/>
        <v>779.00635799029271</v>
      </c>
      <c r="Z61" s="706">
        <f>IF($C61="other",(1-$C56)*X61,(1-(VLOOKUP($C61,'S3 - Screening Tool Metrics'!$C$3:$G$17,5,FALSE)/100))*X61)</f>
        <v>29.398728401941451</v>
      </c>
      <c r="AA61" s="706">
        <f>IF($C61="other",$C56*X61,(VLOOKUP($C61,'S3 - Screening Tool Metrics'!$C$3:$G$17,5,FALSE)/100)*X61)</f>
        <v>117.59491360776583</v>
      </c>
      <c r="AB61" s="708">
        <f t="shared" si="52"/>
        <v>12.69923473086024</v>
      </c>
      <c r="AC61" s="706">
        <f t="shared" si="53"/>
        <v>180100.1</v>
      </c>
      <c r="AD61" s="706">
        <f>VLOOKUP("*"&amp;$B61&amp;"*",'S4 - Summ PRS Characteristics'!$C$5:$Q$12,14,FALSE)*$J61</f>
        <v>80.051884534281299</v>
      </c>
      <c r="AE61" s="706">
        <f t="shared" si="60"/>
        <v>845.94811546571873</v>
      </c>
      <c r="AF61" s="706">
        <f>IF($C61="other",(1-$C56)*AD61,(1-(VLOOKUP($C61,'S3 - Screening Tool Metrics'!$C$3:$G$17,5,FALSE)/100))*AD61)</f>
        <v>16.010376906856255</v>
      </c>
      <c r="AG61" s="706">
        <f>IF($C61="other",$C56*AD61,(VLOOKUP($C61,'S3 - Screening Tool Metrics'!$C$3:$G$17,5,FALSE)/100)*AD61)</f>
        <v>64.041507627425048</v>
      </c>
      <c r="AH61" s="708">
        <f t="shared" si="54"/>
        <v>6.9159295493979531</v>
      </c>
      <c r="AI61" s="707">
        <f t="shared" si="55"/>
        <v>36020.020000000004</v>
      </c>
      <c r="AJ61" s="706">
        <f>VLOOKUP("*"&amp;$B61&amp;"*",'S4 - Summ PRS Characteristics'!$C$5:$Q$12,15,FALSE)*$J61</f>
        <v>18.941177395575725</v>
      </c>
      <c r="AK61" s="706">
        <f t="shared" si="59"/>
        <v>907.05882260442422</v>
      </c>
      <c r="AL61" s="706">
        <f>IF($C61="other",(1-$C56)*AJ61,(1-(VLOOKUP($C61,'S3 - Screening Tool Metrics'!$C$3:$G$17,5,FALSE)/100))*AJ61)</f>
        <v>3.7882354791151442</v>
      </c>
      <c r="AM61" s="706">
        <f>IF($C61="other",$C56*AJ61,(VLOOKUP($C61,'S3 - Screening Tool Metrics'!$C$3:$G$17,5,FALSE)/100)*AJ61)</f>
        <v>15.152941916460581</v>
      </c>
      <c r="AN61" s="709">
        <f t="shared" si="56"/>
        <v>1.6363868160324602</v>
      </c>
    </row>
    <row r="62" spans="2:40" x14ac:dyDescent="0.15">
      <c r="B62" s="700" t="s">
        <v>12</v>
      </c>
      <c r="C62" s="721" t="str">
        <f>$C57</f>
        <v>Other</v>
      </c>
      <c r="D62" s="552" t="s">
        <v>197</v>
      </c>
      <c r="E62" s="710">
        <f>VLOOKUP($B62&amp;"_"&amp;$D62,'App5 - CRUK Inci Rates'!C:H,6,FALSE)</f>
        <v>47.2</v>
      </c>
      <c r="F62" s="711">
        <f>VLOOKUP($B62&amp;"_"&amp;$D62,'App5 - CRUK Inci Rates'!C:H,3,FALSE)</f>
        <v>34.1</v>
      </c>
      <c r="G62" s="712">
        <f>VLOOKUP($B62&amp;"_"&amp;$D62,'App5 - CRUK Inci Rates'!C:J,8,FALSE)</f>
        <v>3502183.333333333</v>
      </c>
      <c r="H62" s="713">
        <f>VLOOKUP($B62&amp;"_"&amp;$D62,'App5 - CRUK Inci Rates'!C:J,7,FALSE)</f>
        <v>1696993.3333333333</v>
      </c>
      <c r="I62" s="713">
        <f>VLOOKUP($B62&amp;"_"&amp;$D62,'App5 - CRUK Inci Rates'!C:J,4,FALSE)</f>
        <v>1805190</v>
      </c>
      <c r="J62" s="709">
        <f>VLOOKUP($B62&amp;"_"&amp;$D62,'App5 - CRUK Inci Rates'!C:K,9,FALSE)</f>
        <v>1417</v>
      </c>
      <c r="K62" s="706">
        <f t="shared" si="8"/>
        <v>1751091.6666666665</v>
      </c>
      <c r="L62" s="706">
        <f>VLOOKUP("*"&amp;$B62&amp;"*",'S4 - Summ PRS Characteristics'!$C$5:$Q$12,11,FALSE)*$J62</f>
        <v>865.77461376661086</v>
      </c>
      <c r="M62" s="706">
        <f t="shared" si="9"/>
        <v>551.22538623338914</v>
      </c>
      <c r="N62" s="706">
        <f>IF($C62="other",(1-$C$7)*L62,(1-(VLOOKUP($C62,'S3 - Screening Tool Metrics'!$C$3:$G$17,5,FALSE)/100))*L62)</f>
        <v>173.15492275332213</v>
      </c>
      <c r="O62" s="706">
        <f>IF($C62="other",$C$7*L62,(VLOOKUP($C62,'S3 - Screening Tool Metrics'!$C$3:$G$17,5,FALSE)/100)*L62)</f>
        <v>692.61969101328873</v>
      </c>
      <c r="P62" s="706">
        <f t="shared" si="10"/>
        <v>48.879300706654114</v>
      </c>
      <c r="Q62" s="707">
        <f t="shared" si="49"/>
        <v>700436.66666666663</v>
      </c>
      <c r="R62" s="706">
        <f>VLOOKUP("*"&amp;$B62&amp;"*",'S4 - Summ PRS Characteristics'!$C$5:$Q$12,12,FALSE)*$J62</f>
        <v>407.86361573845113</v>
      </c>
      <c r="S62" s="706">
        <f t="shared" si="57"/>
        <v>1009.1363842615489</v>
      </c>
      <c r="T62" s="706">
        <f>IF($C62="other",(1-$C56)*R62,(1-(VLOOKUP($C62,'S3 - Screening Tool Metrics'!$C$3:$G$17,5,FALSE)/100))*R62)</f>
        <v>81.572723147690212</v>
      </c>
      <c r="U62" s="706">
        <f>IF($C62="other",$C56*R62,(VLOOKUP($C62,'S3 - Screening Tool Metrics'!$C$3:$G$17,5,FALSE)/100)*R62)</f>
        <v>326.2908925907609</v>
      </c>
      <c r="V62" s="708">
        <f t="shared" si="50"/>
        <v>23.026880211062874</v>
      </c>
      <c r="W62" s="707">
        <f t="shared" si="51"/>
        <v>350218.33333333331</v>
      </c>
      <c r="X62" s="706">
        <f>VLOOKUP("*"&amp;$B62&amp;"*",'S4 - Summ PRS Characteristics'!$C$5:$Q$12,13,FALSE)*$J62</f>
        <v>224.93519517036202</v>
      </c>
      <c r="Y62" s="706">
        <f t="shared" si="58"/>
        <v>1192.064804829638</v>
      </c>
      <c r="Z62" s="706">
        <f>IF($C62="other",(1-$C56)*X62,(1-(VLOOKUP($C62,'S3 - Screening Tool Metrics'!$C$3:$G$17,5,FALSE)/100))*X62)</f>
        <v>44.987039034072396</v>
      </c>
      <c r="AA62" s="706">
        <f>IF($C62="other",$C56*X62,(VLOOKUP($C62,'S3 - Screening Tool Metrics'!$C$3:$G$17,5,FALSE)/100)*X62)</f>
        <v>179.94815613628964</v>
      </c>
      <c r="AB62" s="708">
        <f t="shared" si="52"/>
        <v>12.699234730860242</v>
      </c>
      <c r="AC62" s="706">
        <f t="shared" si="53"/>
        <v>175109.16666666666</v>
      </c>
      <c r="AD62" s="706">
        <f>VLOOKUP("*"&amp;$B62&amp;"*",'S4 - Summ PRS Characteristics'!$C$5:$Q$12,14,FALSE)*$J62</f>
        <v>122.49840214371123</v>
      </c>
      <c r="AE62" s="706">
        <f t="shared" si="60"/>
        <v>1294.5015978562888</v>
      </c>
      <c r="AF62" s="706">
        <f>IF($C62="other",(1-$C56)*AD62,(1-(VLOOKUP($C62,'S3 - Screening Tool Metrics'!$C$3:$G$17,5,FALSE)/100))*AD62)</f>
        <v>24.499680428742241</v>
      </c>
      <c r="AG62" s="706">
        <f>IF($C62="other",$C56*AD62,(VLOOKUP($C62,'S3 - Screening Tool Metrics'!$C$3:$G$17,5,FALSE)/100)*AD62)</f>
        <v>97.998721714968994</v>
      </c>
      <c r="AH62" s="708">
        <f t="shared" si="54"/>
        <v>6.9159295493979531</v>
      </c>
      <c r="AI62" s="707">
        <f t="shared" si="55"/>
        <v>35021.833333333328</v>
      </c>
      <c r="AJ62" s="706">
        <f>VLOOKUP("*"&amp;$B62&amp;"*",'S4 - Summ PRS Characteristics'!$C$5:$Q$12,15,FALSE)*$J62</f>
        <v>28.984501478974945</v>
      </c>
      <c r="AK62" s="706">
        <f t="shared" si="59"/>
        <v>1388.0154985210252</v>
      </c>
      <c r="AL62" s="706">
        <f>IF($C62="other",(1-$C56)*AJ62,(1-(VLOOKUP($C62,'S3 - Screening Tool Metrics'!$C$3:$G$17,5,FALSE)/100))*AJ62)</f>
        <v>5.7969002957949876</v>
      </c>
      <c r="AM62" s="706">
        <f>IF($C62="other",$C56*AJ62,(VLOOKUP($C62,'S3 - Screening Tool Metrics'!$C$3:$G$17,5,FALSE)/100)*AJ62)</f>
        <v>23.187601183179957</v>
      </c>
      <c r="AN62" s="709">
        <f t="shared" si="56"/>
        <v>1.6363868160324602</v>
      </c>
    </row>
    <row r="63" spans="2:40" x14ac:dyDescent="0.15">
      <c r="B63" s="700" t="s">
        <v>12</v>
      </c>
      <c r="C63" s="721" t="str">
        <f>$C57</f>
        <v>Other</v>
      </c>
      <c r="D63" s="552" t="s">
        <v>198</v>
      </c>
      <c r="E63" s="710">
        <f>VLOOKUP($B63&amp;"_"&amp;$D63,'App5 - CRUK Inci Rates'!C:H,6,FALSE)</f>
        <v>66.400000000000006</v>
      </c>
      <c r="F63" s="711">
        <f>VLOOKUP($B63&amp;"_"&amp;$D63,'App5 - CRUK Inci Rates'!C:H,3,FALSE)</f>
        <v>48.8</v>
      </c>
      <c r="G63" s="712">
        <f>VLOOKUP($B63&amp;"_"&amp;$D63,'App5 - CRUK Inci Rates'!C:J,8,FALSE)</f>
        <v>3071574.666666667</v>
      </c>
      <c r="H63" s="713">
        <f>VLOOKUP($B63&amp;"_"&amp;$D63,'App5 - CRUK Inci Rates'!C:J,7,FALSE)</f>
        <v>1467965</v>
      </c>
      <c r="I63" s="713">
        <f>VLOOKUP($B63&amp;"_"&amp;$D63,'App5 - CRUK Inci Rates'!C:J,4,FALSE)</f>
        <v>1603609.6666666667</v>
      </c>
      <c r="J63" s="709">
        <f>VLOOKUP($B63&amp;"_"&amp;$D63,'App5 - CRUK Inci Rates'!C:K,9,FALSE)</f>
        <v>1757</v>
      </c>
      <c r="K63" s="706">
        <f t="shared" si="8"/>
        <v>1535787.3333333335</v>
      </c>
      <c r="L63" s="706">
        <f>VLOOKUP("*"&amp;$B63&amp;"*",'S4 - Summ PRS Characteristics'!$C$5:$Q$12,11,FALSE)*$J63</f>
        <v>1073.5116417698907</v>
      </c>
      <c r="M63" s="706">
        <f t="shared" si="9"/>
        <v>683.48835823010927</v>
      </c>
      <c r="N63" s="706">
        <f>IF($C63="other",(1-$C$7)*L63,(1-(VLOOKUP($C63,'S3 - Screening Tool Metrics'!$C$3:$G$17,5,FALSE)/100))*L63)</f>
        <v>214.70232835397809</v>
      </c>
      <c r="O63" s="706">
        <f>IF($C63="other",$C$7*L63,(VLOOKUP($C63,'S3 - Screening Tool Metrics'!$C$3:$G$17,5,FALSE)/100)*L63)</f>
        <v>858.80931341591258</v>
      </c>
      <c r="P63" s="706">
        <f t="shared" si="10"/>
        <v>48.879300706654107</v>
      </c>
      <c r="Q63" s="707">
        <f t="shared" si="49"/>
        <v>614314.93333333347</v>
      </c>
      <c r="R63" s="706">
        <f>VLOOKUP("*"&amp;$B63&amp;"*",'S4 - Summ PRS Characteristics'!$C$5:$Q$12,12,FALSE)*$J63</f>
        <v>505.72785663546836</v>
      </c>
      <c r="S63" s="706">
        <f t="shared" si="57"/>
        <v>1251.2721433645315</v>
      </c>
      <c r="T63" s="706">
        <f>IF($C63="other",(1-$C56)*R63,(1-(VLOOKUP($C63,'S3 - Screening Tool Metrics'!$C$3:$G$17,5,FALSE)/100))*R63)</f>
        <v>101.14557132709365</v>
      </c>
      <c r="U63" s="706">
        <f>IF($C63="other",$C56*R63,(VLOOKUP($C63,'S3 - Screening Tool Metrics'!$C$3:$G$17,5,FALSE)/100)*R63)</f>
        <v>404.58228530837471</v>
      </c>
      <c r="V63" s="708">
        <f t="shared" si="50"/>
        <v>23.026880211062874</v>
      </c>
      <c r="W63" s="707">
        <f t="shared" si="51"/>
        <v>307157.46666666673</v>
      </c>
      <c r="X63" s="706">
        <f>VLOOKUP("*"&amp;$B63&amp;"*",'S4 - Summ PRS Characteristics'!$C$5:$Q$12,13,FALSE)*$J63</f>
        <v>278.90694277651801</v>
      </c>
      <c r="Y63" s="706">
        <f t="shared" si="58"/>
        <v>1478.093057223482</v>
      </c>
      <c r="Z63" s="706">
        <f>IF($C63="other",(1-$C56)*X63,(1-(VLOOKUP($C63,'S3 - Screening Tool Metrics'!$C$3:$G$17,5,FALSE)/100))*X63)</f>
        <v>55.781388555303586</v>
      </c>
      <c r="AA63" s="706">
        <f>IF($C63="other",$C56*X63,(VLOOKUP($C63,'S3 - Screening Tool Metrics'!$C$3:$G$17,5,FALSE)/100)*X63)</f>
        <v>223.12555422121443</v>
      </c>
      <c r="AB63" s="708">
        <f t="shared" si="52"/>
        <v>12.69923473086024</v>
      </c>
      <c r="AC63" s="706">
        <f t="shared" si="53"/>
        <v>153578.73333333337</v>
      </c>
      <c r="AD63" s="706">
        <f>VLOOKUP("*"&amp;$B63&amp;"*",'S4 - Summ PRS Characteristics'!$C$5:$Q$12,14,FALSE)*$J63</f>
        <v>151.89110272865253</v>
      </c>
      <c r="AE63" s="706">
        <f t="shared" si="60"/>
        <v>1605.1088972713474</v>
      </c>
      <c r="AF63" s="706">
        <f>IF($C63="other",(1-$C56)*AD63,(1-(VLOOKUP($C63,'S3 - Screening Tool Metrics'!$C$3:$G$17,5,FALSE)/100))*AD63)</f>
        <v>30.3782205457305</v>
      </c>
      <c r="AG63" s="706">
        <f>IF($C63="other",$C56*AD63,(VLOOKUP($C63,'S3 - Screening Tool Metrics'!$C$3:$G$17,5,FALSE)/100)*AD63)</f>
        <v>121.51288218292203</v>
      </c>
      <c r="AH63" s="708">
        <f t="shared" si="54"/>
        <v>6.9159295493979522</v>
      </c>
      <c r="AI63" s="707">
        <f t="shared" si="55"/>
        <v>30715.74666666667</v>
      </c>
      <c r="AJ63" s="706">
        <f>VLOOKUP("*"&amp;$B63&amp;"*",'S4 - Summ PRS Characteristics'!$C$5:$Q$12,15,FALSE)*$J63</f>
        <v>35.939145447112899</v>
      </c>
      <c r="AK63" s="706">
        <f t="shared" si="59"/>
        <v>1721.0608545528871</v>
      </c>
      <c r="AL63" s="706">
        <f>IF($C63="other",(1-$C56)*AJ63,(1-(VLOOKUP($C63,'S3 - Screening Tool Metrics'!$C$3:$G$17,5,FALSE)/100))*AJ63)</f>
        <v>7.1878290894225785</v>
      </c>
      <c r="AM63" s="706">
        <f>IF($C63="other",$C56*AJ63,(VLOOKUP($C63,'S3 - Screening Tool Metrics'!$C$3:$G$17,5,FALSE)/100)*AJ63)</f>
        <v>28.751316357690321</v>
      </c>
      <c r="AN63" s="709">
        <f t="shared" si="56"/>
        <v>1.6363868160324602</v>
      </c>
    </row>
    <row r="64" spans="2:40" x14ac:dyDescent="0.15">
      <c r="B64" s="700" t="s">
        <v>12</v>
      </c>
      <c r="C64" s="721" t="str">
        <f>$C57</f>
        <v>Other</v>
      </c>
      <c r="D64" s="552" t="s">
        <v>199</v>
      </c>
      <c r="E64" s="710">
        <f>VLOOKUP($B64&amp;"_"&amp;$D64,'App5 - CRUK Inci Rates'!C:H,6,FALSE)</f>
        <v>86</v>
      </c>
      <c r="F64" s="711">
        <f>VLOOKUP($B64&amp;"_"&amp;$D64,'App5 - CRUK Inci Rates'!C:H,3,FALSE)</f>
        <v>70.8</v>
      </c>
      <c r="G64" s="712">
        <f>VLOOKUP($B64&amp;"_"&amp;$D64,'App5 - CRUK Inci Rates'!C:J,8,FALSE)</f>
        <v>2189010.6666666665</v>
      </c>
      <c r="H64" s="713">
        <f>VLOOKUP($B64&amp;"_"&amp;$D64,'App5 - CRUK Inci Rates'!C:J,7,FALSE)</f>
        <v>1007365.3333333334</v>
      </c>
      <c r="I64" s="713">
        <f>VLOOKUP($B64&amp;"_"&amp;$D64,'App5 - CRUK Inci Rates'!C:J,4,FALSE)</f>
        <v>1181645.3333333333</v>
      </c>
      <c r="J64" s="709">
        <f>VLOOKUP($B64&amp;"_"&amp;$D64,'App5 - CRUK Inci Rates'!C:K,9,FALSE)</f>
        <v>1702</v>
      </c>
      <c r="K64" s="706">
        <f t="shared" si="8"/>
        <v>1094505.3333333333</v>
      </c>
      <c r="L64" s="706">
        <f>VLOOKUP("*"&amp;$B64&amp;"*",'S4 - Summ PRS Characteristics'!$C$5:$Q$12,11,FALSE)*$J64</f>
        <v>1039.907122534066</v>
      </c>
      <c r="M64" s="706">
        <f t="shared" si="9"/>
        <v>662.09287746593395</v>
      </c>
      <c r="N64" s="706">
        <f>IF($C64="other",(1-$C$7)*L64,(1-(VLOOKUP($C64,'S3 - Screening Tool Metrics'!$C$3:$G$17,5,FALSE)/100))*L64)</f>
        <v>207.98142450681317</v>
      </c>
      <c r="O64" s="706">
        <f>IF($C64="other",$C$7*L64,(VLOOKUP($C64,'S3 - Screening Tool Metrics'!$C$3:$G$17,5,FALSE)/100)*L64)</f>
        <v>831.92569802725291</v>
      </c>
      <c r="P64" s="706">
        <f t="shared" si="10"/>
        <v>48.879300706654107</v>
      </c>
      <c r="Q64" s="707">
        <f t="shared" si="49"/>
        <v>437802.1333333333</v>
      </c>
      <c r="R64" s="706">
        <f>VLOOKUP("*"&amp;$B64&amp;"*",'S4 - Summ PRS Characteristics'!$C$5:$Q$12,12,FALSE)*$J64</f>
        <v>489.89687649036262</v>
      </c>
      <c r="S64" s="706">
        <f t="shared" si="57"/>
        <v>1212.1031235096375</v>
      </c>
      <c r="T64" s="706">
        <f>IF($C64="other",(1-$C56)*R64,(1-(VLOOKUP($C64,'S3 - Screening Tool Metrics'!$C$3:$G$17,5,FALSE)/100))*R64)</f>
        <v>97.979375298072497</v>
      </c>
      <c r="U64" s="706">
        <f>IF($C64="other",$C56*R64,(VLOOKUP($C64,'S3 - Screening Tool Metrics'!$C$3:$G$17,5,FALSE)/100)*R64)</f>
        <v>391.9175011922901</v>
      </c>
      <c r="V64" s="708">
        <f t="shared" si="50"/>
        <v>23.026880211062874</v>
      </c>
      <c r="W64" s="707">
        <f t="shared" si="51"/>
        <v>218901.06666666665</v>
      </c>
      <c r="X64" s="706">
        <f>VLOOKUP("*"&amp;$B64&amp;"*",'S4 - Summ PRS Characteristics'!$C$5:$Q$12,13,FALSE)*$J64</f>
        <v>270.17621889905161</v>
      </c>
      <c r="Y64" s="706">
        <f t="shared" si="58"/>
        <v>1431.8237811009485</v>
      </c>
      <c r="Z64" s="706">
        <f>IF($C64="other",(1-$C56)*X64,(1-(VLOOKUP($C64,'S3 - Screening Tool Metrics'!$C$3:$G$17,5,FALSE)/100))*X64)</f>
        <v>54.035243779810308</v>
      </c>
      <c r="AA64" s="706">
        <f>IF($C64="other",$C56*X64,(VLOOKUP($C64,'S3 - Screening Tool Metrics'!$C$3:$G$17,5,FALSE)/100)*X64)</f>
        <v>216.14097511924129</v>
      </c>
      <c r="AB64" s="708">
        <f t="shared" si="52"/>
        <v>12.69923473086024</v>
      </c>
      <c r="AC64" s="706">
        <f t="shared" si="53"/>
        <v>109450.53333333333</v>
      </c>
      <c r="AD64" s="706">
        <f>VLOOKUP("*"&amp;$B64&amp;"*",'S4 - Summ PRS Characteristics'!$C$5:$Q$12,14,FALSE)*$J64</f>
        <v>147.13640116344143</v>
      </c>
      <c r="AE64" s="706">
        <f t="shared" si="60"/>
        <v>1554.8635988365586</v>
      </c>
      <c r="AF64" s="706">
        <f>IF($C64="other",(1-$C56)*AD64,(1-(VLOOKUP($C64,'S3 - Screening Tool Metrics'!$C$3:$G$17,5,FALSE)/100))*AD64)</f>
        <v>29.427280232688279</v>
      </c>
      <c r="AG64" s="706">
        <f>IF($C64="other",$C56*AD64,(VLOOKUP($C64,'S3 - Screening Tool Metrics'!$C$3:$G$17,5,FALSE)/100)*AD64)</f>
        <v>117.70912093075316</v>
      </c>
      <c r="AH64" s="708">
        <f t="shared" si="54"/>
        <v>6.9159295493979531</v>
      </c>
      <c r="AI64" s="707">
        <f t="shared" si="55"/>
        <v>21890.106666666667</v>
      </c>
      <c r="AJ64" s="706">
        <f>VLOOKUP("*"&amp;$B64&amp;"*",'S4 - Summ PRS Characteristics'!$C$5:$Q$12,15,FALSE)*$J64</f>
        <v>34.814129511090584</v>
      </c>
      <c r="AK64" s="706">
        <f t="shared" si="59"/>
        <v>1667.1858704889094</v>
      </c>
      <c r="AL64" s="706">
        <f>IF($C64="other",(1-$C56)*AJ64,(1-(VLOOKUP($C64,'S3 - Screening Tool Metrics'!$C$3:$G$17,5,FALSE)/100))*AJ64)</f>
        <v>6.9628259022181149</v>
      </c>
      <c r="AM64" s="706">
        <f>IF($C64="other",$C56*AJ64,(VLOOKUP($C64,'S3 - Screening Tool Metrics'!$C$3:$G$17,5,FALSE)/100)*AJ64)</f>
        <v>27.85130360887247</v>
      </c>
      <c r="AN64" s="709">
        <f t="shared" si="56"/>
        <v>1.6363868160324602</v>
      </c>
    </row>
    <row r="65" spans="2:40" x14ac:dyDescent="0.15">
      <c r="B65" s="700" t="s">
        <v>12</v>
      </c>
      <c r="C65" s="721" t="str">
        <f>$C57</f>
        <v>Other</v>
      </c>
      <c r="D65" s="552" t="s">
        <v>200</v>
      </c>
      <c r="E65" s="710">
        <f>VLOOKUP($B65&amp;"_"&amp;$D65,'App5 - CRUK Inci Rates'!C:H,6,FALSE)</f>
        <v>17.427226372970985</v>
      </c>
      <c r="F65" s="711">
        <f>VLOOKUP($B65&amp;"_"&amp;$D65,'App5 - CRUK Inci Rates'!C:H,3,FALSE)</f>
        <v>12.96374185444887</v>
      </c>
      <c r="G65" s="712">
        <f>VLOOKUP($B65&amp;"_"&amp;$D65,'App5 - CRUK Inci Rates'!C:J,8,FALSE)</f>
        <v>24586669.333333336</v>
      </c>
      <c r="H65" s="713">
        <f>VLOOKUP($B65&amp;"_"&amp;$D65,'App5 - CRUK Inci Rates'!C:J,7,FALSE)</f>
        <v>12090277.333333334</v>
      </c>
      <c r="I65" s="713">
        <f>VLOOKUP($B65&amp;"_"&amp;$D65,'App5 - CRUK Inci Rates'!C:J,4,FALSE)</f>
        <v>12496392</v>
      </c>
      <c r="J65" s="709">
        <f>VLOOKUP($B65&amp;"_"&amp;$D65,'App5 - CRUK Inci Rates'!C:K,9,FALSE)</f>
        <v>3727</v>
      </c>
      <c r="K65" s="706">
        <f t="shared" si="8"/>
        <v>12293334.666666668</v>
      </c>
      <c r="L65" s="706">
        <f>VLOOKUP("*"&amp;$B65&amp;"*",'S4 - Summ PRS Characteristics'!$C$5:$Q$12,11,FALSE)*$J65</f>
        <v>2277.164421671248</v>
      </c>
      <c r="M65" s="706">
        <f t="shared" si="9"/>
        <v>1449.835578328752</v>
      </c>
      <c r="N65" s="706">
        <f>IF($C65="other",(1-$C$7)*L65,(1-(VLOOKUP($C65,'S3 - Screening Tool Metrics'!$C$3:$G$17,5,FALSE)/100))*L65)</f>
        <v>455.43288433424948</v>
      </c>
      <c r="O65" s="706">
        <f>IF($C65="other",$C$7*L65,(VLOOKUP($C65,'S3 - Screening Tool Metrics'!$C$3:$G$17,5,FALSE)/100)*L65)</f>
        <v>1821.7315373369984</v>
      </c>
      <c r="P65" s="706">
        <f t="shared" si="10"/>
        <v>48.879300706654099</v>
      </c>
      <c r="Q65" s="707">
        <f t="shared" si="49"/>
        <v>4917333.8666666672</v>
      </c>
      <c r="R65" s="706">
        <f>VLOOKUP("*"&amp;$B65&amp;"*",'S4 - Summ PRS Characteristics'!$C$5:$Q$12,12,FALSE)*$J65</f>
        <v>1072.7647818328915</v>
      </c>
      <c r="S65" s="706">
        <f t="shared" si="57"/>
        <v>2654.2352181671085</v>
      </c>
      <c r="T65" s="706">
        <f>IF($C65="other",(1-$C56)*R65,(1-(VLOOKUP($C65,'S3 - Screening Tool Metrics'!$C$3:$G$17,5,FALSE)/100))*R65)</f>
        <v>214.55295636657826</v>
      </c>
      <c r="U65" s="706">
        <f>IF($C65="other",$C56*R65,(VLOOKUP($C65,'S3 - Screening Tool Metrics'!$C$3:$G$17,5,FALSE)/100)*R65)</f>
        <v>858.21182546631326</v>
      </c>
      <c r="V65" s="708">
        <f t="shared" si="50"/>
        <v>23.026880211062874</v>
      </c>
      <c r="W65" s="707">
        <f t="shared" si="51"/>
        <v>2458666.9333333336</v>
      </c>
      <c r="X65" s="706">
        <f>VLOOKUP("*"&amp;$B65&amp;"*",'S4 - Summ PRS Characteristics'!$C$5:$Q$12,13,FALSE)*$J65</f>
        <v>591.6255980239514</v>
      </c>
      <c r="Y65" s="706">
        <f t="shared" si="58"/>
        <v>3135.3744019760488</v>
      </c>
      <c r="Z65" s="706">
        <f>IF($C65="other",(1-$C56)*X65,(1-(VLOOKUP($C65,'S3 - Screening Tool Metrics'!$C$3:$G$17,5,FALSE)/100))*X65)</f>
        <v>118.32511960479026</v>
      </c>
      <c r="AA65" s="706">
        <f>IF($C65="other",$C56*X65,(VLOOKUP($C65,'S3 - Screening Tool Metrics'!$C$3:$G$17,5,FALSE)/100)*X65)</f>
        <v>473.30047841916115</v>
      </c>
      <c r="AB65" s="708">
        <f t="shared" si="52"/>
        <v>12.69923473086024</v>
      </c>
      <c r="AC65" s="706">
        <f t="shared" si="53"/>
        <v>1229333.4666666668</v>
      </c>
      <c r="AD65" s="706">
        <f>VLOOKUP("*"&amp;$B65&amp;"*",'S4 - Summ PRS Characteristics'!$C$5:$Q$12,14,FALSE)*$J65</f>
        <v>322.19586788257709</v>
      </c>
      <c r="AE65" s="706">
        <f t="shared" si="60"/>
        <v>3404.8041321174228</v>
      </c>
      <c r="AF65" s="706">
        <f>IF($C65="other",(1-$C56)*AD65,(1-(VLOOKUP($C65,'S3 - Screening Tool Metrics'!$C$3:$G$17,5,FALSE)/100))*AD65)</f>
        <v>64.439173576515401</v>
      </c>
      <c r="AG65" s="706">
        <f>IF($C65="other",$C56*AD65,(VLOOKUP($C65,'S3 - Screening Tool Metrics'!$C$3:$G$17,5,FALSE)/100)*AD65)</f>
        <v>257.75669430606166</v>
      </c>
      <c r="AH65" s="708">
        <f t="shared" si="54"/>
        <v>6.9159295493979522</v>
      </c>
      <c r="AI65" s="707">
        <f t="shared" si="55"/>
        <v>245866.69333333336</v>
      </c>
      <c r="AJ65" s="706">
        <f>VLOOKUP("*"&amp;$B65&amp;"*",'S4 - Summ PRS Characteristics'!$C$5:$Q$12,15,FALSE)*$J65</f>
        <v>76.235170791912225</v>
      </c>
      <c r="AK65" s="706">
        <f t="shared" si="59"/>
        <v>3650.7648292080876</v>
      </c>
      <c r="AL65" s="706">
        <f>IF($C65="other",(1-$C56)*AJ65,(1-(VLOOKUP($C65,'S3 - Screening Tool Metrics'!$C$3:$G$17,5,FALSE)/100))*AJ65)</f>
        <v>15.247034158382441</v>
      </c>
      <c r="AM65" s="706">
        <f>IF($C65="other",$C56*AJ65,(VLOOKUP($C65,'S3 - Screening Tool Metrics'!$C$3:$G$17,5,FALSE)/100)*AJ65)</f>
        <v>60.988136633529784</v>
      </c>
      <c r="AN65" s="709">
        <f t="shared" si="56"/>
        <v>1.6363868160324602</v>
      </c>
    </row>
    <row r="66" spans="2:40" x14ac:dyDescent="0.15">
      <c r="B66" s="700" t="s">
        <v>12</v>
      </c>
      <c r="C66" s="721" t="str">
        <f>$C57</f>
        <v>Other</v>
      </c>
      <c r="D66" s="552" t="s">
        <v>201</v>
      </c>
      <c r="E66" s="710">
        <f>VLOOKUP($B66&amp;"_"&amp;$D66,'App5 - CRUK Inci Rates'!C:H,6,FALSE)</f>
        <v>4.1656285098735539</v>
      </c>
      <c r="F66" s="711">
        <f>VLOOKUP($B66&amp;"_"&amp;$D66,'App5 - CRUK Inci Rates'!C:H,3,FALSE)</f>
        <v>2.9979156476550499</v>
      </c>
      <c r="G66" s="712">
        <f>VLOOKUP($B66&amp;"_"&amp;$D66,'App5 - CRUK Inci Rates'!C:J,8,FALSE)</f>
        <v>8642767.333333334</v>
      </c>
      <c r="H66" s="713">
        <f>VLOOKUP($B66&amp;"_"&amp;$D66,'App5 - CRUK Inci Rates'!C:J,7,FALSE)</f>
        <v>4273064.666666667</v>
      </c>
      <c r="I66" s="713">
        <f>VLOOKUP($B66&amp;"_"&amp;$D66,'App5 - CRUK Inci Rates'!C:J,4,FALSE)</f>
        <v>4369702.666666667</v>
      </c>
      <c r="J66" s="709">
        <f>VLOOKUP($B66&amp;"_"&amp;$D66,'App5 - CRUK Inci Rates'!C:K,9,FALSE)</f>
        <v>309</v>
      </c>
      <c r="K66" s="706">
        <f t="shared" si="8"/>
        <v>4321383.666666667</v>
      </c>
      <c r="L66" s="706">
        <f>VLOOKUP("*"&amp;$B66&amp;"*",'S4 - Summ PRS Characteristics'!$C$5:$Q$12,11,FALSE)*$J66</f>
        <v>188.79629897945148</v>
      </c>
      <c r="M66" s="706">
        <f t="shared" si="9"/>
        <v>120.20370102054852</v>
      </c>
      <c r="N66" s="706">
        <f>IF($C66="other",(1-$C$7)*L66,(1-(VLOOKUP($C66,'S3 - Screening Tool Metrics'!$C$3:$G$17,5,FALSE)/100))*L66)</f>
        <v>37.759259795890287</v>
      </c>
      <c r="O66" s="706">
        <f>IF($C66="other",$C$7*L66,(VLOOKUP($C66,'S3 - Screening Tool Metrics'!$C$3:$G$17,5,FALSE)/100)*L66)</f>
        <v>151.03703918356118</v>
      </c>
      <c r="P66" s="706">
        <f t="shared" si="10"/>
        <v>48.879300706654107</v>
      </c>
      <c r="Q66" s="707">
        <f t="shared" si="49"/>
        <v>1728553.4666666668</v>
      </c>
      <c r="R66" s="706">
        <f>VLOOKUP("*"&amp;$B66&amp;"*",'S4 - Summ PRS Characteristics'!$C$5:$Q$12,12,FALSE)*$J66</f>
        <v>88.941324815230345</v>
      </c>
      <c r="S66" s="706">
        <f t="shared" si="57"/>
        <v>220.05867518476964</v>
      </c>
      <c r="T66" s="706">
        <f>IF($C66="other",(1-$C56)*R66,(1-(VLOOKUP($C66,'S3 - Screening Tool Metrics'!$C$3:$G$17,5,FALSE)/100))*R66)</f>
        <v>17.788264963046064</v>
      </c>
      <c r="U66" s="706">
        <f>IF($C66="other",$C56*R66,(VLOOKUP($C66,'S3 - Screening Tool Metrics'!$C$3:$G$17,5,FALSE)/100)*R66)</f>
        <v>71.153059852184285</v>
      </c>
      <c r="V66" s="708">
        <f t="shared" si="50"/>
        <v>23.026880211062874</v>
      </c>
      <c r="W66" s="707">
        <f t="shared" si="51"/>
        <v>864276.7333333334</v>
      </c>
      <c r="X66" s="706">
        <f>VLOOKUP("*"&amp;$B66&amp;"*",'S4 - Summ PRS Characteristics'!$C$5:$Q$12,13,FALSE)*$J66</f>
        <v>49.050794147947677</v>
      </c>
      <c r="Y66" s="706">
        <f t="shared" si="58"/>
        <v>259.94920585205233</v>
      </c>
      <c r="Z66" s="706">
        <f>IF($C66="other",(1-$C56)*X66,(1-(VLOOKUP($C66,'S3 - Screening Tool Metrics'!$C$3:$G$17,5,FALSE)/100))*X66)</f>
        <v>9.8101588295895326</v>
      </c>
      <c r="AA66" s="706">
        <f>IF($C66="other",$C56*X66,(VLOOKUP($C66,'S3 - Screening Tool Metrics'!$C$3:$G$17,5,FALSE)/100)*X66)</f>
        <v>39.240635318358144</v>
      </c>
      <c r="AB66" s="708">
        <f t="shared" si="52"/>
        <v>12.69923473086024</v>
      </c>
      <c r="AC66" s="706">
        <f t="shared" si="53"/>
        <v>432138.3666666667</v>
      </c>
      <c r="AD66" s="706">
        <f>VLOOKUP("*"&amp;$B66&amp;"*",'S4 - Summ PRS Characteristics'!$C$5:$Q$12,14,FALSE)*$J66</f>
        <v>26.712777884549592</v>
      </c>
      <c r="AE66" s="706">
        <f t="shared" si="60"/>
        <v>282.28722211545039</v>
      </c>
      <c r="AF66" s="706">
        <f>IF($C66="other",(1-$C56)*AD66,(1-(VLOOKUP($C66,'S3 - Screening Tool Metrics'!$C$3:$G$17,5,FALSE)/100))*AD66)</f>
        <v>5.3425555769099171</v>
      </c>
      <c r="AG66" s="706">
        <f>IF($C66="other",$C56*AD66,(VLOOKUP($C66,'S3 - Screening Tool Metrics'!$C$3:$G$17,5,FALSE)/100)*AD66)</f>
        <v>21.370222307639676</v>
      </c>
      <c r="AH66" s="708">
        <f t="shared" si="54"/>
        <v>6.9159295493979531</v>
      </c>
      <c r="AI66" s="707">
        <f t="shared" si="55"/>
        <v>86427.67333333334</v>
      </c>
      <c r="AJ66" s="706">
        <f>VLOOKUP("*"&amp;$B66&amp;"*",'S4 - Summ PRS Characteristics'!$C$5:$Q$12,15,FALSE)*$J66</f>
        <v>6.3205440769253762</v>
      </c>
      <c r="AK66" s="706">
        <f t="shared" si="59"/>
        <v>302.67945592307461</v>
      </c>
      <c r="AL66" s="706">
        <f>IF($C66="other",(1-$C56)*AJ66,(1-(VLOOKUP($C66,'S3 - Screening Tool Metrics'!$C$3:$G$17,5,FALSE)/100))*AJ66)</f>
        <v>1.264108815385075</v>
      </c>
      <c r="AM66" s="706">
        <f>IF($C66="other",$C56*AJ66,(VLOOKUP($C66,'S3 - Screening Tool Metrics'!$C$3:$G$17,5,FALSE)/100)*AJ66)</f>
        <v>5.056435261540301</v>
      </c>
      <c r="AN66" s="709">
        <f t="shared" si="56"/>
        <v>1.6363868160324597</v>
      </c>
    </row>
    <row r="67" spans="2:40" x14ac:dyDescent="0.15">
      <c r="B67" s="700" t="s">
        <v>12</v>
      </c>
      <c r="C67" s="721" t="str">
        <f>$C57</f>
        <v>Other</v>
      </c>
      <c r="D67" s="552" t="s">
        <v>202</v>
      </c>
      <c r="E67" s="710">
        <f>VLOOKUP($B67&amp;"_"&amp;$D67,'App5 - CRUK Inci Rates'!C:H,6,FALSE)</f>
        <v>14.074510258320455</v>
      </c>
      <c r="F67" s="711">
        <f>VLOOKUP($B67&amp;"_"&amp;$D67,'App5 - CRUK Inci Rates'!C:H,3,FALSE)</f>
        <v>10.302553130251624</v>
      </c>
      <c r="G67" s="712">
        <f>VLOOKUP($B67&amp;"_"&amp;$D67,'App5 - CRUK Inci Rates'!C:J,8,FALSE)</f>
        <v>8839716.6666666679</v>
      </c>
      <c r="H67" s="713">
        <f>VLOOKUP($B67&amp;"_"&amp;$D67,'App5 - CRUK Inci Rates'!C:J,7,FALSE)</f>
        <v>4355391.333333333</v>
      </c>
      <c r="I67" s="713">
        <f>VLOOKUP($B67&amp;"_"&amp;$D67,'App5 - CRUK Inci Rates'!C:J,4,FALSE)</f>
        <v>4484325.333333334</v>
      </c>
      <c r="J67" s="709">
        <f>VLOOKUP($B67&amp;"_"&amp;$D67,'App5 - CRUK Inci Rates'!C:K,9,FALSE)</f>
        <v>1075</v>
      </c>
      <c r="K67" s="706">
        <f t="shared" si="8"/>
        <v>4419858.333333334</v>
      </c>
      <c r="L67" s="706">
        <f>VLOOKUP("*"&amp;$B67&amp;"*",'S4 - Summ PRS Characteristics'!$C$5:$Q$12,11,FALSE)*$J67</f>
        <v>656.81560324566453</v>
      </c>
      <c r="M67" s="706">
        <f t="shared" si="9"/>
        <v>418.18439675433547</v>
      </c>
      <c r="N67" s="706">
        <f>IF($C67="other",(1-$C$7)*L67,(1-(VLOOKUP($C67,'S3 - Screening Tool Metrics'!$C$3:$G$17,5,FALSE)/100))*L67)</f>
        <v>131.36312064913287</v>
      </c>
      <c r="O67" s="706">
        <f>IF($C67="other",$C$7*L67,(VLOOKUP($C67,'S3 - Screening Tool Metrics'!$C$3:$G$17,5,FALSE)/100)*L67)</f>
        <v>525.45248259653169</v>
      </c>
      <c r="P67" s="706">
        <f t="shared" si="10"/>
        <v>48.879300706654114</v>
      </c>
      <c r="Q67" s="707">
        <f t="shared" si="49"/>
        <v>1767943.3333333337</v>
      </c>
      <c r="R67" s="706">
        <f>VLOOKUP("*"&amp;$B67&amp;"*",'S4 - Summ PRS Characteristics'!$C$5:$Q$12,12,FALSE)*$J67</f>
        <v>309.42370283615736</v>
      </c>
      <c r="S67" s="706">
        <f t="shared" si="57"/>
        <v>765.57629716384258</v>
      </c>
      <c r="T67" s="706">
        <f>IF($C67="other",(1-$C56)*R67,(1-(VLOOKUP($C67,'S3 - Screening Tool Metrics'!$C$3:$G$17,5,FALSE)/100))*R67)</f>
        <v>61.884740567231461</v>
      </c>
      <c r="U67" s="706">
        <f>IF($C67="other",$C56*R67,(VLOOKUP($C67,'S3 - Screening Tool Metrics'!$C$3:$G$17,5,FALSE)/100)*R67)</f>
        <v>247.5389622689259</v>
      </c>
      <c r="V67" s="708">
        <f t="shared" si="50"/>
        <v>23.026880211062874</v>
      </c>
      <c r="W67" s="707">
        <f t="shared" si="51"/>
        <v>883971.66666666686</v>
      </c>
      <c r="X67" s="706">
        <f>VLOOKUP("*"&amp;$B67&amp;"*",'S4 - Summ PRS Characteristics'!$C$5:$Q$12,13,FALSE)*$J67</f>
        <v>170.64596669593448</v>
      </c>
      <c r="Y67" s="706">
        <f t="shared" si="58"/>
        <v>904.35403330406552</v>
      </c>
      <c r="Z67" s="706">
        <f>IF($C67="other",(1-$C56)*X67,(1-(VLOOKUP($C67,'S3 - Screening Tool Metrics'!$C$3:$G$17,5,FALSE)/100))*X67)</f>
        <v>34.129193339186891</v>
      </c>
      <c r="AA67" s="706">
        <f>IF($C67="other",$C56*X67,(VLOOKUP($C67,'S3 - Screening Tool Metrics'!$C$3:$G$17,5,FALSE)/100)*X67)</f>
        <v>136.51677335674759</v>
      </c>
      <c r="AB67" s="708">
        <f t="shared" si="52"/>
        <v>12.69923473086024</v>
      </c>
      <c r="AC67" s="706">
        <f t="shared" si="53"/>
        <v>441985.83333333343</v>
      </c>
      <c r="AD67" s="706">
        <f>VLOOKUP("*"&amp;$B67&amp;"*",'S4 - Summ PRS Characteristics'!$C$5:$Q$12,14,FALSE)*$J67</f>
        <v>92.932803320034978</v>
      </c>
      <c r="AE67" s="706">
        <f t="shared" si="60"/>
        <v>982.06719667996504</v>
      </c>
      <c r="AF67" s="706">
        <f>IF($C67="other",(1-$C56)*AD67,(1-(VLOOKUP($C67,'S3 - Screening Tool Metrics'!$C$3:$G$17,5,FALSE)/100))*AD67)</f>
        <v>18.586560664006992</v>
      </c>
      <c r="AG67" s="706">
        <f>IF($C67="other",$C56*AD67,(VLOOKUP($C67,'S3 - Screening Tool Metrics'!$C$3:$G$17,5,FALSE)/100)*AD67)</f>
        <v>74.346242656027982</v>
      </c>
      <c r="AH67" s="708">
        <f t="shared" si="54"/>
        <v>6.9159295493979522</v>
      </c>
      <c r="AI67" s="707">
        <f t="shared" si="55"/>
        <v>88397.166666666686</v>
      </c>
      <c r="AJ67" s="706">
        <f>VLOOKUP("*"&amp;$B67&amp;"*",'S4 - Summ PRS Characteristics'!$C$5:$Q$12,15,FALSE)*$J67</f>
        <v>21.988947840436179</v>
      </c>
      <c r="AK67" s="706">
        <f t="shared" si="59"/>
        <v>1053.0110521595639</v>
      </c>
      <c r="AL67" s="706">
        <f>IF($C67="other",(1-$C56)*AJ67,(1-(VLOOKUP($C67,'S3 - Screening Tool Metrics'!$C$3:$G$17,5,FALSE)/100))*AJ67)</f>
        <v>4.3977895680872345</v>
      </c>
      <c r="AM67" s="706">
        <f>IF($C67="other",$C56*AJ67,(VLOOKUP($C67,'S3 - Screening Tool Metrics'!$C$3:$G$17,5,FALSE)/100)*AJ67)</f>
        <v>17.591158272348945</v>
      </c>
      <c r="AN67" s="709">
        <f t="shared" si="56"/>
        <v>1.6363868160324602</v>
      </c>
    </row>
    <row r="68" spans="2:40" x14ac:dyDescent="0.15">
      <c r="B68" s="700" t="s">
        <v>12</v>
      </c>
      <c r="C68" s="721" t="str">
        <f>$C57</f>
        <v>Other</v>
      </c>
      <c r="D68" s="552" t="s">
        <v>203</v>
      </c>
      <c r="E68" s="710">
        <f>VLOOKUP($B68&amp;"_"&amp;$D68,'App5 - CRUK Inci Rates'!C:H,6,FALSE)</f>
        <v>24.676314720532528</v>
      </c>
      <c r="F68" s="711">
        <f>VLOOKUP($B68&amp;"_"&amp;$D68,'App5 - CRUK Inci Rates'!C:H,3,FALSE)</f>
        <v>18.322344301910888</v>
      </c>
      <c r="G68" s="712">
        <f>VLOOKUP($B68&amp;"_"&amp;$D68,'App5 - CRUK Inci Rates'!C:J,8,FALSE)</f>
        <v>15943902</v>
      </c>
      <c r="H68" s="713">
        <f>VLOOKUP($B68&amp;"_"&amp;$D68,'App5 - CRUK Inci Rates'!C:J,7,FALSE)</f>
        <v>7817212.666666666</v>
      </c>
      <c r="I68" s="713">
        <f>VLOOKUP($B68&amp;"_"&amp;$D68,'App5 - CRUK Inci Rates'!C:J,4,FALSE)</f>
        <v>8126689.333333334</v>
      </c>
      <c r="J68" s="709">
        <f>VLOOKUP($B68&amp;"_"&amp;$D68,'App5 - CRUK Inci Rates'!C:K,9,FALSE)</f>
        <v>3418</v>
      </c>
      <c r="K68" s="706">
        <f t="shared" si="8"/>
        <v>7971951</v>
      </c>
      <c r="L68" s="706">
        <f>VLOOKUP("*"&amp;$B68&amp;"*",'S4 - Summ PRS Characteristics'!$C$5:$Q$12,11,FALSE)*$J68</f>
        <v>2088.3681226917965</v>
      </c>
      <c r="M68" s="706">
        <f t="shared" si="9"/>
        <v>1329.6318773082035</v>
      </c>
      <c r="N68" s="706">
        <f>IF($C68="other",(1-$C$7)*L68,(1-(VLOOKUP($C68,'S3 - Screening Tool Metrics'!$C$3:$G$17,5,FALSE)/100))*L68)</f>
        <v>417.67362453835921</v>
      </c>
      <c r="O68" s="706">
        <f>IF($C68="other",$C$7*L68,(VLOOKUP($C68,'S3 - Screening Tool Metrics'!$C$3:$G$17,5,FALSE)/100)*L68)</f>
        <v>1670.6944981534373</v>
      </c>
      <c r="P68" s="706">
        <f t="shared" si="10"/>
        <v>48.879300706654107</v>
      </c>
      <c r="Q68" s="707">
        <f t="shared" si="49"/>
        <v>3188780.4000000004</v>
      </c>
      <c r="R68" s="706">
        <f>VLOOKUP("*"&amp;$B68&amp;"*",'S4 - Summ PRS Characteristics'!$C$5:$Q$12,12,FALSE)*$J68</f>
        <v>983.82345701766121</v>
      </c>
      <c r="S68" s="706">
        <f t="shared" si="57"/>
        <v>2434.176542982339</v>
      </c>
      <c r="T68" s="706">
        <f>IF($C68="other",(1-$C56)*R68,(1-(VLOOKUP($C68,'S3 - Screening Tool Metrics'!$C$3:$G$17,5,FALSE)/100))*R68)</f>
        <v>196.7646914035322</v>
      </c>
      <c r="U68" s="706">
        <f>IF($C68="other",$C56*R68,(VLOOKUP($C68,'S3 - Screening Tool Metrics'!$C$3:$G$17,5,FALSE)/100)*R68)</f>
        <v>787.05876561412902</v>
      </c>
      <c r="V68" s="708">
        <f t="shared" si="50"/>
        <v>23.026880211062874</v>
      </c>
      <c r="W68" s="707">
        <f t="shared" si="51"/>
        <v>1594390.2000000002</v>
      </c>
      <c r="X68" s="706">
        <f>VLOOKUP("*"&amp;$B68&amp;"*",'S4 - Summ PRS Characteristics'!$C$5:$Q$12,13,FALSE)*$J68</f>
        <v>542.57480387600378</v>
      </c>
      <c r="Y68" s="706">
        <f t="shared" si="58"/>
        <v>2875.4251961239961</v>
      </c>
      <c r="Z68" s="706">
        <f>IF($C68="other",(1-$C56)*X68,(1-(VLOOKUP($C68,'S3 - Screening Tool Metrics'!$C$3:$G$17,5,FALSE)/100))*X68)</f>
        <v>108.51496077520073</v>
      </c>
      <c r="AA68" s="706">
        <f>IF($C68="other",$C56*X68,(VLOOKUP($C68,'S3 - Screening Tool Metrics'!$C$3:$G$17,5,FALSE)/100)*X68)</f>
        <v>434.05984310080305</v>
      </c>
      <c r="AB68" s="708">
        <f t="shared" si="52"/>
        <v>12.699234730860242</v>
      </c>
      <c r="AC68" s="706">
        <f t="shared" si="53"/>
        <v>797195.10000000009</v>
      </c>
      <c r="AD68" s="706">
        <f>VLOOKUP("*"&amp;$B68&amp;"*",'S4 - Summ PRS Characteristics'!$C$5:$Q$12,14,FALSE)*$J68</f>
        <v>295.48308999802754</v>
      </c>
      <c r="AE68" s="706">
        <f t="shared" si="60"/>
        <v>3122.5169100019725</v>
      </c>
      <c r="AF68" s="706">
        <f>IF($C68="other",(1-$C56)*AD68,(1-(VLOOKUP($C68,'S3 - Screening Tool Metrics'!$C$3:$G$17,5,FALSE)/100))*AD68)</f>
        <v>59.096617999605492</v>
      </c>
      <c r="AG68" s="706">
        <f>IF($C68="other",$C56*AD68,(VLOOKUP($C68,'S3 - Screening Tool Metrics'!$C$3:$G$17,5,FALSE)/100)*AD68)</f>
        <v>236.38647199842205</v>
      </c>
      <c r="AH68" s="708">
        <f t="shared" si="54"/>
        <v>6.9159295493979531</v>
      </c>
      <c r="AI68" s="707">
        <f t="shared" si="55"/>
        <v>159439.01999999999</v>
      </c>
      <c r="AJ68" s="706">
        <f>VLOOKUP("*"&amp;$B68&amp;"*",'S4 - Summ PRS Characteristics'!$C$5:$Q$12,15,FALSE)*$J68</f>
        <v>69.914626714986852</v>
      </c>
      <c r="AK68" s="706">
        <f t="shared" si="59"/>
        <v>3348.0853732850132</v>
      </c>
      <c r="AL68" s="706">
        <f>IF($C68="other",(1-$C56)*AJ68,(1-(VLOOKUP($C68,'S3 - Screening Tool Metrics'!$C$3:$G$17,5,FALSE)/100))*AJ68)</f>
        <v>13.982925342997367</v>
      </c>
      <c r="AM68" s="706">
        <f>IF($C68="other",$C56*AJ68,(VLOOKUP($C68,'S3 - Screening Tool Metrics'!$C$3:$G$17,5,FALSE)/100)*AJ68)</f>
        <v>55.931701371989483</v>
      </c>
      <c r="AN68" s="709">
        <f t="shared" si="56"/>
        <v>1.6363868160324602</v>
      </c>
    </row>
    <row r="69" spans="2:40" x14ac:dyDescent="0.15">
      <c r="B69" s="700" t="s">
        <v>12</v>
      </c>
      <c r="C69" s="721" t="str">
        <f>$C58</f>
        <v>Other</v>
      </c>
      <c r="D69" s="552" t="s">
        <v>292</v>
      </c>
      <c r="E69" s="710">
        <f>VLOOKUP($B69&amp;"_"&amp;$D69,'App5 - CRUK Inci Rates'!C:H,6,FALSE)</f>
        <v>46.472602362279531</v>
      </c>
      <c r="F69" s="711">
        <f>VLOOKUP($B69&amp;"_"&amp;$D69,'App5 - CRUK Inci Rates'!C:H,3,FALSE)</f>
        <v>34.483589033138493</v>
      </c>
      <c r="G69" s="712">
        <f>VLOOKUP($B69&amp;"_"&amp;$D69,'App5 - CRUK Inci Rates'!C:J,8,FALSE)</f>
        <v>8881256.9603638444</v>
      </c>
      <c r="H69" s="713">
        <f>VLOOKUP($B69&amp;"_"&amp;$D69,'App5 - CRUK Inci Rates'!C:J,7,FALSE)</f>
        <v>4929786.333333333</v>
      </c>
      <c r="I69" s="713">
        <f>VLOOKUP($B69&amp;"_"&amp;$D69,'App5 - CRUK Inci Rates'!C:J,4,FALSE)</f>
        <v>5245973.666666667</v>
      </c>
      <c r="J69" s="709">
        <f>VLOOKUP($B69&amp;"_"&amp;$D69,'App5 - CRUK Inci Rates'!C:K,9,FALSE)</f>
        <v>4100</v>
      </c>
      <c r="K69" s="706">
        <f t="shared" si="8"/>
        <v>4440628.4801819222</v>
      </c>
      <c r="L69" s="706">
        <f>VLOOKUP("*"&amp;$B69&amp;"*",'S4 - Summ PRS Characteristics'!$C$5:$Q$12,11,FALSE)*$J69</f>
        <v>2505.064161216023</v>
      </c>
      <c r="M69" s="706">
        <f t="shared" si="9"/>
        <v>1594.935838783977</v>
      </c>
      <c r="N69" s="706">
        <f>IF($C69="other",(1-$C$7)*L69,(1-(VLOOKUP($C69,'S3 - Screening Tool Metrics'!$C$3:$G$17,5,FALSE)/100))*L69)</f>
        <v>501.01283224320446</v>
      </c>
      <c r="O69" s="706">
        <f>IF($C69="other",$C$7*L69,(VLOOKUP($C69,'S3 - Screening Tool Metrics'!$C$3:$G$17,5,FALSE)/100)*L69)</f>
        <v>2004.0513289728185</v>
      </c>
      <c r="P69" s="706">
        <f t="shared" si="10"/>
        <v>48.879300706654114</v>
      </c>
      <c r="Q69" s="707">
        <f t="shared" si="49"/>
        <v>1776251.3920727689</v>
      </c>
      <c r="R69" s="706">
        <f>VLOOKUP("*"&amp;$B69&amp;"*",'S4 - Summ PRS Characteristics'!$C$5:$Q$12,12,FALSE)*$J69</f>
        <v>1180.1276108169723</v>
      </c>
      <c r="S69" s="706">
        <f t="shared" si="57"/>
        <v>2919.8723891830277</v>
      </c>
      <c r="T69" s="706">
        <f>IF($C69="other",(1-$C56)*R69,(1-(VLOOKUP($C69,'S3 - Screening Tool Metrics'!$C$3:$G$17,5,FALSE)/100))*R69)</f>
        <v>236.02552216339441</v>
      </c>
      <c r="U69" s="706">
        <f>IF($C69="other",$C56*R69,(VLOOKUP($C69,'S3 - Screening Tool Metrics'!$C$3:$G$17,5,FALSE)/100)*R69)</f>
        <v>944.10208865357788</v>
      </c>
      <c r="V69" s="708">
        <f t="shared" si="50"/>
        <v>23.026880211062874</v>
      </c>
      <c r="W69" s="707">
        <f t="shared" si="51"/>
        <v>888125.69603638444</v>
      </c>
      <c r="X69" s="706">
        <f>VLOOKUP("*"&amp;$B69&amp;"*",'S4 - Summ PRS Characteristics'!$C$5:$Q$12,13,FALSE)*$J69</f>
        <v>650.83577995658732</v>
      </c>
      <c r="Y69" s="706">
        <f t="shared" si="58"/>
        <v>3449.1642200434126</v>
      </c>
      <c r="Z69" s="706">
        <f>IF($C69="other",(1-$C56)*X69,(1-(VLOOKUP($C69,'S3 - Screening Tool Metrics'!$C$3:$G$17,5,FALSE)/100))*X69)</f>
        <v>130.16715599131743</v>
      </c>
      <c r="AA69" s="706">
        <f>IF($C69="other",$C56*X69,(VLOOKUP($C69,'S3 - Screening Tool Metrics'!$C$3:$G$17,5,FALSE)/100)*X69)</f>
        <v>520.66862396526983</v>
      </c>
      <c r="AB69" s="708">
        <f t="shared" si="52"/>
        <v>12.69923473086024</v>
      </c>
      <c r="AC69" s="706">
        <f t="shared" si="53"/>
        <v>444062.84801819222</v>
      </c>
      <c r="AD69" s="706">
        <f>VLOOKUP("*"&amp;$B69&amp;"*",'S4 - Summ PRS Characteristics'!$C$5:$Q$12,14,FALSE)*$J69</f>
        <v>354.44138940664504</v>
      </c>
      <c r="AE69" s="706">
        <f t="shared" si="60"/>
        <v>3745.5586105933548</v>
      </c>
      <c r="AF69" s="706">
        <f>IF($C69="other",(1-$C56)*AD69,(1-(VLOOKUP($C69,'S3 - Screening Tool Metrics'!$C$3:$G$17,5,FALSE)/100))*AD69)</f>
        <v>70.888277881328989</v>
      </c>
      <c r="AG69" s="706">
        <f>IF($C69="other",$C56*AD69,(VLOOKUP($C69,'S3 - Screening Tool Metrics'!$C$3:$G$17,5,FALSE)/100)*AD69)</f>
        <v>283.55311152531607</v>
      </c>
      <c r="AH69" s="708">
        <f t="shared" si="54"/>
        <v>6.9159295493979531</v>
      </c>
      <c r="AI69" s="707">
        <f t="shared" si="55"/>
        <v>88812.569603638447</v>
      </c>
      <c r="AJ69" s="706">
        <f>VLOOKUP("*"&amp;$B69&amp;"*",'S4 - Summ PRS Characteristics'!$C$5:$Q$12,15,FALSE)*$J69</f>
        <v>83.864824321663576</v>
      </c>
      <c r="AK69" s="706">
        <f t="shared" si="59"/>
        <v>4016.1351756783365</v>
      </c>
      <c r="AL69" s="706">
        <f>IF($C69="other",(1-$C56)*AJ69,(1-(VLOOKUP($C69,'S3 - Screening Tool Metrics'!$C$3:$G$17,5,FALSE)/100))*AJ69)</f>
        <v>16.77296486433271</v>
      </c>
      <c r="AM69" s="706">
        <f>IF($C69="other",$C56*AJ69,(VLOOKUP($C69,'S3 - Screening Tool Metrics'!$C$3:$G$17,5,FALSE)/100)*AJ69)</f>
        <v>67.09185945733087</v>
      </c>
      <c r="AN69" s="709">
        <f t="shared" si="56"/>
        <v>1.6363868160324602</v>
      </c>
    </row>
    <row r="70" spans="2:40" x14ac:dyDescent="0.15">
      <c r="B70" s="700" t="s">
        <v>12</v>
      </c>
      <c r="C70" s="721" t="str">
        <f>$C57</f>
        <v>Other</v>
      </c>
      <c r="D70" s="552" t="s">
        <v>204</v>
      </c>
      <c r="E70" s="710">
        <f>VLOOKUP($B70&amp;"_"&amp;$D70,'App5 - CRUK Inci Rates'!C:H,6,FALSE)</f>
        <v>27.10494536410576</v>
      </c>
      <c r="F70" s="711">
        <f>VLOOKUP($B70&amp;"_"&amp;$D70,'App5 - CRUK Inci Rates'!C:H,3,FALSE)</f>
        <v>21.188815577273839</v>
      </c>
      <c r="G70" s="712">
        <f>VLOOKUP($B70&amp;"_"&amp;$D70,'App5 - CRUK Inci Rates'!C:J,8,FALSE)</f>
        <v>29847254.666666668</v>
      </c>
      <c r="H70" s="713">
        <f>VLOOKUP($B70&amp;"_"&amp;$D70,'App5 - CRUK Inci Rates'!C:J,7,FALSE)</f>
        <v>14565607.666666668</v>
      </c>
      <c r="I70" s="713">
        <f>VLOOKUP($B70&amp;"_"&amp;$D70,'App5 - CRUK Inci Rates'!C:J,4,FALSE)</f>
        <v>15281647</v>
      </c>
      <c r="J70" s="709">
        <f>VLOOKUP($B70&amp;"_"&amp;$D70,'App5 - CRUK Inci Rates'!C:K,9,FALSE)</f>
        <v>7186</v>
      </c>
      <c r="K70" s="706">
        <f t="shared" si="8"/>
        <v>14923627.333333334</v>
      </c>
      <c r="L70" s="706">
        <f>VLOOKUP("*"&amp;$B70&amp;"*",'S4 - Summ PRS Characteristics'!$C$5:$Q$12,11,FALSE)*$J70</f>
        <v>4390.5831859752052</v>
      </c>
      <c r="M70" s="706">
        <f t="shared" si="9"/>
        <v>2795.4168140247948</v>
      </c>
      <c r="N70" s="706">
        <f>IF($C70="other",(1-$C$7)*L70,(1-(VLOOKUP($C70,'S3 - Screening Tool Metrics'!$C$3:$G$17,5,FALSE)/100))*L70)</f>
        <v>878.11663719504088</v>
      </c>
      <c r="O70" s="706">
        <f>IF($C70="other",$C$7*L70,(VLOOKUP($C70,'S3 - Screening Tool Metrics'!$C$3:$G$17,5,FALSE)/100)*L70)</f>
        <v>3512.4665487801644</v>
      </c>
      <c r="P70" s="706">
        <f t="shared" si="10"/>
        <v>48.879300706654114</v>
      </c>
      <c r="Q70" s="707">
        <f t="shared" si="49"/>
        <v>5969450.9333333336</v>
      </c>
      <c r="R70" s="706">
        <f>VLOOKUP("*"&amp;$B70&amp;"*",'S4 - Summ PRS Characteristics'!$C$5:$Q$12,12,FALSE)*$J70</f>
        <v>2068.3895149587224</v>
      </c>
      <c r="S70" s="706">
        <f t="shared" si="57"/>
        <v>5117.6104850412776</v>
      </c>
      <c r="T70" s="706">
        <f>IF($C70="other",(1-$C56)*R70,(1-(VLOOKUP($C70,'S3 - Screening Tool Metrics'!$C$3:$G$17,5,FALSE)/100))*R70)</f>
        <v>413.67790299174442</v>
      </c>
      <c r="U70" s="706">
        <f>IF($C70="other",$C56*R70,(VLOOKUP($C70,'S3 - Screening Tool Metrics'!$C$3:$G$17,5,FALSE)/100)*R70)</f>
        <v>1654.7116119669781</v>
      </c>
      <c r="V70" s="708">
        <f t="shared" si="50"/>
        <v>23.026880211062874</v>
      </c>
      <c r="W70" s="707">
        <f t="shared" si="51"/>
        <v>2984725.4666666668</v>
      </c>
      <c r="X70" s="706">
        <f>VLOOKUP("*"&amp;$B70&amp;"*",'S4 - Summ PRS Characteristics'!$C$5:$Q$12,13,FALSE)*$J70</f>
        <v>1140.7087596995211</v>
      </c>
      <c r="Y70" s="706">
        <f t="shared" si="58"/>
        <v>6045.2912403004793</v>
      </c>
      <c r="Z70" s="706">
        <f>IF($C70="other",(1-$C56)*X70,(1-(VLOOKUP($C70,'S3 - Screening Tool Metrics'!$C$3:$G$17,5,FALSE)/100))*X70)</f>
        <v>228.14175193990417</v>
      </c>
      <c r="AA70" s="706">
        <f>IF($C70="other",$C56*X70,(VLOOKUP($C70,'S3 - Screening Tool Metrics'!$C$3:$G$17,5,FALSE)/100)*X70)</f>
        <v>912.5670077596169</v>
      </c>
      <c r="AB70" s="708">
        <f t="shared" si="52"/>
        <v>12.69923473086024</v>
      </c>
      <c r="AC70" s="706">
        <f t="shared" si="53"/>
        <v>1492362.7333333334</v>
      </c>
      <c r="AD70" s="706">
        <f>VLOOKUP("*"&amp;$B70&amp;"*",'S4 - Summ PRS Characteristics'!$C$5:$Q$12,14,FALSE)*$J70</f>
        <v>621.22337177467102</v>
      </c>
      <c r="AE70" s="706">
        <f t="shared" si="60"/>
        <v>6564.7766282253287</v>
      </c>
      <c r="AF70" s="706">
        <f>IF($C70="other",(1-$C56)*AD70,(1-(VLOOKUP($C70,'S3 - Screening Tool Metrics'!$C$3:$G$17,5,FALSE)/100))*AD70)</f>
        <v>124.24467435493418</v>
      </c>
      <c r="AG70" s="706">
        <f>IF($C70="other",$C56*AD70,(VLOOKUP($C70,'S3 - Screening Tool Metrics'!$C$3:$G$17,5,FALSE)/100)*AD70)</f>
        <v>496.97869741973682</v>
      </c>
      <c r="AH70" s="708">
        <f t="shared" si="54"/>
        <v>6.9159295493979522</v>
      </c>
      <c r="AI70" s="707">
        <f t="shared" si="55"/>
        <v>298472.54666666669</v>
      </c>
      <c r="AJ70" s="706">
        <f>VLOOKUP("*"&amp;$B70&amp;"*",'S4 - Summ PRS Characteristics'!$C$5:$Q$12,15,FALSE)*$J70</f>
        <v>146.98844575011572</v>
      </c>
      <c r="AK70" s="706">
        <f t="shared" si="59"/>
        <v>7039.0115542498843</v>
      </c>
      <c r="AL70" s="706">
        <f>IF($C70="other",(1-$C56)*AJ70,(1-(VLOOKUP($C70,'S3 - Screening Tool Metrics'!$C$3:$G$17,5,FALSE)/100))*AJ70)</f>
        <v>29.397689150023137</v>
      </c>
      <c r="AM70" s="706">
        <f>IF($C70="other",$C56*AJ70,(VLOOKUP($C70,'S3 - Screening Tool Metrics'!$C$3:$G$17,5,FALSE)/100)*AJ70)</f>
        <v>117.59075660009258</v>
      </c>
      <c r="AN70" s="709">
        <f t="shared" si="56"/>
        <v>1.6363868160324602</v>
      </c>
    </row>
    <row r="71" spans="2:40" ht="14" thickBot="1" x14ac:dyDescent="0.2">
      <c r="B71" s="700" t="s">
        <v>12</v>
      </c>
      <c r="C71" s="721" t="str">
        <f>$C58</f>
        <v>Other</v>
      </c>
      <c r="D71" s="552" t="s">
        <v>205</v>
      </c>
      <c r="E71" s="710">
        <f>VLOOKUP($B71&amp;"_"&amp;$D71,'App5 - CRUK Inci Rates'!C:H,6,FALSE)</f>
        <v>19.3</v>
      </c>
      <c r="F71" s="711">
        <f>VLOOKUP($B71&amp;"_"&amp;$D71,'App5 - CRUK Inci Rates'!C:H,3,FALSE)</f>
        <v>15</v>
      </c>
      <c r="G71" s="712">
        <f>VLOOKUP($B71&amp;"_"&amp;$D71,'App5 - CRUK Inci Rates'!C:J,8,FALSE)</f>
        <v>66041277.666666664</v>
      </c>
      <c r="H71" s="713">
        <f>VLOOKUP($B71&amp;"_"&amp;$D71,'App5 - CRUK Inci Rates'!C:J,7,FALSE)</f>
        <v>32583225.666666668</v>
      </c>
      <c r="I71" s="713">
        <f>VLOOKUP($B71&amp;"_"&amp;$D71,'App5 - CRUK Inci Rates'!C:J,4,FALSE)</f>
        <v>33458051.999999996</v>
      </c>
      <c r="J71" s="709">
        <f>VLOOKUP($B71&amp;"_"&amp;$D71,'App5 - CRUK Inci Rates'!C:K,9,FALSE)</f>
        <v>10452</v>
      </c>
      <c r="K71" s="716"/>
      <c r="L71" s="716"/>
      <c r="M71" s="716"/>
      <c r="N71" s="716"/>
      <c r="O71" s="716"/>
      <c r="P71" s="716"/>
      <c r="Q71" s="715"/>
      <c r="R71" s="716"/>
      <c r="S71" s="716"/>
      <c r="T71" s="716"/>
      <c r="U71" s="716"/>
      <c r="V71" s="717"/>
      <c r="W71" s="715"/>
      <c r="X71" s="716"/>
      <c r="Y71" s="716"/>
      <c r="Z71" s="716"/>
      <c r="AA71" s="716"/>
      <c r="AB71" s="717"/>
      <c r="AC71" s="716"/>
      <c r="AD71" s="716"/>
      <c r="AE71" s="716"/>
      <c r="AF71" s="716"/>
      <c r="AG71" s="716"/>
      <c r="AH71" s="717"/>
      <c r="AI71" s="715"/>
      <c r="AJ71" s="716"/>
      <c r="AK71" s="716"/>
      <c r="AL71" s="716"/>
      <c r="AM71" s="716"/>
      <c r="AN71" s="718"/>
    </row>
    <row r="72" spans="2:40" ht="21" customHeight="1" thickBot="1" x14ac:dyDescent="0.2">
      <c r="B72" s="686" t="s">
        <v>13</v>
      </c>
      <c r="C72" s="687">
        <v>0.8</v>
      </c>
      <c r="D72" s="688"/>
      <c r="E72" s="689"/>
      <c r="F72" s="690"/>
      <c r="G72" s="691"/>
      <c r="H72" s="692"/>
      <c r="I72" s="692"/>
      <c r="J72" s="693"/>
      <c r="K72" s="694"/>
      <c r="L72" s="694"/>
      <c r="M72" s="694"/>
      <c r="N72" s="694"/>
      <c r="O72" s="694"/>
      <c r="P72" s="694"/>
      <c r="Q72" s="695"/>
      <c r="R72" s="696"/>
      <c r="S72" s="696"/>
      <c r="T72" s="696"/>
      <c r="U72" s="696"/>
      <c r="V72" s="697"/>
      <c r="W72" s="695"/>
      <c r="X72" s="696"/>
      <c r="Y72" s="696"/>
      <c r="Z72" s="696"/>
      <c r="AA72" s="696"/>
      <c r="AB72" s="697"/>
      <c r="AC72" s="696"/>
      <c r="AD72" s="696"/>
      <c r="AE72" s="696"/>
      <c r="AF72" s="696"/>
      <c r="AG72" s="696"/>
      <c r="AH72" s="697"/>
      <c r="AI72" s="695"/>
      <c r="AJ72" s="696"/>
      <c r="AK72" s="696"/>
      <c r="AL72" s="696"/>
      <c r="AM72" s="696"/>
      <c r="AN72" s="699"/>
    </row>
    <row r="73" spans="2:40" x14ac:dyDescent="0.15">
      <c r="B73" s="700" t="s">
        <v>13</v>
      </c>
      <c r="C73" s="741" t="s">
        <v>180</v>
      </c>
      <c r="D73" s="593" t="s">
        <v>192</v>
      </c>
      <c r="E73" s="701">
        <f>VLOOKUP($B73&amp;"_"&amp;$D73,'App5 - CRUK Inci Rates'!C:H,6,FALSE)</f>
        <v>0</v>
      </c>
      <c r="F73" s="702">
        <f>VLOOKUP($B73&amp;"_"&amp;$D73,'App5 - CRUK Inci Rates'!C:H,3,FALSE)</f>
        <v>13.2</v>
      </c>
      <c r="G73" s="703">
        <f>VLOOKUP($B73&amp;"_"&amp;$D73,'App5 - CRUK Inci Rates'!C:J,8,FALSE)</f>
        <v>2054223.3333333333</v>
      </c>
      <c r="H73" s="704">
        <f>VLOOKUP($B73&amp;"_"&amp;$D73,'App5 - CRUK Inci Rates'!C:J,7,FALSE)</f>
        <v>0</v>
      </c>
      <c r="I73" s="704">
        <f>VLOOKUP($B73&amp;"_"&amp;$D73,'App5 - CRUK Inci Rates'!C:J,4,FALSE)</f>
        <v>2054223.3333333333</v>
      </c>
      <c r="J73" s="705">
        <f>VLOOKUP($B73&amp;"_"&amp;$D73,'App5 - CRUK Inci Rates'!C:K,9,FALSE)</f>
        <v>270</v>
      </c>
      <c r="K73" s="706">
        <f t="shared" si="8"/>
        <v>1027111.6666666666</v>
      </c>
      <c r="L73" s="706">
        <f>VLOOKUP("*"&amp;$B73&amp;"*",'S4 - Summ PRS Characteristics'!$C$5:$Q$12,11,FALSE)*$J73</f>
        <v>157.06848426367819</v>
      </c>
      <c r="M73" s="706">
        <f t="shared" si="9"/>
        <v>112.93151573632181</v>
      </c>
      <c r="N73" s="706">
        <f>IF($C73="other",(1-$C$7)*L73,(1-(VLOOKUP($C73,'S3 - Screening Tool Metrics'!$C$3:$G$17,5,FALSE)/100))*L73)</f>
        <v>31.41369685273563</v>
      </c>
      <c r="O73" s="706">
        <f>IF($C73="other",$C$7*L73,(VLOOKUP($C73,'S3 - Screening Tool Metrics'!$C$3:$G$17,5,FALSE)/100)*L73)</f>
        <v>125.65478741094256</v>
      </c>
      <c r="P73" s="706">
        <f t="shared" si="10"/>
        <v>46.538810152200952</v>
      </c>
      <c r="Q73" s="707">
        <f t="shared" ref="Q73:Q86" si="61">$G73*Q$3</f>
        <v>410844.66666666669</v>
      </c>
      <c r="R73" s="706">
        <f>VLOOKUP("*"&amp;$B73&amp;"*",'S4 - Summ PRS Characteristics'!$C$5:$Q$12,12,FALSE)*$J73</f>
        <v>70.907579327200025</v>
      </c>
      <c r="S73" s="706">
        <f>$J73-R73</f>
        <v>199.09242067279996</v>
      </c>
      <c r="T73" s="706">
        <f>IF($C73="other",(1-$C72)*R73,(1-(VLOOKUP($C73,'S3 - Screening Tool Metrics'!$C$3:$G$17,5,FALSE)/100))*R73)</f>
        <v>14.181515865440002</v>
      </c>
      <c r="U73" s="706">
        <f>IF($C73="other",$C72*R73,(VLOOKUP($C73,'S3 - Screening Tool Metrics'!$C$3:$G$17,5,FALSE)/100)*R73)</f>
        <v>56.72606346176002</v>
      </c>
      <c r="V73" s="708">
        <f t="shared" ref="V73:V86" si="62">$U73/$J73*100</f>
        <v>21.009653133985193</v>
      </c>
      <c r="W73" s="707">
        <f t="shared" ref="W73:W86" si="63">$G73*W$3</f>
        <v>205422.33333333334</v>
      </c>
      <c r="X73" s="706">
        <f>VLOOKUP("*"&amp;$B73&amp;"*",'S4 - Summ PRS Characteristics'!$C$5:$Q$12,13,FALSE)*$J73</f>
        <v>38.107461257263161</v>
      </c>
      <c r="Y73" s="706">
        <f>$J73-X73</f>
        <v>231.89253874273683</v>
      </c>
      <c r="Z73" s="706">
        <f>IF($C73="other",(1-$C72)*X73,(1-(VLOOKUP($C73,'S3 - Screening Tool Metrics'!$C$3:$G$17,5,FALSE)/100))*X73)</f>
        <v>7.6214922514526302</v>
      </c>
      <c r="AA73" s="706">
        <f>IF($C73="other",$C72*X73,(VLOOKUP($C73,'S3 - Screening Tool Metrics'!$C$3:$G$17,5,FALSE)/100)*X73)</f>
        <v>30.485969005810531</v>
      </c>
      <c r="AB73" s="708">
        <f t="shared" ref="AB73:AB86" si="64">$AA73/$J73*100</f>
        <v>11.291099631781679</v>
      </c>
      <c r="AC73" s="706">
        <f t="shared" ref="AC73:AC86" si="65">$G73*AC$3</f>
        <v>102711.16666666667</v>
      </c>
      <c r="AD73" s="706">
        <f>VLOOKUP("*"&amp;$B73&amp;"*",'S4 - Summ PRS Characteristics'!$C$5:$Q$12,14,FALSE)*$J73</f>
        <v>20.288714315165752</v>
      </c>
      <c r="AE73" s="706">
        <f>$J73-AD73</f>
        <v>249.71128568483425</v>
      </c>
      <c r="AF73" s="706">
        <f>IF($C73="other",(1-$C72)*AD73,(1-(VLOOKUP($C73,'S3 - Screening Tool Metrics'!$C$3:$G$17,5,FALSE)/100))*AD73)</f>
        <v>4.0577428630331491</v>
      </c>
      <c r="AG73" s="706">
        <f>IF($C73="other",$C72*AD73,(VLOOKUP($C73,'S3 - Screening Tool Metrics'!$C$3:$G$17,5,FALSE)/100)*AD73)</f>
        <v>16.230971452132604</v>
      </c>
      <c r="AH73" s="708">
        <f t="shared" ref="AH73:AH86" si="66">$AG73/$J73*100</f>
        <v>6.0114709081972606</v>
      </c>
      <c r="AI73" s="707">
        <f t="shared" ref="AI73:AI86" si="67">$G73*AI$3</f>
        <v>20542.233333333334</v>
      </c>
      <c r="AJ73" s="706">
        <f>VLOOKUP("*"&amp;$B73&amp;"*",'S4 - Summ PRS Characteristics'!$C$5:$Q$12,15,FALSE)*$J73</f>
        <v>4.5906621794031635</v>
      </c>
      <c r="AK73" s="706">
        <f>$J73-AJ73</f>
        <v>265.40933782059682</v>
      </c>
      <c r="AL73" s="706">
        <f>IF($C73="other",(1-$C72)*AJ73,(1-(VLOOKUP($C73,'S3 - Screening Tool Metrics'!$C$3:$G$17,5,FALSE)/100))*AJ73)</f>
        <v>0.91813243588063254</v>
      </c>
      <c r="AM73" s="706">
        <f>IF($C73="other",$C72*AJ73,(VLOOKUP($C73,'S3 - Screening Tool Metrics'!$C$3:$G$17,5,FALSE)/100)*AJ73)</f>
        <v>3.672529743522531</v>
      </c>
      <c r="AN73" s="709">
        <f t="shared" ref="AN73:AN86" si="68">$AM73/$J73*100</f>
        <v>1.3601962013046411</v>
      </c>
    </row>
    <row r="74" spans="2:40" x14ac:dyDescent="0.15">
      <c r="B74" s="700" t="s">
        <v>13</v>
      </c>
      <c r="C74" s="721" t="str">
        <f>$C73</f>
        <v>Other</v>
      </c>
      <c r="D74" s="552" t="s">
        <v>193</v>
      </c>
      <c r="E74" s="710">
        <f>VLOOKUP($B74&amp;"_"&amp;$D74,'App5 - CRUK Inci Rates'!C:H,6,FALSE)</f>
        <v>0</v>
      </c>
      <c r="F74" s="711">
        <f>VLOOKUP($B74&amp;"_"&amp;$D74,'App5 - CRUK Inci Rates'!C:H,3,FALSE)</f>
        <v>19.399999999999999</v>
      </c>
      <c r="G74" s="712">
        <f>VLOOKUP($B74&amp;"_"&amp;$D74,'App5 - CRUK Inci Rates'!C:J,8,FALSE)</f>
        <v>2315479.3333333335</v>
      </c>
      <c r="H74" s="713">
        <f>VLOOKUP($B74&amp;"_"&amp;$D74,'App5 - CRUK Inci Rates'!C:J,7,FALSE)</f>
        <v>0</v>
      </c>
      <c r="I74" s="713">
        <f>VLOOKUP($B74&amp;"_"&amp;$D74,'App5 - CRUK Inci Rates'!C:J,4,FALSE)</f>
        <v>2315479.3333333335</v>
      </c>
      <c r="J74" s="709">
        <f>VLOOKUP($B74&amp;"_"&amp;$D74,'App5 - CRUK Inci Rates'!C:K,9,FALSE)</f>
        <v>448</v>
      </c>
      <c r="K74" s="706">
        <f t="shared" ref="K74:K137" si="69">$G74*$K$3</f>
        <v>1157739.6666666667</v>
      </c>
      <c r="L74" s="706">
        <f>VLOOKUP("*"&amp;$B74&amp;"*",'S4 - Summ PRS Characteristics'!$C$5:$Q$12,11,FALSE)*$J74</f>
        <v>260.61733685232531</v>
      </c>
      <c r="M74" s="706">
        <f t="shared" ref="M74:M137" si="70">$J74-$L74</f>
        <v>187.38266314767469</v>
      </c>
      <c r="N74" s="706">
        <f>IF($C74="other",(1-$C$7)*L74,(1-(VLOOKUP($C74,'S3 - Screening Tool Metrics'!$C$3:$G$17,5,FALSE)/100))*L74)</f>
        <v>52.12346737046505</v>
      </c>
      <c r="O74" s="706">
        <f>IF($C74="other",$C$7*L74,(VLOOKUP($C74,'S3 - Screening Tool Metrics'!$C$3:$G$17,5,FALSE)/100)*L74)</f>
        <v>208.49386948186026</v>
      </c>
      <c r="P74" s="706">
        <f t="shared" ref="P74:P137" si="71">O74/J74*100</f>
        <v>46.538810152200952</v>
      </c>
      <c r="Q74" s="707">
        <f t="shared" si="61"/>
        <v>463095.8666666667</v>
      </c>
      <c r="R74" s="706">
        <f>VLOOKUP("*"&amp;$B74&amp;"*",'S4 - Summ PRS Characteristics'!$C$5:$Q$12,12,FALSE)*$J74</f>
        <v>117.65405755031708</v>
      </c>
      <c r="S74" s="706">
        <f t="shared" ref="S74:S86" si="72">$J74-R74</f>
        <v>330.34594244968292</v>
      </c>
      <c r="T74" s="706">
        <f>IF($C74="other",(1-$C72)*R74,(1-(VLOOKUP($C74,'S3 - Screening Tool Metrics'!$C$3:$G$17,5,FALSE)/100))*R74)</f>
        <v>23.530811510063412</v>
      </c>
      <c r="U74" s="706">
        <f>IF($C74="other",$C72*R74,(VLOOKUP($C74,'S3 - Screening Tool Metrics'!$C$3:$G$17,5,FALSE)/100)*R74)</f>
        <v>94.123246040253662</v>
      </c>
      <c r="V74" s="708">
        <f t="shared" si="62"/>
        <v>21.009653133985193</v>
      </c>
      <c r="W74" s="707">
        <f t="shared" si="63"/>
        <v>231547.93333333335</v>
      </c>
      <c r="X74" s="706">
        <f>VLOOKUP("*"&amp;$B74&amp;"*",'S4 - Summ PRS Characteristics'!$C$5:$Q$12,13,FALSE)*$J74</f>
        <v>63.230157937977395</v>
      </c>
      <c r="Y74" s="706">
        <f t="shared" ref="Y74:Y86" si="73">$J74-X74</f>
        <v>384.76984206202258</v>
      </c>
      <c r="Z74" s="706">
        <f>IF($C74="other",(1-$C72)*X74,(1-(VLOOKUP($C74,'S3 - Screening Tool Metrics'!$C$3:$G$17,5,FALSE)/100))*X74)</f>
        <v>12.646031587595477</v>
      </c>
      <c r="AA74" s="706">
        <f>IF($C74="other",$C72*X74,(VLOOKUP($C74,'S3 - Screening Tool Metrics'!$C$3:$G$17,5,FALSE)/100)*X74)</f>
        <v>50.584126350381922</v>
      </c>
      <c r="AB74" s="708">
        <f t="shared" si="64"/>
        <v>11.291099631781679</v>
      </c>
      <c r="AC74" s="706">
        <f t="shared" si="65"/>
        <v>115773.96666666667</v>
      </c>
      <c r="AD74" s="706">
        <f>VLOOKUP("*"&amp;$B74&amp;"*",'S4 - Summ PRS Characteristics'!$C$5:$Q$12,14,FALSE)*$J74</f>
        <v>33.664237085904652</v>
      </c>
      <c r="AE74" s="706">
        <f>$J74-AD74</f>
        <v>414.33576291409537</v>
      </c>
      <c r="AF74" s="706">
        <f>IF($C74="other",(1-$C72)*AD74,(1-(VLOOKUP($C74,'S3 - Screening Tool Metrics'!$C$3:$G$17,5,FALSE)/100))*AD74)</f>
        <v>6.7328474171809294</v>
      </c>
      <c r="AG74" s="706">
        <f>IF($C74="other",$C72*AD74,(VLOOKUP($C74,'S3 - Screening Tool Metrics'!$C$3:$G$17,5,FALSE)/100)*AD74)</f>
        <v>26.931389668723725</v>
      </c>
      <c r="AH74" s="708">
        <f t="shared" si="66"/>
        <v>6.0114709081972597</v>
      </c>
      <c r="AI74" s="707">
        <f t="shared" si="67"/>
        <v>23154.793333333335</v>
      </c>
      <c r="AJ74" s="706">
        <f>VLOOKUP("*"&amp;$B74&amp;"*",'S4 - Summ PRS Characteristics'!$C$5:$Q$12,15,FALSE)*$J74</f>
        <v>7.6170987273059891</v>
      </c>
      <c r="AK74" s="706">
        <f t="shared" ref="AK74:AK86" si="74">$J74-AJ74</f>
        <v>440.38290127269403</v>
      </c>
      <c r="AL74" s="706">
        <f>IF($C74="other",(1-$C72)*AJ74,(1-(VLOOKUP($C74,'S3 - Screening Tool Metrics'!$C$3:$G$17,5,FALSE)/100))*AJ74)</f>
        <v>1.5234197454611975</v>
      </c>
      <c r="AM74" s="706">
        <f>IF($C74="other",$C72*AJ74,(VLOOKUP($C74,'S3 - Screening Tool Metrics'!$C$3:$G$17,5,FALSE)/100)*AJ74)</f>
        <v>6.0936789818447918</v>
      </c>
      <c r="AN74" s="709">
        <f t="shared" si="68"/>
        <v>1.3601962013046409</v>
      </c>
    </row>
    <row r="75" spans="2:40" x14ac:dyDescent="0.15">
      <c r="B75" s="700" t="s">
        <v>13</v>
      </c>
      <c r="C75" s="721" t="str">
        <f>$C73</f>
        <v>Other</v>
      </c>
      <c r="D75" s="552" t="s">
        <v>194</v>
      </c>
      <c r="E75" s="710">
        <f>VLOOKUP($B75&amp;"_"&amp;$D75,'App5 - CRUK Inci Rates'!C:H,6,FALSE)</f>
        <v>0</v>
      </c>
      <c r="F75" s="711">
        <f>VLOOKUP($B75&amp;"_"&amp;$D75,'App5 - CRUK Inci Rates'!C:H,3,FALSE)</f>
        <v>27.1</v>
      </c>
      <c r="G75" s="712">
        <f>VLOOKUP($B75&amp;"_"&amp;$D75,'App5 - CRUK Inci Rates'!C:J,8,FALSE)</f>
        <v>2364638</v>
      </c>
      <c r="H75" s="713">
        <f>VLOOKUP($B75&amp;"_"&amp;$D75,'App5 - CRUK Inci Rates'!C:J,7,FALSE)</f>
        <v>0</v>
      </c>
      <c r="I75" s="713">
        <f>VLOOKUP($B75&amp;"_"&amp;$D75,'App5 - CRUK Inci Rates'!C:J,4,FALSE)</f>
        <v>2364638</v>
      </c>
      <c r="J75" s="709">
        <f>VLOOKUP($B75&amp;"_"&amp;$D75,'App5 - CRUK Inci Rates'!C:K,9,FALSE)</f>
        <v>640</v>
      </c>
      <c r="K75" s="706">
        <f t="shared" si="69"/>
        <v>1182319</v>
      </c>
      <c r="L75" s="706">
        <f>VLOOKUP("*"&amp;$B75&amp;"*",'S4 - Summ PRS Characteristics'!$C$5:$Q$12,11,FALSE)*$J75</f>
        <v>372.31048121760756</v>
      </c>
      <c r="M75" s="706">
        <f t="shared" si="70"/>
        <v>267.68951878239244</v>
      </c>
      <c r="N75" s="706">
        <f>IF($C75="other",(1-$C$7)*L75,(1-(VLOOKUP($C75,'S3 - Screening Tool Metrics'!$C$3:$G$17,5,FALSE)/100))*L75)</f>
        <v>74.462096243521501</v>
      </c>
      <c r="O75" s="706">
        <f>IF($C75="other",$C$7*L75,(VLOOKUP($C75,'S3 - Screening Tool Metrics'!$C$3:$G$17,5,FALSE)/100)*L75)</f>
        <v>297.84838497408606</v>
      </c>
      <c r="P75" s="706">
        <f t="shared" si="71"/>
        <v>46.538810152200952</v>
      </c>
      <c r="Q75" s="707">
        <f t="shared" si="61"/>
        <v>472927.60000000003</v>
      </c>
      <c r="R75" s="706">
        <f>VLOOKUP("*"&amp;$B75&amp;"*",'S4 - Summ PRS Characteristics'!$C$5:$Q$12,12,FALSE)*$J75</f>
        <v>168.07722507188151</v>
      </c>
      <c r="S75" s="706">
        <f t="shared" si="72"/>
        <v>471.92277492811849</v>
      </c>
      <c r="T75" s="706">
        <f>IF($C75="other",(1-$C72)*R75,(1-(VLOOKUP($C75,'S3 - Screening Tool Metrics'!$C$3:$G$17,5,FALSE)/100))*R75)</f>
        <v>33.615445014376299</v>
      </c>
      <c r="U75" s="706">
        <f>IF($C75="other",$C72*R75,(VLOOKUP($C75,'S3 - Screening Tool Metrics'!$C$3:$G$17,5,FALSE)/100)*R75)</f>
        <v>134.46178005750522</v>
      </c>
      <c r="V75" s="708">
        <f t="shared" si="62"/>
        <v>21.009653133985189</v>
      </c>
      <c r="W75" s="707">
        <f t="shared" si="63"/>
        <v>236463.80000000002</v>
      </c>
      <c r="X75" s="706">
        <f>VLOOKUP("*"&amp;$B75&amp;"*",'S4 - Summ PRS Characteristics'!$C$5:$Q$12,13,FALSE)*$J75</f>
        <v>90.328797054253428</v>
      </c>
      <c r="Y75" s="706">
        <f t="shared" si="73"/>
        <v>549.67120294574659</v>
      </c>
      <c r="Z75" s="706">
        <f>IF($C75="other",(1-$C72)*X75,(1-(VLOOKUP($C75,'S3 - Screening Tool Metrics'!$C$3:$G$17,5,FALSE)/100))*X75)</f>
        <v>18.065759410850681</v>
      </c>
      <c r="AA75" s="706">
        <f>IF($C75="other",$C72*X75,(VLOOKUP($C75,'S3 - Screening Tool Metrics'!$C$3:$G$17,5,FALSE)/100)*X75)</f>
        <v>72.26303764340274</v>
      </c>
      <c r="AB75" s="708">
        <f t="shared" si="64"/>
        <v>11.291099631781679</v>
      </c>
      <c r="AC75" s="706">
        <f t="shared" si="65"/>
        <v>118231.90000000001</v>
      </c>
      <c r="AD75" s="706">
        <f>VLOOKUP("*"&amp;$B75&amp;"*",'S4 - Summ PRS Characteristics'!$C$5:$Q$12,14,FALSE)*$J75</f>
        <v>48.091767265578078</v>
      </c>
      <c r="AE75" s="706">
        <f t="shared" ref="AE75:AE86" si="75">$J75-AD75</f>
        <v>591.90823273442197</v>
      </c>
      <c r="AF75" s="706">
        <f>IF($C75="other",(1-$C72)*AD75,(1-(VLOOKUP($C75,'S3 - Screening Tool Metrics'!$C$3:$G$17,5,FALSE)/100))*AD75)</f>
        <v>9.6183534531156134</v>
      </c>
      <c r="AG75" s="706">
        <f>IF($C75="other",$C72*AD75,(VLOOKUP($C75,'S3 - Screening Tool Metrics'!$C$3:$G$17,5,FALSE)/100)*AD75)</f>
        <v>38.473413812462468</v>
      </c>
      <c r="AH75" s="708">
        <f t="shared" si="66"/>
        <v>6.0114709081972606</v>
      </c>
      <c r="AI75" s="707">
        <f t="shared" si="67"/>
        <v>23646.38</v>
      </c>
      <c r="AJ75" s="706">
        <f>VLOOKUP("*"&amp;$B75&amp;"*",'S4 - Summ PRS Characteristics'!$C$5:$Q$12,15,FALSE)*$J75</f>
        <v>10.881569610437127</v>
      </c>
      <c r="AK75" s="706">
        <f t="shared" si="74"/>
        <v>629.11843038956283</v>
      </c>
      <c r="AL75" s="706">
        <f>IF($C75="other",(1-$C72)*AJ75,(1-(VLOOKUP($C75,'S3 - Screening Tool Metrics'!$C$3:$G$17,5,FALSE)/100))*AJ75)</f>
        <v>2.176313922087425</v>
      </c>
      <c r="AM75" s="706">
        <f>IF($C75="other",$C72*AJ75,(VLOOKUP($C75,'S3 - Screening Tool Metrics'!$C$3:$G$17,5,FALSE)/100)*AJ75)</f>
        <v>8.7052556883497019</v>
      </c>
      <c r="AN75" s="709">
        <f t="shared" si="68"/>
        <v>1.3601962013046409</v>
      </c>
    </row>
    <row r="76" spans="2:40" x14ac:dyDescent="0.15">
      <c r="B76" s="700" t="s">
        <v>13</v>
      </c>
      <c r="C76" s="721" t="str">
        <f>$C73</f>
        <v>Other</v>
      </c>
      <c r="D76" s="552" t="s">
        <v>195</v>
      </c>
      <c r="E76" s="710">
        <f>VLOOKUP($B76&amp;"_"&amp;$D76,'App5 - CRUK Inci Rates'!C:H,6,FALSE)</f>
        <v>0</v>
      </c>
      <c r="F76" s="711">
        <f>VLOOKUP($B76&amp;"_"&amp;$D76,'App5 - CRUK Inci Rates'!C:H,3,FALSE)</f>
        <v>34.799999999999997</v>
      </c>
      <c r="G76" s="712">
        <f>VLOOKUP($B76&amp;"_"&amp;$D76,'App5 - CRUK Inci Rates'!C:J,8,FALSE)</f>
        <v>2119687.3333333335</v>
      </c>
      <c r="H76" s="713">
        <f>VLOOKUP($B76&amp;"_"&amp;$D76,'App5 - CRUK Inci Rates'!C:J,7,FALSE)</f>
        <v>0</v>
      </c>
      <c r="I76" s="713">
        <f>VLOOKUP($B76&amp;"_"&amp;$D76,'App5 - CRUK Inci Rates'!C:J,4,FALSE)</f>
        <v>2119687.3333333335</v>
      </c>
      <c r="J76" s="709">
        <f>VLOOKUP($B76&amp;"_"&amp;$D76,'App5 - CRUK Inci Rates'!C:K,9,FALSE)</f>
        <v>738</v>
      </c>
      <c r="K76" s="706">
        <f t="shared" si="69"/>
        <v>1059843.6666666667</v>
      </c>
      <c r="L76" s="706">
        <f>VLOOKUP("*"&amp;$B76&amp;"*",'S4 - Summ PRS Characteristics'!$C$5:$Q$12,11,FALSE)*$J76</f>
        <v>429.32052365405372</v>
      </c>
      <c r="M76" s="706">
        <f t="shared" si="70"/>
        <v>308.67947634594628</v>
      </c>
      <c r="N76" s="706">
        <f>IF($C76="other",(1-$C$7)*L76,(1-(VLOOKUP($C76,'S3 - Screening Tool Metrics'!$C$3:$G$17,5,FALSE)/100))*L76)</f>
        <v>85.864104730810723</v>
      </c>
      <c r="O76" s="706">
        <f>IF($C76="other",$C$7*L76,(VLOOKUP($C76,'S3 - Screening Tool Metrics'!$C$3:$G$17,5,FALSE)/100)*L76)</f>
        <v>343.45641892324301</v>
      </c>
      <c r="P76" s="706">
        <f t="shared" si="71"/>
        <v>46.538810152200952</v>
      </c>
      <c r="Q76" s="707">
        <f t="shared" si="61"/>
        <v>423937.46666666673</v>
      </c>
      <c r="R76" s="706">
        <f>VLOOKUP("*"&amp;$B76&amp;"*",'S4 - Summ PRS Characteristics'!$C$5:$Q$12,12,FALSE)*$J76</f>
        <v>193.8140501610134</v>
      </c>
      <c r="S76" s="706">
        <f t="shared" si="72"/>
        <v>544.18594983898663</v>
      </c>
      <c r="T76" s="706">
        <f>IF($C76="other",(1-$C72)*R76,(1-(VLOOKUP($C76,'S3 - Screening Tool Metrics'!$C$3:$G$17,5,FALSE)/100))*R76)</f>
        <v>38.762810032202673</v>
      </c>
      <c r="U76" s="706">
        <f>IF($C76="other",$C72*R76,(VLOOKUP($C76,'S3 - Screening Tool Metrics'!$C$3:$G$17,5,FALSE)/100)*R76)</f>
        <v>155.05124012881072</v>
      </c>
      <c r="V76" s="708">
        <f t="shared" si="62"/>
        <v>21.009653133985193</v>
      </c>
      <c r="W76" s="707">
        <f t="shared" si="63"/>
        <v>211968.73333333337</v>
      </c>
      <c r="X76" s="706">
        <f>VLOOKUP("*"&amp;$B76&amp;"*",'S4 - Summ PRS Characteristics'!$C$5:$Q$12,13,FALSE)*$J76</f>
        <v>104.16039410318598</v>
      </c>
      <c r="Y76" s="706">
        <f t="shared" si="73"/>
        <v>633.83960589681396</v>
      </c>
      <c r="Z76" s="706">
        <f>IF($C76="other",(1-$C72)*X76,(1-(VLOOKUP($C76,'S3 - Screening Tool Metrics'!$C$3:$G$17,5,FALSE)/100))*X76)</f>
        <v>20.832078820637189</v>
      </c>
      <c r="AA76" s="706">
        <f>IF($C76="other",$C72*X76,(VLOOKUP($C76,'S3 - Screening Tool Metrics'!$C$3:$G$17,5,FALSE)/100)*X76)</f>
        <v>83.328315282548786</v>
      </c>
      <c r="AB76" s="708">
        <f t="shared" si="64"/>
        <v>11.291099631781679</v>
      </c>
      <c r="AC76" s="706">
        <f t="shared" si="65"/>
        <v>105984.36666666668</v>
      </c>
      <c r="AD76" s="706">
        <f>VLOOKUP("*"&amp;$B76&amp;"*",'S4 - Summ PRS Characteristics'!$C$5:$Q$12,14,FALSE)*$J76</f>
        <v>55.455819128119721</v>
      </c>
      <c r="AE76" s="706">
        <f t="shared" si="75"/>
        <v>682.54418087188026</v>
      </c>
      <c r="AF76" s="706">
        <f>IF($C76="other",(1-$C72)*AD76,(1-(VLOOKUP($C76,'S3 - Screening Tool Metrics'!$C$3:$G$17,5,FALSE)/100))*AD76)</f>
        <v>11.091163825623942</v>
      </c>
      <c r="AG76" s="706">
        <f>IF($C76="other",$C72*AD76,(VLOOKUP($C76,'S3 - Screening Tool Metrics'!$C$3:$G$17,5,FALSE)/100)*AD76)</f>
        <v>44.364655302495777</v>
      </c>
      <c r="AH76" s="708">
        <f t="shared" si="66"/>
        <v>6.0114709081972597</v>
      </c>
      <c r="AI76" s="707">
        <f t="shared" si="67"/>
        <v>21196.873333333337</v>
      </c>
      <c r="AJ76" s="706">
        <f>VLOOKUP("*"&amp;$B76&amp;"*",'S4 - Summ PRS Characteristics'!$C$5:$Q$12,15,FALSE)*$J76</f>
        <v>12.547809957035312</v>
      </c>
      <c r="AK76" s="706">
        <f t="shared" si="74"/>
        <v>725.45219004296473</v>
      </c>
      <c r="AL76" s="706">
        <f>IF($C76="other",(1-$C72)*AJ76,(1-(VLOOKUP($C76,'S3 - Screening Tool Metrics'!$C$3:$G$17,5,FALSE)/100))*AJ76)</f>
        <v>2.5095619914070619</v>
      </c>
      <c r="AM76" s="706">
        <f>IF($C76="other",$C72*AJ76,(VLOOKUP($C76,'S3 - Screening Tool Metrics'!$C$3:$G$17,5,FALSE)/100)*AJ76)</f>
        <v>10.038247965628251</v>
      </c>
      <c r="AN76" s="709">
        <f t="shared" si="68"/>
        <v>1.3601962013046411</v>
      </c>
    </row>
    <row r="77" spans="2:40" x14ac:dyDescent="0.15">
      <c r="B77" s="700" t="s">
        <v>13</v>
      </c>
      <c r="C77" s="721" t="str">
        <f>$C73</f>
        <v>Other</v>
      </c>
      <c r="D77" s="552" t="s">
        <v>196</v>
      </c>
      <c r="E77" s="710">
        <f>VLOOKUP($B77&amp;"_"&amp;$D77,'App5 - CRUK Inci Rates'!C:H,6,FALSE)</f>
        <v>0</v>
      </c>
      <c r="F77" s="711">
        <f>VLOOKUP($B77&amp;"_"&amp;$D77,'App5 - CRUK Inci Rates'!C:H,3,FALSE)</f>
        <v>41.6</v>
      </c>
      <c r="G77" s="712">
        <f>VLOOKUP($B77&amp;"_"&amp;$D77,'App5 - CRUK Inci Rates'!C:J,8,FALSE)</f>
        <v>1837174</v>
      </c>
      <c r="H77" s="713">
        <f>VLOOKUP($B77&amp;"_"&amp;$D77,'App5 - CRUK Inci Rates'!C:J,7,FALSE)</f>
        <v>0</v>
      </c>
      <c r="I77" s="713">
        <f>VLOOKUP($B77&amp;"_"&amp;$D77,'App5 - CRUK Inci Rates'!C:J,4,FALSE)</f>
        <v>1837174</v>
      </c>
      <c r="J77" s="709">
        <f>VLOOKUP($B77&amp;"_"&amp;$D77,'App5 - CRUK Inci Rates'!C:K,9,FALSE)</f>
        <v>764</v>
      </c>
      <c r="K77" s="706">
        <f t="shared" si="69"/>
        <v>918587</v>
      </c>
      <c r="L77" s="706">
        <f>VLOOKUP("*"&amp;$B77&amp;"*",'S4 - Summ PRS Characteristics'!$C$5:$Q$12,11,FALSE)*$J77</f>
        <v>444.44563695351906</v>
      </c>
      <c r="M77" s="706">
        <f t="shared" si="70"/>
        <v>319.55436304648094</v>
      </c>
      <c r="N77" s="706">
        <f>IF($C77="other",(1-$C$7)*L77,(1-(VLOOKUP($C77,'S3 - Screening Tool Metrics'!$C$3:$G$17,5,FALSE)/100))*L77)</f>
        <v>88.889127390703791</v>
      </c>
      <c r="O77" s="706">
        <f>IF($C77="other",$C$7*L77,(VLOOKUP($C77,'S3 - Screening Tool Metrics'!$C$3:$G$17,5,FALSE)/100)*L77)</f>
        <v>355.55650956281528</v>
      </c>
      <c r="P77" s="706">
        <f t="shared" si="71"/>
        <v>46.538810152200952</v>
      </c>
      <c r="Q77" s="707">
        <f t="shared" si="61"/>
        <v>367434.80000000005</v>
      </c>
      <c r="R77" s="706">
        <f>VLOOKUP("*"&amp;$B77&amp;"*",'S4 - Summ PRS Characteristics'!$C$5:$Q$12,12,FALSE)*$J77</f>
        <v>200.64218742955856</v>
      </c>
      <c r="S77" s="706">
        <f t="shared" si="72"/>
        <v>563.35781257044141</v>
      </c>
      <c r="T77" s="706">
        <f>IF($C77="other",(1-$C72)*R77,(1-(VLOOKUP($C77,'S3 - Screening Tool Metrics'!$C$3:$G$17,5,FALSE)/100))*R77)</f>
        <v>40.128437485911704</v>
      </c>
      <c r="U77" s="706">
        <f>IF($C77="other",$C72*R77,(VLOOKUP($C77,'S3 - Screening Tool Metrics'!$C$3:$G$17,5,FALSE)/100)*R77)</f>
        <v>160.51374994364687</v>
      </c>
      <c r="V77" s="708">
        <f t="shared" si="62"/>
        <v>21.009653133985193</v>
      </c>
      <c r="W77" s="707">
        <f t="shared" si="63"/>
        <v>183717.40000000002</v>
      </c>
      <c r="X77" s="706">
        <f>VLOOKUP("*"&amp;$B77&amp;"*",'S4 - Summ PRS Characteristics'!$C$5:$Q$12,13,FALSE)*$J77</f>
        <v>107.83000148351502</v>
      </c>
      <c r="Y77" s="706">
        <f t="shared" si="73"/>
        <v>656.16999851648495</v>
      </c>
      <c r="Z77" s="706">
        <f>IF($C77="other",(1-$C72)*X77,(1-(VLOOKUP($C77,'S3 - Screening Tool Metrics'!$C$3:$G$17,5,FALSE)/100))*X77)</f>
        <v>21.566000296702999</v>
      </c>
      <c r="AA77" s="706">
        <f>IF($C77="other",$C72*X77,(VLOOKUP($C77,'S3 - Screening Tool Metrics'!$C$3:$G$17,5,FALSE)/100)*X77)</f>
        <v>86.264001186812024</v>
      </c>
      <c r="AB77" s="708">
        <f t="shared" si="64"/>
        <v>11.291099631781679</v>
      </c>
      <c r="AC77" s="706">
        <f t="shared" si="65"/>
        <v>91858.700000000012</v>
      </c>
      <c r="AD77" s="706">
        <f>VLOOKUP("*"&amp;$B77&amp;"*",'S4 - Summ PRS Characteristics'!$C$5:$Q$12,14,FALSE)*$J77</f>
        <v>57.409547173283826</v>
      </c>
      <c r="AE77" s="706">
        <f t="shared" si="75"/>
        <v>706.59045282671616</v>
      </c>
      <c r="AF77" s="706">
        <f>IF($C77="other",(1-$C72)*AD77,(1-(VLOOKUP($C77,'S3 - Screening Tool Metrics'!$C$3:$G$17,5,FALSE)/100))*AD77)</f>
        <v>11.481909434656762</v>
      </c>
      <c r="AG77" s="706">
        <f>IF($C77="other",$C72*AD77,(VLOOKUP($C77,'S3 - Screening Tool Metrics'!$C$3:$G$17,5,FALSE)/100)*AD77)</f>
        <v>45.927637738627062</v>
      </c>
      <c r="AH77" s="708">
        <f t="shared" si="66"/>
        <v>6.0114709081972597</v>
      </c>
      <c r="AI77" s="707">
        <f t="shared" si="67"/>
        <v>18371.740000000002</v>
      </c>
      <c r="AJ77" s="706">
        <f>VLOOKUP("*"&amp;$B77&amp;"*",'S4 - Summ PRS Characteristics'!$C$5:$Q$12,15,FALSE)*$J77</f>
        <v>12.98987372245932</v>
      </c>
      <c r="AK77" s="706">
        <f t="shared" si="74"/>
        <v>751.01012627754073</v>
      </c>
      <c r="AL77" s="706">
        <f>IF($C77="other",(1-$C72)*AJ77,(1-(VLOOKUP($C77,'S3 - Screening Tool Metrics'!$C$3:$G$17,5,FALSE)/100))*AJ77)</f>
        <v>2.5979747444918635</v>
      </c>
      <c r="AM77" s="706">
        <f>IF($C77="other",$C72*AJ77,(VLOOKUP($C77,'S3 - Screening Tool Metrics'!$C$3:$G$17,5,FALSE)/100)*AJ77)</f>
        <v>10.391898977967458</v>
      </c>
      <c r="AN77" s="709">
        <f t="shared" si="68"/>
        <v>1.3601962013046409</v>
      </c>
    </row>
    <row r="78" spans="2:40" x14ac:dyDescent="0.15">
      <c r="B78" s="700" t="s">
        <v>13</v>
      </c>
      <c r="C78" s="721" t="str">
        <f>$C73</f>
        <v>Other</v>
      </c>
      <c r="D78" s="552" t="s">
        <v>197</v>
      </c>
      <c r="E78" s="710">
        <f>VLOOKUP($B78&amp;"_"&amp;$D78,'App5 - CRUK Inci Rates'!C:H,6,FALSE)</f>
        <v>0</v>
      </c>
      <c r="F78" s="711">
        <f>VLOOKUP($B78&amp;"_"&amp;$D78,'App5 - CRUK Inci Rates'!C:H,3,FALSE)</f>
        <v>52.3</v>
      </c>
      <c r="G78" s="712">
        <f>VLOOKUP($B78&amp;"_"&amp;$D78,'App5 - CRUK Inci Rates'!C:J,8,FALSE)</f>
        <v>1805190</v>
      </c>
      <c r="H78" s="713">
        <f>VLOOKUP($B78&amp;"_"&amp;$D78,'App5 - CRUK Inci Rates'!C:J,7,FALSE)</f>
        <v>0</v>
      </c>
      <c r="I78" s="713">
        <f>VLOOKUP($B78&amp;"_"&amp;$D78,'App5 - CRUK Inci Rates'!C:J,4,FALSE)</f>
        <v>1805190</v>
      </c>
      <c r="J78" s="709">
        <f>VLOOKUP($B78&amp;"_"&amp;$D78,'App5 - CRUK Inci Rates'!C:K,9,FALSE)</f>
        <v>944</v>
      </c>
      <c r="K78" s="706">
        <f t="shared" si="69"/>
        <v>902595</v>
      </c>
      <c r="L78" s="706">
        <f>VLOOKUP("*"&amp;$B78&amp;"*",'S4 - Summ PRS Characteristics'!$C$5:$Q$12,11,FALSE)*$J78</f>
        <v>549.15795979597112</v>
      </c>
      <c r="M78" s="706">
        <f t="shared" si="70"/>
        <v>394.84204020402888</v>
      </c>
      <c r="N78" s="706">
        <f>IF($C78="other",(1-$C$7)*L78,(1-(VLOOKUP($C78,'S3 - Screening Tool Metrics'!$C$3:$G$17,5,FALSE)/100))*L78)</f>
        <v>109.8315919591942</v>
      </c>
      <c r="O78" s="706">
        <f>IF($C78="other",$C$7*L78,(VLOOKUP($C78,'S3 - Screening Tool Metrics'!$C$3:$G$17,5,FALSE)/100)*L78)</f>
        <v>439.32636783677691</v>
      </c>
      <c r="P78" s="706">
        <f t="shared" si="71"/>
        <v>46.538810152200945</v>
      </c>
      <c r="Q78" s="707">
        <f t="shared" si="61"/>
        <v>361038</v>
      </c>
      <c r="R78" s="706">
        <f>VLOOKUP("*"&amp;$B78&amp;"*",'S4 - Summ PRS Characteristics'!$C$5:$Q$12,12,FALSE)*$J78</f>
        <v>247.91390698102526</v>
      </c>
      <c r="S78" s="706">
        <f t="shared" si="72"/>
        <v>696.08609301897468</v>
      </c>
      <c r="T78" s="706">
        <f>IF($C78="other",(1-$C72)*R78,(1-(VLOOKUP($C78,'S3 - Screening Tool Metrics'!$C$3:$G$17,5,FALSE)/100))*R78)</f>
        <v>49.582781396205043</v>
      </c>
      <c r="U78" s="706">
        <f>IF($C78="other",$C72*R78,(VLOOKUP($C78,'S3 - Screening Tool Metrics'!$C$3:$G$17,5,FALSE)/100)*R78)</f>
        <v>198.33112558482023</v>
      </c>
      <c r="V78" s="708">
        <f t="shared" si="62"/>
        <v>21.009653133985193</v>
      </c>
      <c r="W78" s="707">
        <f t="shared" si="63"/>
        <v>180519</v>
      </c>
      <c r="X78" s="706">
        <f>VLOOKUP("*"&amp;$B78&amp;"*",'S4 - Summ PRS Characteristics'!$C$5:$Q$12,13,FALSE)*$J78</f>
        <v>133.23497565502379</v>
      </c>
      <c r="Y78" s="706">
        <f t="shared" si="73"/>
        <v>810.76502434497615</v>
      </c>
      <c r="Z78" s="706">
        <f>IF($C78="other",(1-$C72)*X78,(1-(VLOOKUP($C78,'S3 - Screening Tool Metrics'!$C$3:$G$17,5,FALSE)/100))*X78)</f>
        <v>26.646995131004751</v>
      </c>
      <c r="AA78" s="706">
        <f>IF($C78="other",$C72*X78,(VLOOKUP($C78,'S3 - Screening Tool Metrics'!$C$3:$G$17,5,FALSE)/100)*X78)</f>
        <v>106.58798052401903</v>
      </c>
      <c r="AB78" s="708">
        <f t="shared" si="64"/>
        <v>11.291099631781677</v>
      </c>
      <c r="AC78" s="706">
        <f t="shared" si="65"/>
        <v>90259.5</v>
      </c>
      <c r="AD78" s="706">
        <f>VLOOKUP("*"&amp;$B78&amp;"*",'S4 - Summ PRS Characteristics'!$C$5:$Q$12,14,FALSE)*$J78</f>
        <v>70.935356716727668</v>
      </c>
      <c r="AE78" s="706">
        <f t="shared" si="75"/>
        <v>873.06464328327229</v>
      </c>
      <c r="AF78" s="706">
        <f>IF($C78="other",(1-$C72)*AD78,(1-(VLOOKUP($C78,'S3 - Screening Tool Metrics'!$C$3:$G$17,5,FALSE)/100))*AD78)</f>
        <v>14.187071343345531</v>
      </c>
      <c r="AG78" s="706">
        <f>IF($C78="other",$C72*AD78,(VLOOKUP($C78,'S3 - Screening Tool Metrics'!$C$3:$G$17,5,FALSE)/100)*AD78)</f>
        <v>56.748285373382139</v>
      </c>
      <c r="AH78" s="708">
        <f t="shared" si="66"/>
        <v>6.0114709081972606</v>
      </c>
      <c r="AI78" s="707">
        <f t="shared" si="67"/>
        <v>18051.900000000001</v>
      </c>
      <c r="AJ78" s="706">
        <f>VLOOKUP("*"&amp;$B78&amp;"*",'S4 - Summ PRS Characteristics'!$C$5:$Q$12,15,FALSE)*$J78</f>
        <v>16.050315175394761</v>
      </c>
      <c r="AK78" s="706">
        <f t="shared" si="74"/>
        <v>927.94968482460524</v>
      </c>
      <c r="AL78" s="706">
        <f>IF($C78="other",(1-$C72)*AJ78,(1-(VLOOKUP($C78,'S3 - Screening Tool Metrics'!$C$3:$G$17,5,FALSE)/100))*AJ78)</f>
        <v>3.2100630350789516</v>
      </c>
      <c r="AM78" s="706">
        <f>IF($C78="other",$C72*AJ78,(VLOOKUP($C78,'S3 - Screening Tool Metrics'!$C$3:$G$17,5,FALSE)/100)*AJ78)</f>
        <v>12.84025214031581</v>
      </c>
      <c r="AN78" s="709">
        <f t="shared" si="68"/>
        <v>1.3601962013046409</v>
      </c>
    </row>
    <row r="79" spans="2:40" x14ac:dyDescent="0.15">
      <c r="B79" s="700" t="s">
        <v>13</v>
      </c>
      <c r="C79" s="721" t="str">
        <f>$C73</f>
        <v>Other</v>
      </c>
      <c r="D79" s="552" t="s">
        <v>198</v>
      </c>
      <c r="E79" s="710">
        <f>VLOOKUP($B79&amp;"_"&amp;$D79,'App5 - CRUK Inci Rates'!C:H,6,FALSE)</f>
        <v>0</v>
      </c>
      <c r="F79" s="711">
        <f>VLOOKUP($B79&amp;"_"&amp;$D79,'App5 - CRUK Inci Rates'!C:H,3,FALSE)</f>
        <v>60.8</v>
      </c>
      <c r="G79" s="712">
        <f>VLOOKUP($B79&amp;"_"&amp;$D79,'App5 - CRUK Inci Rates'!C:J,8,FALSE)</f>
        <v>1603609.6666666667</v>
      </c>
      <c r="H79" s="713">
        <f>VLOOKUP($B79&amp;"_"&amp;$D79,'App5 - CRUK Inci Rates'!C:J,7,FALSE)</f>
        <v>0</v>
      </c>
      <c r="I79" s="713">
        <f>VLOOKUP($B79&amp;"_"&amp;$D79,'App5 - CRUK Inci Rates'!C:J,4,FALSE)</f>
        <v>1603609.6666666667</v>
      </c>
      <c r="J79" s="709">
        <f>VLOOKUP($B79&amp;"_"&amp;$D79,'App5 - CRUK Inci Rates'!C:K,9,FALSE)</f>
        <v>975</v>
      </c>
      <c r="K79" s="706">
        <f t="shared" si="69"/>
        <v>801804.83333333337</v>
      </c>
      <c r="L79" s="706">
        <f>VLOOKUP("*"&amp;$B79&amp;"*",'S4 - Summ PRS Characteristics'!$C$5:$Q$12,11,FALSE)*$J79</f>
        <v>567.19174872994904</v>
      </c>
      <c r="M79" s="706">
        <f t="shared" si="70"/>
        <v>407.80825127005096</v>
      </c>
      <c r="N79" s="706">
        <f>IF($C79="other",(1-$C$7)*L79,(1-(VLOOKUP($C79,'S3 - Screening Tool Metrics'!$C$3:$G$17,5,FALSE)/100))*L79)</f>
        <v>113.43834974598978</v>
      </c>
      <c r="O79" s="706">
        <f>IF($C79="other",$C$7*L79,(VLOOKUP($C79,'S3 - Screening Tool Metrics'!$C$3:$G$17,5,FALSE)/100)*L79)</f>
        <v>453.75339898395924</v>
      </c>
      <c r="P79" s="706">
        <f t="shared" si="71"/>
        <v>46.538810152200952</v>
      </c>
      <c r="Q79" s="707">
        <f t="shared" si="61"/>
        <v>320721.93333333335</v>
      </c>
      <c r="R79" s="706">
        <f>VLOOKUP("*"&amp;$B79&amp;"*",'S4 - Summ PRS Characteristics'!$C$5:$Q$12,12,FALSE)*$J79</f>
        <v>256.05514757044449</v>
      </c>
      <c r="S79" s="706">
        <f t="shared" si="72"/>
        <v>718.94485242955557</v>
      </c>
      <c r="T79" s="706">
        <f>IF($C79="other",(1-$C72)*R79,(1-(VLOOKUP($C79,'S3 - Screening Tool Metrics'!$C$3:$G$17,5,FALSE)/100))*R79)</f>
        <v>51.211029514088885</v>
      </c>
      <c r="U79" s="706">
        <f>IF($C79="other",$C72*R79,(VLOOKUP($C79,'S3 - Screening Tool Metrics'!$C$3:$G$17,5,FALSE)/100)*R79)</f>
        <v>204.8441180563556</v>
      </c>
      <c r="V79" s="708">
        <f t="shared" si="62"/>
        <v>21.009653133985189</v>
      </c>
      <c r="W79" s="707">
        <f t="shared" si="63"/>
        <v>160360.96666666667</v>
      </c>
      <c r="X79" s="706">
        <f>VLOOKUP("*"&amp;$B79&amp;"*",'S4 - Summ PRS Characteristics'!$C$5:$Q$12,13,FALSE)*$J79</f>
        <v>137.6102767623392</v>
      </c>
      <c r="Y79" s="706">
        <f t="shared" si="73"/>
        <v>837.38972323766075</v>
      </c>
      <c r="Z79" s="706">
        <f>IF($C79="other",(1-$C72)*X79,(1-(VLOOKUP($C79,'S3 - Screening Tool Metrics'!$C$3:$G$17,5,FALSE)/100))*X79)</f>
        <v>27.522055352467834</v>
      </c>
      <c r="AA79" s="706">
        <f>IF($C79="other",$C72*X79,(VLOOKUP($C79,'S3 - Screening Tool Metrics'!$C$3:$G$17,5,FALSE)/100)*X79)</f>
        <v>110.08822140987137</v>
      </c>
      <c r="AB79" s="708">
        <f t="shared" si="64"/>
        <v>11.291099631781679</v>
      </c>
      <c r="AC79" s="706">
        <f t="shared" si="65"/>
        <v>80180.483333333337</v>
      </c>
      <c r="AD79" s="706">
        <f>VLOOKUP("*"&amp;$B79&amp;"*",'S4 - Summ PRS Characteristics'!$C$5:$Q$12,14,FALSE)*$J79</f>
        <v>73.264801693654107</v>
      </c>
      <c r="AE79" s="706">
        <f t="shared" si="75"/>
        <v>901.73519830634586</v>
      </c>
      <c r="AF79" s="706">
        <f>IF($C79="other",(1-$C72)*AD79,(1-(VLOOKUP($C79,'S3 - Screening Tool Metrics'!$C$3:$G$17,5,FALSE)/100))*AD79)</f>
        <v>14.652960338730818</v>
      </c>
      <c r="AG79" s="706">
        <f>IF($C79="other",$C72*AD79,(VLOOKUP($C79,'S3 - Screening Tool Metrics'!$C$3:$G$17,5,FALSE)/100)*AD79)</f>
        <v>58.611841354923286</v>
      </c>
      <c r="AH79" s="708">
        <f t="shared" si="66"/>
        <v>6.0114709081972597</v>
      </c>
      <c r="AI79" s="707">
        <f t="shared" si="67"/>
        <v>16036.096666666668</v>
      </c>
      <c r="AJ79" s="706">
        <f>VLOOKUP("*"&amp;$B79&amp;"*",'S4 - Summ PRS Characteristics'!$C$5:$Q$12,15,FALSE)*$J79</f>
        <v>16.57739120340031</v>
      </c>
      <c r="AK79" s="706">
        <f t="shared" si="74"/>
        <v>958.42260879659966</v>
      </c>
      <c r="AL79" s="706">
        <f>IF($C79="other",(1-$C72)*AJ79,(1-(VLOOKUP($C79,'S3 - Screening Tool Metrics'!$C$3:$G$17,5,FALSE)/100))*AJ79)</f>
        <v>3.3154782406800614</v>
      </c>
      <c r="AM79" s="706">
        <f>IF($C79="other",$C72*AJ79,(VLOOKUP($C79,'S3 - Screening Tool Metrics'!$C$3:$G$17,5,FALSE)/100)*AJ79)</f>
        <v>13.261912962720249</v>
      </c>
      <c r="AN79" s="709">
        <f t="shared" si="68"/>
        <v>1.3601962013046409</v>
      </c>
    </row>
    <row r="80" spans="2:40" x14ac:dyDescent="0.15">
      <c r="B80" s="700" t="s">
        <v>13</v>
      </c>
      <c r="C80" s="721" t="str">
        <f>$C73</f>
        <v>Other</v>
      </c>
      <c r="D80" s="552" t="s">
        <v>199</v>
      </c>
      <c r="E80" s="710">
        <f>VLOOKUP($B80&amp;"_"&amp;$D80,'App5 - CRUK Inci Rates'!C:H,6,FALSE)</f>
        <v>0</v>
      </c>
      <c r="F80" s="711">
        <f>VLOOKUP($B80&amp;"_"&amp;$D80,'App5 - CRUK Inci Rates'!C:H,3,FALSE)</f>
        <v>73.8</v>
      </c>
      <c r="G80" s="712">
        <f>VLOOKUP($B80&amp;"_"&amp;$D80,'App5 - CRUK Inci Rates'!C:J,8,FALSE)</f>
        <v>1181645.3333333333</v>
      </c>
      <c r="H80" s="713">
        <f>VLOOKUP($B80&amp;"_"&amp;$D80,'App5 - CRUK Inci Rates'!C:J,7,FALSE)</f>
        <v>0</v>
      </c>
      <c r="I80" s="713">
        <f>VLOOKUP($B80&amp;"_"&amp;$D80,'App5 - CRUK Inci Rates'!C:J,4,FALSE)</f>
        <v>1181645.3333333333</v>
      </c>
      <c r="J80" s="709">
        <f>VLOOKUP($B80&amp;"_"&amp;$D80,'App5 - CRUK Inci Rates'!C:K,9,FALSE)</f>
        <v>872</v>
      </c>
      <c r="K80" s="706">
        <f t="shared" si="69"/>
        <v>590822.66666666663</v>
      </c>
      <c r="L80" s="706">
        <f>VLOOKUP("*"&amp;$B80&amp;"*",'S4 - Summ PRS Characteristics'!$C$5:$Q$12,11,FALSE)*$J80</f>
        <v>507.27303065899031</v>
      </c>
      <c r="M80" s="706">
        <f t="shared" si="70"/>
        <v>364.72696934100969</v>
      </c>
      <c r="N80" s="706">
        <f>IF($C80="other",(1-$C$7)*L80,(1-(VLOOKUP($C80,'S3 - Screening Tool Metrics'!$C$3:$G$17,5,FALSE)/100))*L80)</f>
        <v>101.45460613179804</v>
      </c>
      <c r="O80" s="706">
        <f>IF($C80="other",$C$7*L80,(VLOOKUP($C80,'S3 - Screening Tool Metrics'!$C$3:$G$17,5,FALSE)/100)*L80)</f>
        <v>405.81842452719229</v>
      </c>
      <c r="P80" s="706">
        <f t="shared" si="71"/>
        <v>46.538810152200952</v>
      </c>
      <c r="Q80" s="707">
        <f t="shared" si="61"/>
        <v>236329.06666666665</v>
      </c>
      <c r="R80" s="706">
        <f>VLOOKUP("*"&amp;$B80&amp;"*",'S4 - Summ PRS Characteristics'!$C$5:$Q$12,12,FALSE)*$J80</f>
        <v>229.00521916043857</v>
      </c>
      <c r="S80" s="706">
        <f t="shared" si="72"/>
        <v>642.99478083956137</v>
      </c>
      <c r="T80" s="706">
        <f>IF($C80="other",(1-$C72)*R80,(1-(VLOOKUP($C80,'S3 - Screening Tool Metrics'!$C$3:$G$17,5,FALSE)/100))*R80)</f>
        <v>45.801043832087707</v>
      </c>
      <c r="U80" s="706">
        <f>IF($C80="other",$C72*R80,(VLOOKUP($C80,'S3 - Screening Tool Metrics'!$C$3:$G$17,5,FALSE)/100)*R80)</f>
        <v>183.20417532835086</v>
      </c>
      <c r="V80" s="708">
        <f t="shared" si="62"/>
        <v>21.009653133985189</v>
      </c>
      <c r="W80" s="707">
        <f t="shared" si="63"/>
        <v>118164.53333333333</v>
      </c>
      <c r="X80" s="706">
        <f>VLOOKUP("*"&amp;$B80&amp;"*",'S4 - Summ PRS Characteristics'!$C$5:$Q$12,13,FALSE)*$J80</f>
        <v>123.07298598642029</v>
      </c>
      <c r="Y80" s="706">
        <f t="shared" si="73"/>
        <v>748.92701401357976</v>
      </c>
      <c r="Z80" s="706">
        <f>IF($C80="other",(1-$C72)*X80,(1-(VLOOKUP($C80,'S3 - Screening Tool Metrics'!$C$3:$G$17,5,FALSE)/100))*X80)</f>
        <v>24.614597197284052</v>
      </c>
      <c r="AA80" s="706">
        <f>IF($C80="other",$C72*X80,(VLOOKUP($C80,'S3 - Screening Tool Metrics'!$C$3:$G$17,5,FALSE)/100)*X80)</f>
        <v>98.458388789136237</v>
      </c>
      <c r="AB80" s="708">
        <f t="shared" si="64"/>
        <v>11.291099631781679</v>
      </c>
      <c r="AC80" s="706">
        <f t="shared" si="65"/>
        <v>59082.266666666663</v>
      </c>
      <c r="AD80" s="706">
        <f>VLOOKUP("*"&amp;$B80&amp;"*",'S4 - Summ PRS Characteristics'!$C$5:$Q$12,14,FALSE)*$J80</f>
        <v>65.525032899350123</v>
      </c>
      <c r="AE80" s="706">
        <f t="shared" si="75"/>
        <v>806.47496710064991</v>
      </c>
      <c r="AF80" s="706">
        <f>IF($C80="other",(1-$C72)*AD80,(1-(VLOOKUP($C80,'S3 - Screening Tool Metrics'!$C$3:$G$17,5,FALSE)/100))*AD80)</f>
        <v>13.105006579870022</v>
      </c>
      <c r="AG80" s="706">
        <f>IF($C80="other",$C72*AD80,(VLOOKUP($C80,'S3 - Screening Tool Metrics'!$C$3:$G$17,5,FALSE)/100)*AD80)</f>
        <v>52.420026319480101</v>
      </c>
      <c r="AH80" s="708">
        <f t="shared" si="66"/>
        <v>6.0114709081972588</v>
      </c>
      <c r="AI80" s="707">
        <f t="shared" si="67"/>
        <v>11816.453333333333</v>
      </c>
      <c r="AJ80" s="706">
        <f>VLOOKUP("*"&amp;$B80&amp;"*",'S4 - Summ PRS Characteristics'!$C$5:$Q$12,15,FALSE)*$J80</f>
        <v>14.826138594220586</v>
      </c>
      <c r="AK80" s="706">
        <f t="shared" si="74"/>
        <v>857.17386140577946</v>
      </c>
      <c r="AL80" s="706">
        <f>IF($C80="other",(1-$C72)*AJ80,(1-(VLOOKUP($C80,'S3 - Screening Tool Metrics'!$C$3:$G$17,5,FALSE)/100))*AJ80)</f>
        <v>2.9652277188441167</v>
      </c>
      <c r="AM80" s="706">
        <f>IF($C80="other",$C72*AJ80,(VLOOKUP($C80,'S3 - Screening Tool Metrics'!$C$3:$G$17,5,FALSE)/100)*AJ80)</f>
        <v>11.860910875376469</v>
      </c>
      <c r="AN80" s="709">
        <f t="shared" si="68"/>
        <v>1.3601962013046409</v>
      </c>
    </row>
    <row r="81" spans="2:40" x14ac:dyDescent="0.15">
      <c r="B81" s="700" t="s">
        <v>13</v>
      </c>
      <c r="C81" s="721" t="str">
        <f>$C73</f>
        <v>Other</v>
      </c>
      <c r="D81" s="552" t="s">
        <v>200</v>
      </c>
      <c r="E81" s="710">
        <f>VLOOKUP($B81&amp;"_"&amp;$D81,'App5 - CRUK Inci Rates'!C:H,6,FALSE)</f>
        <v>0</v>
      </c>
      <c r="F81" s="711">
        <f>VLOOKUP($B81&amp;"_"&amp;$D81,'App5 - CRUK Inci Rates'!C:H,3,FALSE)</f>
        <v>30.440786428594748</v>
      </c>
      <c r="G81" s="712">
        <f>VLOOKUP($B81&amp;"_"&amp;$D81,'App5 - CRUK Inci Rates'!C:J,8,FALSE)</f>
        <v>12496392</v>
      </c>
      <c r="H81" s="713">
        <f>VLOOKUP($B81&amp;"_"&amp;$D81,'App5 - CRUK Inci Rates'!C:J,7,FALSE)</f>
        <v>0</v>
      </c>
      <c r="I81" s="713">
        <f>VLOOKUP($B81&amp;"_"&amp;$D81,'App5 - CRUK Inci Rates'!C:J,4,FALSE)</f>
        <v>12496392</v>
      </c>
      <c r="J81" s="709">
        <f>VLOOKUP($B81&amp;"_"&amp;$D81,'App5 - CRUK Inci Rates'!C:K,9,FALSE)</f>
        <v>3804</v>
      </c>
      <c r="K81" s="706">
        <f t="shared" si="69"/>
        <v>6248196</v>
      </c>
      <c r="L81" s="706">
        <f>VLOOKUP("*"&amp;$B81&amp;"*",'S4 - Summ PRS Characteristics'!$C$5:$Q$12,11,FALSE)*$J81</f>
        <v>2212.9204227371551</v>
      </c>
      <c r="M81" s="706">
        <f t="shared" si="70"/>
        <v>1591.0795772628449</v>
      </c>
      <c r="N81" s="706">
        <f>IF($C81="other",(1-$C$7)*L81,(1-(VLOOKUP($C81,'S3 - Screening Tool Metrics'!$C$3:$G$17,5,FALSE)/100))*L81)</f>
        <v>442.5840845474309</v>
      </c>
      <c r="O81" s="706">
        <f>IF($C81="other",$C$7*L81,(VLOOKUP($C81,'S3 - Screening Tool Metrics'!$C$3:$G$17,5,FALSE)/100)*L81)</f>
        <v>1770.3363381897243</v>
      </c>
      <c r="P81" s="706">
        <f t="shared" si="71"/>
        <v>46.538810152200952</v>
      </c>
      <c r="Q81" s="707">
        <f t="shared" si="61"/>
        <v>2499278.4</v>
      </c>
      <c r="R81" s="706">
        <f>VLOOKUP("*"&amp;$B81&amp;"*",'S4 - Summ PRS Characteristics'!$C$5:$Q$12,12,FALSE)*$J81</f>
        <v>999.00900652099585</v>
      </c>
      <c r="S81" s="706">
        <f t="shared" si="72"/>
        <v>2804.9909934790039</v>
      </c>
      <c r="T81" s="706">
        <f>IF($C81="other",(1-$C72)*R81,(1-(VLOOKUP($C81,'S3 - Screening Tool Metrics'!$C$3:$G$17,5,FALSE)/100))*R81)</f>
        <v>199.80180130419913</v>
      </c>
      <c r="U81" s="706">
        <f>IF($C81="other",$C72*R81,(VLOOKUP($C81,'S3 - Screening Tool Metrics'!$C$3:$G$17,5,FALSE)/100)*R81)</f>
        <v>799.20720521679675</v>
      </c>
      <c r="V81" s="708">
        <f t="shared" si="62"/>
        <v>21.009653133985193</v>
      </c>
      <c r="W81" s="707">
        <f t="shared" si="63"/>
        <v>1249639.2</v>
      </c>
      <c r="X81" s="706">
        <f>VLOOKUP("*"&amp;$B81&amp;"*",'S4 - Summ PRS Characteristics'!$C$5:$Q$12,13,FALSE)*$J81</f>
        <v>536.89178749121879</v>
      </c>
      <c r="Y81" s="706">
        <f t="shared" si="73"/>
        <v>3267.1082125087814</v>
      </c>
      <c r="Z81" s="706">
        <f>IF($C81="other",(1-$C72)*X81,(1-(VLOOKUP($C81,'S3 - Screening Tool Metrics'!$C$3:$G$17,5,FALSE)/100))*X81)</f>
        <v>107.37835749824373</v>
      </c>
      <c r="AA81" s="706">
        <f>IF($C81="other",$C72*X81,(VLOOKUP($C81,'S3 - Screening Tool Metrics'!$C$3:$G$17,5,FALSE)/100)*X81)</f>
        <v>429.51342999297503</v>
      </c>
      <c r="AB81" s="708">
        <f t="shared" si="64"/>
        <v>11.291099631781679</v>
      </c>
      <c r="AC81" s="706">
        <f t="shared" si="65"/>
        <v>624819.6</v>
      </c>
      <c r="AD81" s="706">
        <f>VLOOKUP("*"&amp;$B81&amp;"*",'S4 - Summ PRS Characteristics'!$C$5:$Q$12,14,FALSE)*$J81</f>
        <v>285.8454416847797</v>
      </c>
      <c r="AE81" s="706">
        <f t="shared" si="75"/>
        <v>3518.1545583152201</v>
      </c>
      <c r="AF81" s="706">
        <f>IF($C81="other",(1-$C72)*AD81,(1-(VLOOKUP($C81,'S3 - Screening Tool Metrics'!$C$3:$G$17,5,FALSE)/100))*AD81)</f>
        <v>57.16908833695593</v>
      </c>
      <c r="AG81" s="706">
        <f>IF($C81="other",$C72*AD81,(VLOOKUP($C81,'S3 - Screening Tool Metrics'!$C$3:$G$17,5,FALSE)/100)*AD81)</f>
        <v>228.67635334782378</v>
      </c>
      <c r="AH81" s="708">
        <f t="shared" si="66"/>
        <v>6.0114709081972606</v>
      </c>
      <c r="AI81" s="707">
        <f t="shared" si="67"/>
        <v>124963.92</v>
      </c>
      <c r="AJ81" s="706">
        <f>VLOOKUP("*"&amp;$B81&amp;"*",'S4 - Summ PRS Characteristics'!$C$5:$Q$12,15,FALSE)*$J81</f>
        <v>64.677329372035672</v>
      </c>
      <c r="AK81" s="706">
        <f t="shared" si="74"/>
        <v>3739.3226706279643</v>
      </c>
      <c r="AL81" s="706">
        <f>IF($C81="other",(1-$C72)*AJ81,(1-(VLOOKUP($C81,'S3 - Screening Tool Metrics'!$C$3:$G$17,5,FALSE)/100))*AJ81)</f>
        <v>12.935465874407132</v>
      </c>
      <c r="AM81" s="706">
        <f>IF($C81="other",$C72*AJ81,(VLOOKUP($C81,'S3 - Screening Tool Metrics'!$C$3:$G$17,5,FALSE)/100)*AJ81)</f>
        <v>51.741863497628543</v>
      </c>
      <c r="AN81" s="709">
        <f t="shared" si="68"/>
        <v>1.3601962013046409</v>
      </c>
    </row>
    <row r="82" spans="2:40" x14ac:dyDescent="0.15">
      <c r="B82" s="700" t="s">
        <v>13</v>
      </c>
      <c r="C82" s="721" t="str">
        <f>$C73</f>
        <v>Other</v>
      </c>
      <c r="D82" s="552" t="s">
        <v>201</v>
      </c>
      <c r="E82" s="710">
        <f>VLOOKUP($B82&amp;"_"&amp;$D82,'App5 - CRUK Inci Rates'!C:H,6,FALSE)</f>
        <v>0</v>
      </c>
      <c r="F82" s="711">
        <f>VLOOKUP($B82&amp;"_"&amp;$D82,'App5 - CRUK Inci Rates'!C:H,3,FALSE)</f>
        <v>16.431323931422334</v>
      </c>
      <c r="G82" s="712">
        <f>VLOOKUP($B82&amp;"_"&amp;$D82,'App5 - CRUK Inci Rates'!C:J,8,FALSE)</f>
        <v>4369702.666666667</v>
      </c>
      <c r="H82" s="713">
        <f>VLOOKUP($B82&amp;"_"&amp;$D82,'App5 - CRUK Inci Rates'!C:J,7,FALSE)</f>
        <v>0</v>
      </c>
      <c r="I82" s="713">
        <f>VLOOKUP($B82&amp;"_"&amp;$D82,'App5 - CRUK Inci Rates'!C:J,4,FALSE)</f>
        <v>4369702.666666667</v>
      </c>
      <c r="J82" s="709">
        <f>VLOOKUP($B82&amp;"_"&amp;$D82,'App5 - CRUK Inci Rates'!C:K,9,FALSE)</f>
        <v>718</v>
      </c>
      <c r="K82" s="706">
        <f t="shared" si="69"/>
        <v>2184851.3333333335</v>
      </c>
      <c r="L82" s="706">
        <f>VLOOKUP("*"&amp;$B82&amp;"*",'S4 - Summ PRS Characteristics'!$C$5:$Q$12,11,FALSE)*$J82</f>
        <v>417.68582111600352</v>
      </c>
      <c r="M82" s="706">
        <f t="shared" si="70"/>
        <v>300.31417888399648</v>
      </c>
      <c r="N82" s="706">
        <f>IF($C82="other",(1-$C$7)*L82,(1-(VLOOKUP($C82,'S3 - Screening Tool Metrics'!$C$3:$G$17,5,FALSE)/100))*L82)</f>
        <v>83.537164223200691</v>
      </c>
      <c r="O82" s="706">
        <f>IF($C82="other",$C$7*L82,(VLOOKUP($C82,'S3 - Screening Tool Metrics'!$C$3:$G$17,5,FALSE)/100)*L82)</f>
        <v>334.14865689280282</v>
      </c>
      <c r="P82" s="706">
        <f t="shared" si="71"/>
        <v>46.538810152200952</v>
      </c>
      <c r="Q82" s="707">
        <f t="shared" si="61"/>
        <v>873940.53333333344</v>
      </c>
      <c r="R82" s="706">
        <f>VLOOKUP("*"&amp;$B82&amp;"*",'S4 - Summ PRS Characteristics'!$C$5:$Q$12,12,FALSE)*$J82</f>
        <v>188.56163687751709</v>
      </c>
      <c r="S82" s="706">
        <f t="shared" si="72"/>
        <v>529.43836312248288</v>
      </c>
      <c r="T82" s="706">
        <f>IF($C82="other",(1-$C72)*R82,(1-(VLOOKUP($C82,'S3 - Screening Tool Metrics'!$C$3:$G$17,5,FALSE)/100))*R82)</f>
        <v>37.712327375503406</v>
      </c>
      <c r="U82" s="706">
        <f>IF($C82="other",$C72*R82,(VLOOKUP($C82,'S3 - Screening Tool Metrics'!$C$3:$G$17,5,FALSE)/100)*R82)</f>
        <v>150.84930950201368</v>
      </c>
      <c r="V82" s="708">
        <f t="shared" si="62"/>
        <v>21.009653133985193</v>
      </c>
      <c r="W82" s="707">
        <f t="shared" si="63"/>
        <v>436970.26666666672</v>
      </c>
      <c r="X82" s="706">
        <f>VLOOKUP("*"&amp;$B82&amp;"*",'S4 - Summ PRS Characteristics'!$C$5:$Q$12,13,FALSE)*$J82</f>
        <v>101.33761919524056</v>
      </c>
      <c r="Y82" s="706">
        <f t="shared" si="73"/>
        <v>616.66238080475944</v>
      </c>
      <c r="Z82" s="706">
        <f>IF($C82="other",(1-$C72)*X82,(1-(VLOOKUP($C82,'S3 - Screening Tool Metrics'!$C$3:$G$17,5,FALSE)/100))*X82)</f>
        <v>20.26752383904811</v>
      </c>
      <c r="AA82" s="706">
        <f>IF($C82="other",$C72*X82,(VLOOKUP($C82,'S3 - Screening Tool Metrics'!$C$3:$G$17,5,FALSE)/100)*X82)</f>
        <v>81.070095356192454</v>
      </c>
      <c r="AB82" s="708">
        <f t="shared" si="64"/>
        <v>11.291099631781679</v>
      </c>
      <c r="AC82" s="706">
        <f t="shared" si="65"/>
        <v>218485.13333333336</v>
      </c>
      <c r="AD82" s="706">
        <f>VLOOKUP("*"&amp;$B82&amp;"*",'S4 - Summ PRS Characteristics'!$C$5:$Q$12,14,FALSE)*$J82</f>
        <v>53.952951401070401</v>
      </c>
      <c r="AE82" s="706">
        <f t="shared" si="75"/>
        <v>664.04704859892956</v>
      </c>
      <c r="AF82" s="706">
        <f>IF($C82="other",(1-$C72)*AD82,(1-(VLOOKUP($C82,'S3 - Screening Tool Metrics'!$C$3:$G$17,5,FALSE)/100))*AD82)</f>
        <v>10.790590280214078</v>
      </c>
      <c r="AG82" s="706">
        <f>IF($C82="other",$C72*AD82,(VLOOKUP($C82,'S3 - Screening Tool Metrics'!$C$3:$G$17,5,FALSE)/100)*AD82)</f>
        <v>43.162361120856325</v>
      </c>
      <c r="AH82" s="708">
        <f t="shared" si="66"/>
        <v>6.0114709081972597</v>
      </c>
      <c r="AI82" s="707">
        <f t="shared" si="67"/>
        <v>43697.026666666672</v>
      </c>
      <c r="AJ82" s="706">
        <f>VLOOKUP("*"&amp;$B82&amp;"*",'S4 - Summ PRS Characteristics'!$C$5:$Q$12,15,FALSE)*$J82</f>
        <v>12.207760906709153</v>
      </c>
      <c r="AK82" s="706">
        <f t="shared" si="74"/>
        <v>705.79223909329085</v>
      </c>
      <c r="AL82" s="706">
        <f>IF($C82="other",(1-$C72)*AJ82,(1-(VLOOKUP($C82,'S3 - Screening Tool Metrics'!$C$3:$G$17,5,FALSE)/100))*AJ82)</f>
        <v>2.4415521813418302</v>
      </c>
      <c r="AM82" s="706">
        <f>IF($C82="other",$C72*AJ82,(VLOOKUP($C82,'S3 - Screening Tool Metrics'!$C$3:$G$17,5,FALSE)/100)*AJ82)</f>
        <v>9.7662087253673224</v>
      </c>
      <c r="AN82" s="709">
        <f t="shared" si="68"/>
        <v>1.3601962013046409</v>
      </c>
    </row>
    <row r="83" spans="2:40" x14ac:dyDescent="0.15">
      <c r="B83" s="700" t="s">
        <v>13</v>
      </c>
      <c r="C83" s="721" t="str">
        <f>$C73</f>
        <v>Other</v>
      </c>
      <c r="D83" s="552" t="s">
        <v>202</v>
      </c>
      <c r="E83" s="710">
        <f>VLOOKUP($B83&amp;"_"&amp;$D83,'App5 - CRUK Inci Rates'!C:H,6,FALSE)</f>
        <v>0</v>
      </c>
      <c r="F83" s="711">
        <f>VLOOKUP($B83&amp;"_"&amp;$D83,'App5 - CRUK Inci Rates'!C:H,3,FALSE)</f>
        <v>30.729260202352247</v>
      </c>
      <c r="G83" s="712">
        <f>VLOOKUP($B83&amp;"_"&amp;$D83,'App5 - CRUK Inci Rates'!C:J,8,FALSE)</f>
        <v>4484325.333333334</v>
      </c>
      <c r="H83" s="713">
        <f>VLOOKUP($B83&amp;"_"&amp;$D83,'App5 - CRUK Inci Rates'!C:J,7,FALSE)</f>
        <v>0</v>
      </c>
      <c r="I83" s="713">
        <f>VLOOKUP($B83&amp;"_"&amp;$D83,'App5 - CRUK Inci Rates'!C:J,4,FALSE)</f>
        <v>4484325.333333334</v>
      </c>
      <c r="J83" s="709">
        <f>VLOOKUP($B83&amp;"_"&amp;$D83,'App5 - CRUK Inci Rates'!C:K,9,FALSE)</f>
        <v>1378</v>
      </c>
      <c r="K83" s="706">
        <f t="shared" si="69"/>
        <v>2242162.666666667</v>
      </c>
      <c r="L83" s="706">
        <f>VLOOKUP("*"&amp;$B83&amp;"*",'S4 - Summ PRS Characteristics'!$C$5:$Q$12,11,FALSE)*$J83</f>
        <v>801.63100487166128</v>
      </c>
      <c r="M83" s="706">
        <f t="shared" si="70"/>
        <v>576.36899512833872</v>
      </c>
      <c r="N83" s="706">
        <f>IF($C83="other",(1-$C$7)*L83,(1-(VLOOKUP($C83,'S3 - Screening Tool Metrics'!$C$3:$G$17,5,FALSE)/100))*L83)</f>
        <v>160.32620097433221</v>
      </c>
      <c r="O83" s="706">
        <f>IF($C83="other",$C$7*L83,(VLOOKUP($C83,'S3 - Screening Tool Metrics'!$C$3:$G$17,5,FALSE)/100)*L83)</f>
        <v>641.30480389732907</v>
      </c>
      <c r="P83" s="706">
        <f t="shared" si="71"/>
        <v>46.538810152200952</v>
      </c>
      <c r="Q83" s="707">
        <f t="shared" si="61"/>
        <v>896865.06666666688</v>
      </c>
      <c r="R83" s="706">
        <f>VLOOKUP("*"&amp;$B83&amp;"*",'S4 - Summ PRS Characteristics'!$C$5:$Q$12,12,FALSE)*$J83</f>
        <v>361.89127523289494</v>
      </c>
      <c r="S83" s="706">
        <f t="shared" si="72"/>
        <v>1016.1087247671051</v>
      </c>
      <c r="T83" s="706">
        <f>IF($C83="other",(1-$C72)*R83,(1-(VLOOKUP($C83,'S3 - Screening Tool Metrics'!$C$3:$G$17,5,FALSE)/100))*R83)</f>
        <v>72.378255046578971</v>
      </c>
      <c r="U83" s="706">
        <f>IF($C83="other",$C72*R83,(VLOOKUP($C83,'S3 - Screening Tool Metrics'!$C$3:$G$17,5,FALSE)/100)*R83)</f>
        <v>289.51302018631594</v>
      </c>
      <c r="V83" s="708">
        <f t="shared" si="62"/>
        <v>21.009653133985193</v>
      </c>
      <c r="W83" s="707">
        <f t="shared" si="63"/>
        <v>448432.53333333344</v>
      </c>
      <c r="X83" s="706">
        <f>VLOOKUP("*"&amp;$B83&amp;"*",'S4 - Summ PRS Characteristics'!$C$5:$Q$12,13,FALSE)*$J83</f>
        <v>194.48919115743939</v>
      </c>
      <c r="Y83" s="706">
        <f t="shared" si="73"/>
        <v>1183.5108088425607</v>
      </c>
      <c r="Z83" s="706">
        <f>IF($C83="other",(1-$C72)*X83,(1-(VLOOKUP($C83,'S3 - Screening Tool Metrics'!$C$3:$G$17,5,FALSE)/100))*X83)</f>
        <v>38.897838231487867</v>
      </c>
      <c r="AA83" s="706">
        <f>IF($C83="other",$C72*X83,(VLOOKUP($C83,'S3 - Screening Tool Metrics'!$C$3:$G$17,5,FALSE)/100)*X83)</f>
        <v>155.59135292595153</v>
      </c>
      <c r="AB83" s="708">
        <f t="shared" si="64"/>
        <v>11.291099631781679</v>
      </c>
      <c r="AC83" s="706">
        <f t="shared" si="65"/>
        <v>224216.26666666672</v>
      </c>
      <c r="AD83" s="706">
        <f>VLOOKUP("*"&amp;$B83&amp;"*",'S4 - Summ PRS Characteristics'!$C$5:$Q$12,14,FALSE)*$J83</f>
        <v>103.5475863936978</v>
      </c>
      <c r="AE83" s="706">
        <f t="shared" si="75"/>
        <v>1274.4524136063021</v>
      </c>
      <c r="AF83" s="706">
        <f>IF($C83="other",(1-$C72)*AD83,(1-(VLOOKUP($C83,'S3 - Screening Tool Metrics'!$C$3:$G$17,5,FALSE)/100))*AD83)</f>
        <v>20.709517278739554</v>
      </c>
      <c r="AG83" s="706">
        <f>IF($C83="other",$C72*AD83,(VLOOKUP($C83,'S3 - Screening Tool Metrics'!$C$3:$G$17,5,FALSE)/100)*AD83)</f>
        <v>82.838069114958245</v>
      </c>
      <c r="AH83" s="708">
        <f t="shared" si="66"/>
        <v>6.0114709081972606</v>
      </c>
      <c r="AI83" s="707">
        <f t="shared" si="67"/>
        <v>44843.253333333341</v>
      </c>
      <c r="AJ83" s="706">
        <f>VLOOKUP("*"&amp;$B83&amp;"*",'S4 - Summ PRS Characteristics'!$C$5:$Q$12,15,FALSE)*$J83</f>
        <v>23.429379567472441</v>
      </c>
      <c r="AK83" s="706">
        <f t="shared" si="74"/>
        <v>1354.5706204325274</v>
      </c>
      <c r="AL83" s="706">
        <f>IF($C83="other",(1-$C72)*AJ83,(1-(VLOOKUP($C83,'S3 - Screening Tool Metrics'!$C$3:$G$17,5,FALSE)/100))*AJ83)</f>
        <v>4.6858759134944874</v>
      </c>
      <c r="AM83" s="706">
        <f>IF($C83="other",$C72*AJ83,(VLOOKUP($C83,'S3 - Screening Tool Metrics'!$C$3:$G$17,5,FALSE)/100)*AJ83)</f>
        <v>18.743503653977953</v>
      </c>
      <c r="AN83" s="709">
        <f t="shared" si="68"/>
        <v>1.3601962013046409</v>
      </c>
    </row>
    <row r="84" spans="2:40" x14ac:dyDescent="0.15">
      <c r="B84" s="700" t="s">
        <v>13</v>
      </c>
      <c r="C84" s="721" t="str">
        <f>$C73</f>
        <v>Other</v>
      </c>
      <c r="D84" s="552" t="s">
        <v>203</v>
      </c>
      <c r="E84" s="710">
        <f>VLOOKUP($B84&amp;"_"&amp;$D84,'App5 - CRUK Inci Rates'!C:H,6,FALSE)</f>
        <v>0</v>
      </c>
      <c r="F84" s="711">
        <f>VLOOKUP($B84&amp;"_"&amp;$D84,'App5 - CRUK Inci Rates'!C:H,3,FALSE)</f>
        <v>37.973643059568168</v>
      </c>
      <c r="G84" s="712">
        <f>VLOOKUP($B84&amp;"_"&amp;$D84,'App5 - CRUK Inci Rates'!C:J,8,FALSE)</f>
        <v>8126689.333333334</v>
      </c>
      <c r="H84" s="713">
        <f>VLOOKUP($B84&amp;"_"&amp;$D84,'App5 - CRUK Inci Rates'!C:J,7,FALSE)</f>
        <v>0</v>
      </c>
      <c r="I84" s="713">
        <f>VLOOKUP($B84&amp;"_"&amp;$D84,'App5 - CRUK Inci Rates'!C:J,4,FALSE)</f>
        <v>8126689.333333334</v>
      </c>
      <c r="J84" s="709">
        <f>VLOOKUP($B84&amp;"_"&amp;$D84,'App5 - CRUK Inci Rates'!C:K,9,FALSE)</f>
        <v>3086</v>
      </c>
      <c r="K84" s="706">
        <f t="shared" si="69"/>
        <v>4063344.666666667</v>
      </c>
      <c r="L84" s="706">
        <f>VLOOKUP("*"&amp;$B84&amp;"*",'S4 - Summ PRS Characteristics'!$C$5:$Q$12,11,FALSE)*$J84</f>
        <v>1795.2346016211516</v>
      </c>
      <c r="M84" s="706">
        <f t="shared" si="70"/>
        <v>1290.7653983788484</v>
      </c>
      <c r="N84" s="706">
        <f>IF($C84="other",(1-$C$7)*L84,(1-(VLOOKUP($C84,'S3 - Screening Tool Metrics'!$C$3:$G$17,5,FALSE)/100))*L84)</f>
        <v>359.04692032423026</v>
      </c>
      <c r="O84" s="706">
        <f>IF($C84="other",$C$7*L84,(VLOOKUP($C84,'S3 - Screening Tool Metrics'!$C$3:$G$17,5,FALSE)/100)*L84)</f>
        <v>1436.1876812969213</v>
      </c>
      <c r="P84" s="706">
        <f t="shared" si="71"/>
        <v>46.538810152200952</v>
      </c>
      <c r="Q84" s="707">
        <f t="shared" si="61"/>
        <v>1625337.8666666669</v>
      </c>
      <c r="R84" s="706">
        <f>VLOOKUP("*"&amp;$B84&amp;"*",'S4 - Summ PRS Characteristics'!$C$5:$Q$12,12,FALSE)*$J84</f>
        <v>810.44736964347874</v>
      </c>
      <c r="S84" s="706">
        <f t="shared" si="72"/>
        <v>2275.5526303565211</v>
      </c>
      <c r="T84" s="706">
        <f>IF($C84="other",(1-$C72)*R84,(1-(VLOOKUP($C84,'S3 - Screening Tool Metrics'!$C$3:$G$17,5,FALSE)/100))*R84)</f>
        <v>162.08947392869572</v>
      </c>
      <c r="U84" s="706">
        <f>IF($C84="other",$C72*R84,(VLOOKUP($C84,'S3 - Screening Tool Metrics'!$C$3:$G$17,5,FALSE)/100)*R84)</f>
        <v>648.35789571478301</v>
      </c>
      <c r="V84" s="708">
        <f t="shared" si="62"/>
        <v>21.009653133985193</v>
      </c>
      <c r="W84" s="707">
        <f t="shared" si="63"/>
        <v>812668.93333333347</v>
      </c>
      <c r="X84" s="706">
        <f>VLOOKUP("*"&amp;$B84&amp;"*",'S4 - Summ PRS Characteristics'!$C$5:$Q$12,13,FALSE)*$J84</f>
        <v>435.55416829597823</v>
      </c>
      <c r="Y84" s="706">
        <f t="shared" si="73"/>
        <v>2650.4458317040217</v>
      </c>
      <c r="Z84" s="706">
        <f>IF($C84="other",(1-$C72)*X84,(1-(VLOOKUP($C84,'S3 - Screening Tool Metrics'!$C$3:$G$17,5,FALSE)/100))*X84)</f>
        <v>87.11083365919562</v>
      </c>
      <c r="AA84" s="706">
        <f>IF($C84="other",$C72*X84,(VLOOKUP($C84,'S3 - Screening Tool Metrics'!$C$3:$G$17,5,FALSE)/100)*X84)</f>
        <v>348.44333463678259</v>
      </c>
      <c r="AB84" s="708">
        <f t="shared" si="64"/>
        <v>11.291099631781679</v>
      </c>
      <c r="AC84" s="706">
        <f t="shared" si="65"/>
        <v>406334.46666666673</v>
      </c>
      <c r="AD84" s="706">
        <f>VLOOKUP("*"&amp;$B84&amp;"*",'S4 - Summ PRS Characteristics'!$C$5:$Q$12,14,FALSE)*$J84</f>
        <v>231.89249028370929</v>
      </c>
      <c r="AE84" s="706">
        <f t="shared" si="75"/>
        <v>2854.1075097162907</v>
      </c>
      <c r="AF84" s="706">
        <f>IF($C84="other",(1-$C72)*AD84,(1-(VLOOKUP($C84,'S3 - Screening Tool Metrics'!$C$3:$G$17,5,FALSE)/100))*AD84)</f>
        <v>46.378498056741847</v>
      </c>
      <c r="AG84" s="706">
        <f>IF($C84="other",$C72*AD84,(VLOOKUP($C84,'S3 - Screening Tool Metrics'!$C$3:$G$17,5,FALSE)/100)*AD84)</f>
        <v>185.51399222696745</v>
      </c>
      <c r="AH84" s="708">
        <f t="shared" si="66"/>
        <v>6.0114709081972597</v>
      </c>
      <c r="AI84" s="707">
        <f t="shared" si="67"/>
        <v>81266.893333333341</v>
      </c>
      <c r="AJ84" s="706">
        <f>VLOOKUP("*"&amp;$B84&amp;"*",'S4 - Summ PRS Characteristics'!$C$5:$Q$12,15,FALSE)*$J84</f>
        <v>52.469568465326525</v>
      </c>
      <c r="AK84" s="706">
        <f t="shared" si="74"/>
        <v>3033.5304315346734</v>
      </c>
      <c r="AL84" s="706">
        <f>IF($C84="other",(1-$C72)*AJ84,(1-(VLOOKUP($C84,'S3 - Screening Tool Metrics'!$C$3:$G$17,5,FALSE)/100))*AJ84)</f>
        <v>10.493913693065302</v>
      </c>
      <c r="AM84" s="706">
        <f>IF($C84="other",$C72*AJ84,(VLOOKUP($C84,'S3 - Screening Tool Metrics'!$C$3:$G$17,5,FALSE)/100)*AJ84)</f>
        <v>41.975654772261223</v>
      </c>
      <c r="AN84" s="709">
        <f t="shared" si="68"/>
        <v>1.3601962013046409</v>
      </c>
    </row>
    <row r="85" spans="2:40" x14ac:dyDescent="0.15">
      <c r="B85" s="700" t="s">
        <v>13</v>
      </c>
      <c r="C85" s="721" t="str">
        <f>$C74</f>
        <v>Other</v>
      </c>
      <c r="D85" s="552" t="s">
        <v>292</v>
      </c>
      <c r="E85" s="710">
        <f>VLOOKUP($B85&amp;"_"&amp;$D85,'App5 - CRUK Inci Rates'!C:H,6,FALSE)</f>
        <v>0</v>
      </c>
      <c r="F85" s="711">
        <f>VLOOKUP($B85&amp;"_"&amp;$D85,'App5 - CRUK Inci Rates'!C:H,3,FALSE)</f>
        <v>51.143985282427074</v>
      </c>
      <c r="G85" s="712">
        <f>VLOOKUP($B85&amp;"_"&amp;$D85,'App5 - CRUK Inci Rates'!C:J,8,FALSE)</f>
        <v>5245973.666666667</v>
      </c>
      <c r="H85" s="713">
        <f>VLOOKUP($B85&amp;"_"&amp;$D85,'App5 - CRUK Inci Rates'!C:J,7,FALSE)</f>
        <v>0</v>
      </c>
      <c r="I85" s="713">
        <f>VLOOKUP($B85&amp;"_"&amp;$D85,'App5 - CRUK Inci Rates'!C:J,4,FALSE)</f>
        <v>5245973.666666667</v>
      </c>
      <c r="J85" s="709">
        <f>VLOOKUP($B85&amp;"_"&amp;$D85,'App5 - CRUK Inci Rates'!C:K,9,FALSE)</f>
        <v>2683</v>
      </c>
      <c r="K85" s="706">
        <f t="shared" si="69"/>
        <v>2622986.8333333335</v>
      </c>
      <c r="L85" s="706">
        <f>VLOOKUP("*"&amp;$B85&amp;"*",'S4 - Summ PRS Characteristics'!$C$5:$Q$12,11,FALSE)*$J85</f>
        <v>1560.7953454794392</v>
      </c>
      <c r="M85" s="706">
        <f t="shared" si="70"/>
        <v>1122.2046545205608</v>
      </c>
      <c r="N85" s="706">
        <f>IF($C85="other",(1-$C$7)*L85,(1-(VLOOKUP($C85,'S3 - Screening Tool Metrics'!$C$3:$G$17,5,FALSE)/100))*L85)</f>
        <v>312.15906909588779</v>
      </c>
      <c r="O85" s="706">
        <f>IF($C85="other",$C$7*L85,(VLOOKUP($C85,'S3 - Screening Tool Metrics'!$C$3:$G$17,5,FALSE)/100)*L85)</f>
        <v>1248.6362763835514</v>
      </c>
      <c r="P85" s="706">
        <f t="shared" si="71"/>
        <v>46.538810152200945</v>
      </c>
      <c r="Q85" s="707">
        <f t="shared" si="61"/>
        <v>1049194.7333333334</v>
      </c>
      <c r="R85" s="706">
        <f>VLOOKUP("*"&amp;$B85&amp;"*",'S4 - Summ PRS Characteristics'!$C$5:$Q$12,12,FALSE)*$J85</f>
        <v>704.61124198102834</v>
      </c>
      <c r="S85" s="706">
        <f t="shared" si="72"/>
        <v>1978.3887580189717</v>
      </c>
      <c r="T85" s="706">
        <f>IF($C85="other",(1-$C72)*R85,(1-(VLOOKUP($C85,'S3 - Screening Tool Metrics'!$C$3:$G$17,5,FALSE)/100))*R85)</f>
        <v>140.92224839620565</v>
      </c>
      <c r="U85" s="706">
        <f>IF($C85="other",$C72*R85,(VLOOKUP($C85,'S3 - Screening Tool Metrics'!$C$3:$G$17,5,FALSE)/100)*R85)</f>
        <v>563.6889935848227</v>
      </c>
      <c r="V85" s="708">
        <f t="shared" si="62"/>
        <v>21.009653133985193</v>
      </c>
      <c r="W85" s="707">
        <f t="shared" si="63"/>
        <v>524597.3666666667</v>
      </c>
      <c r="X85" s="706">
        <f>VLOOKUP("*"&amp;$B85&amp;"*",'S4 - Summ PRS Characteristics'!$C$5:$Q$12,13,FALSE)*$J85</f>
        <v>378.67525390087803</v>
      </c>
      <c r="Y85" s="706">
        <f t="shared" si="73"/>
        <v>2304.324746099122</v>
      </c>
      <c r="Z85" s="706">
        <f>IF($C85="other",(1-$C72)*X85,(1-(VLOOKUP($C85,'S3 - Screening Tool Metrics'!$C$3:$G$17,5,FALSE)/100))*X85)</f>
        <v>75.735050780175584</v>
      </c>
      <c r="AA85" s="706">
        <f>IF($C85="other",$C72*X85,(VLOOKUP($C85,'S3 - Screening Tool Metrics'!$C$3:$G$17,5,FALSE)/100)*X85)</f>
        <v>302.94020312070245</v>
      </c>
      <c r="AB85" s="708">
        <f t="shared" si="64"/>
        <v>11.291099631781679</v>
      </c>
      <c r="AC85" s="706">
        <f t="shared" si="65"/>
        <v>262298.68333333335</v>
      </c>
      <c r="AD85" s="706">
        <f>VLOOKUP("*"&amp;$B85&amp;"*",'S4 - Summ PRS Characteristics'!$C$5:$Q$12,14,FALSE)*$J85</f>
        <v>201.6097055836656</v>
      </c>
      <c r="AE85" s="706">
        <f t="shared" si="75"/>
        <v>2481.3902944163342</v>
      </c>
      <c r="AF85" s="706">
        <f>IF($C85="other",(1-$C72)*AD85,(1-(VLOOKUP($C85,'S3 - Screening Tool Metrics'!$C$3:$G$17,5,FALSE)/100))*AD85)</f>
        <v>40.321941116733115</v>
      </c>
      <c r="AG85" s="706">
        <f>IF($C85="other",$C72*AD85,(VLOOKUP($C85,'S3 - Screening Tool Metrics'!$C$3:$G$17,5,FALSE)/100)*AD85)</f>
        <v>161.28776446693249</v>
      </c>
      <c r="AH85" s="708">
        <f t="shared" si="66"/>
        <v>6.0114709081972597</v>
      </c>
      <c r="AI85" s="707">
        <f t="shared" si="67"/>
        <v>52459.736666666671</v>
      </c>
      <c r="AJ85" s="706">
        <f>VLOOKUP("*"&amp;$B85&amp;"*",'S4 - Summ PRS Characteristics'!$C$5:$Q$12,15,FALSE)*$J85</f>
        <v>45.617580101254397</v>
      </c>
      <c r="AK85" s="706">
        <f t="shared" si="74"/>
        <v>2637.3824198987454</v>
      </c>
      <c r="AL85" s="706">
        <f>IF($C85="other",(1-$C72)*AJ85,(1-(VLOOKUP($C85,'S3 - Screening Tool Metrics'!$C$3:$G$17,5,FALSE)/100))*AJ85)</f>
        <v>9.1235160202508769</v>
      </c>
      <c r="AM85" s="706">
        <f>IF($C85="other",$C72*AJ85,(VLOOKUP($C85,'S3 - Screening Tool Metrics'!$C$3:$G$17,5,FALSE)/100)*AJ85)</f>
        <v>36.494064081003522</v>
      </c>
      <c r="AN85" s="709">
        <f t="shared" si="68"/>
        <v>1.3601962013046411</v>
      </c>
    </row>
    <row r="86" spans="2:40" x14ac:dyDescent="0.15">
      <c r="B86" s="700" t="s">
        <v>13</v>
      </c>
      <c r="C86" s="721" t="str">
        <f>$C73</f>
        <v>Other</v>
      </c>
      <c r="D86" s="552" t="s">
        <v>204</v>
      </c>
      <c r="E86" s="710">
        <f>VLOOKUP($B86&amp;"_"&amp;$D86,'App5 - CRUK Inci Rates'!C:H,6,FALSE)</f>
        <v>0</v>
      </c>
      <c r="F86" s="711">
        <f>VLOOKUP($B86&amp;"_"&amp;$D86,'App5 - CRUK Inci Rates'!C:H,3,FALSE)</f>
        <v>36.978998402462771</v>
      </c>
      <c r="G86" s="712">
        <f>VLOOKUP($B86&amp;"_"&amp;$D86,'App5 - CRUK Inci Rates'!C:J,8,FALSE)</f>
        <v>15281647</v>
      </c>
      <c r="H86" s="713">
        <f>VLOOKUP($B86&amp;"_"&amp;$D86,'App5 - CRUK Inci Rates'!C:J,7,FALSE)</f>
        <v>0</v>
      </c>
      <c r="I86" s="713">
        <f>VLOOKUP($B86&amp;"_"&amp;$D86,'App5 - CRUK Inci Rates'!C:J,4,FALSE)</f>
        <v>15281647</v>
      </c>
      <c r="J86" s="709">
        <f>VLOOKUP($B86&amp;"_"&amp;$D86,'App5 - CRUK Inci Rates'!C:K,9,FALSE)</f>
        <v>5651</v>
      </c>
      <c r="K86" s="706">
        <f t="shared" si="69"/>
        <v>7640823.5</v>
      </c>
      <c r="L86" s="706">
        <f>VLOOKUP("*"&amp;$B86&amp;"*",'S4 - Summ PRS Characteristics'!$C$5:$Q$12,11,FALSE)*$J86</f>
        <v>3287.3852021260946</v>
      </c>
      <c r="M86" s="706">
        <f t="shared" si="70"/>
        <v>2363.6147978739054</v>
      </c>
      <c r="N86" s="706">
        <f>IF($C86="other",(1-$C$7)*L86,(1-(VLOOKUP($C86,'S3 - Screening Tool Metrics'!$C$3:$G$17,5,FALSE)/100))*L86)</f>
        <v>657.47704042521877</v>
      </c>
      <c r="O86" s="706">
        <f>IF($C86="other",$C$7*L86,(VLOOKUP($C86,'S3 - Screening Tool Metrics'!$C$3:$G$17,5,FALSE)/100)*L86)</f>
        <v>2629.908161700876</v>
      </c>
      <c r="P86" s="706">
        <f t="shared" si="71"/>
        <v>46.538810152200952</v>
      </c>
      <c r="Q86" s="707">
        <f t="shared" si="61"/>
        <v>3056329.4000000004</v>
      </c>
      <c r="R86" s="706">
        <f>VLOOKUP("*"&amp;$B86&amp;"*",'S4 - Summ PRS Characteristics'!$C$5:$Q$12,12,FALSE)*$J86</f>
        <v>1484.0693732518789</v>
      </c>
      <c r="S86" s="706">
        <f t="shared" si="72"/>
        <v>4166.9306267481206</v>
      </c>
      <c r="T86" s="706">
        <f>IF($C86="other",(1-$C72)*R86,(1-(VLOOKUP($C86,'S3 - Screening Tool Metrics'!$C$3:$G$17,5,FALSE)/100))*R86)</f>
        <v>296.81387465037574</v>
      </c>
      <c r="U86" s="706">
        <f>IF($C86="other",$C72*R86,(VLOOKUP($C86,'S3 - Screening Tool Metrics'!$C$3:$G$17,5,FALSE)/100)*R86)</f>
        <v>1187.2554986015032</v>
      </c>
      <c r="V86" s="708">
        <f t="shared" si="62"/>
        <v>21.009653133985193</v>
      </c>
      <c r="W86" s="707">
        <f t="shared" si="63"/>
        <v>1528164.7000000002</v>
      </c>
      <c r="X86" s="706">
        <f>VLOOKUP("*"&amp;$B86&amp;"*",'S4 - Summ PRS Characteristics'!$C$5:$Q$12,13,FALSE)*$J86</f>
        <v>797.57505023997828</v>
      </c>
      <c r="Y86" s="706">
        <f t="shared" si="73"/>
        <v>4853.4249497600213</v>
      </c>
      <c r="Z86" s="706">
        <f>IF($C86="other",(1-$C72)*X86,(1-(VLOOKUP($C86,'S3 - Screening Tool Metrics'!$C$3:$G$17,5,FALSE)/100))*X86)</f>
        <v>159.51501004799562</v>
      </c>
      <c r="AA86" s="706">
        <f>IF($C86="other",$C72*X86,(VLOOKUP($C86,'S3 - Screening Tool Metrics'!$C$3:$G$17,5,FALSE)/100)*X86)</f>
        <v>638.06004019198269</v>
      </c>
      <c r="AB86" s="708">
        <f t="shared" si="64"/>
        <v>11.291099631781679</v>
      </c>
      <c r="AC86" s="706">
        <f t="shared" si="65"/>
        <v>764082.35000000009</v>
      </c>
      <c r="AD86" s="706">
        <f>VLOOKUP("*"&amp;$B86&amp;"*",'S4 - Summ PRS Characteristics'!$C$5:$Q$12,14,FALSE)*$J86</f>
        <v>424.63527627778393</v>
      </c>
      <c r="AE86" s="706">
        <f t="shared" si="75"/>
        <v>5226.3647237222158</v>
      </c>
      <c r="AF86" s="706">
        <f>IF($C86="other",(1-$C72)*AD86,(1-(VLOOKUP($C86,'S3 - Screening Tool Metrics'!$C$3:$G$17,5,FALSE)/100))*AD86)</f>
        <v>84.927055255556766</v>
      </c>
      <c r="AG86" s="706">
        <f>IF($C86="other",$C72*AD86,(VLOOKUP($C86,'S3 - Screening Tool Metrics'!$C$3:$G$17,5,FALSE)/100)*AD86)</f>
        <v>339.70822102222718</v>
      </c>
      <c r="AH86" s="708">
        <f t="shared" si="66"/>
        <v>6.0114709081972606</v>
      </c>
      <c r="AI86" s="707">
        <f t="shared" si="67"/>
        <v>152816.47</v>
      </c>
      <c r="AJ86" s="706">
        <f>VLOOKUP("*"&amp;$B86&amp;"*",'S4 - Summ PRS Characteristics'!$C$5:$Q$12,15,FALSE)*$J86</f>
        <v>96.080859169656577</v>
      </c>
      <c r="AK86" s="706">
        <f t="shared" si="74"/>
        <v>5554.9191408303432</v>
      </c>
      <c r="AL86" s="706">
        <f>IF($C86="other",(1-$C72)*AJ86,(1-(VLOOKUP($C86,'S3 - Screening Tool Metrics'!$C$3:$G$17,5,FALSE)/100))*AJ86)</f>
        <v>19.216171833931313</v>
      </c>
      <c r="AM86" s="706">
        <f>IF($C86="other",$C72*AJ86,(VLOOKUP($C86,'S3 - Screening Tool Metrics'!$C$3:$G$17,5,FALSE)/100)*AJ86)</f>
        <v>76.864687335725264</v>
      </c>
      <c r="AN86" s="709">
        <f t="shared" si="68"/>
        <v>1.3601962013046409</v>
      </c>
    </row>
    <row r="87" spans="2:40" ht="14" thickBot="1" x14ac:dyDescent="0.2">
      <c r="B87" s="700" t="s">
        <v>13</v>
      </c>
      <c r="C87" s="721" t="str">
        <f>$C74</f>
        <v>Other</v>
      </c>
      <c r="D87" s="552" t="s">
        <v>205</v>
      </c>
      <c r="E87" s="710">
        <f>VLOOKUP($B87&amp;"_"&amp;$D87,'App5 - CRUK Inci Rates'!C:H,6,FALSE)</f>
        <v>0</v>
      </c>
      <c r="F87" s="711">
        <f>VLOOKUP($B87&amp;"_"&amp;$D87,'App5 - CRUK Inci Rates'!C:H,3,FALSE)</f>
        <v>22.8</v>
      </c>
      <c r="G87" s="712">
        <f>VLOOKUP($B87&amp;"_"&amp;$D87,'App5 - CRUK Inci Rates'!C:J,8,FALSE)</f>
        <v>33458051.999999996</v>
      </c>
      <c r="H87" s="713">
        <f>VLOOKUP($B87&amp;"_"&amp;$D87,'App5 - CRUK Inci Rates'!C:J,7,FALSE)</f>
        <v>0</v>
      </c>
      <c r="I87" s="713">
        <f>VLOOKUP($B87&amp;"_"&amp;$D87,'App5 - CRUK Inci Rates'!C:J,4,FALSE)</f>
        <v>33458051.999999996</v>
      </c>
      <c r="J87" s="709">
        <f>VLOOKUP($B87&amp;"_"&amp;$D87,'App5 - CRUK Inci Rates'!C:K,9,FALSE)</f>
        <v>7495</v>
      </c>
      <c r="K87" s="716"/>
      <c r="L87" s="716"/>
      <c r="M87" s="716"/>
      <c r="N87" s="716"/>
      <c r="O87" s="716"/>
      <c r="P87" s="716"/>
      <c r="Q87" s="715"/>
      <c r="R87" s="716"/>
      <c r="S87" s="716"/>
      <c r="T87" s="716"/>
      <c r="U87" s="716"/>
      <c r="V87" s="717"/>
      <c r="W87" s="715"/>
      <c r="X87" s="716"/>
      <c r="Y87" s="716"/>
      <c r="Z87" s="716"/>
      <c r="AA87" s="716"/>
      <c r="AB87" s="717"/>
      <c r="AC87" s="716"/>
      <c r="AD87" s="716"/>
      <c r="AE87" s="716"/>
      <c r="AF87" s="716"/>
      <c r="AG87" s="716"/>
      <c r="AH87" s="717"/>
      <c r="AI87" s="715"/>
      <c r="AJ87" s="716"/>
      <c r="AK87" s="716"/>
      <c r="AL87" s="716"/>
      <c r="AM87" s="716"/>
      <c r="AN87" s="718"/>
    </row>
    <row r="88" spans="2:40" ht="21" customHeight="1" thickBot="1" x14ac:dyDescent="0.2">
      <c r="B88" s="686" t="s">
        <v>14</v>
      </c>
      <c r="C88" s="687">
        <v>0.8</v>
      </c>
      <c r="D88" s="688"/>
      <c r="E88" s="689"/>
      <c r="F88" s="690"/>
      <c r="G88" s="691"/>
      <c r="H88" s="692"/>
      <c r="I88" s="692"/>
      <c r="J88" s="693"/>
      <c r="K88" s="694"/>
      <c r="L88" s="694"/>
      <c r="M88" s="694"/>
      <c r="N88" s="694"/>
      <c r="O88" s="694"/>
      <c r="P88" s="694"/>
      <c r="Q88" s="695"/>
      <c r="R88" s="696"/>
      <c r="S88" s="696"/>
      <c r="T88" s="696"/>
      <c r="U88" s="696"/>
      <c r="V88" s="697"/>
      <c r="W88" s="695"/>
      <c r="X88" s="696"/>
      <c r="Y88" s="696"/>
      <c r="Z88" s="696"/>
      <c r="AA88" s="696"/>
      <c r="AB88" s="697"/>
      <c r="AC88" s="696"/>
      <c r="AD88" s="696"/>
      <c r="AE88" s="696"/>
      <c r="AF88" s="696"/>
      <c r="AG88" s="696"/>
      <c r="AH88" s="697"/>
      <c r="AI88" s="695"/>
      <c r="AJ88" s="696"/>
      <c r="AK88" s="696"/>
      <c r="AL88" s="696"/>
      <c r="AM88" s="696"/>
      <c r="AN88" s="699"/>
    </row>
    <row r="89" spans="2:40" x14ac:dyDescent="0.15">
      <c r="B89" s="700" t="s">
        <v>14</v>
      </c>
      <c r="C89" s="741" t="s">
        <v>180</v>
      </c>
      <c r="D89" s="593" t="s">
        <v>192</v>
      </c>
      <c r="E89" s="701">
        <f>VLOOKUP($B89&amp;"_"&amp;$D89,'App5 - CRUK Inci Rates'!C:H,6,FALSE)</f>
        <v>10.1</v>
      </c>
      <c r="F89" s="702">
        <f>VLOOKUP($B89&amp;"_"&amp;$D89,'App5 - CRUK Inci Rates'!C:H,3,FALSE)</f>
        <v>5</v>
      </c>
      <c r="G89" s="703">
        <f>VLOOKUP($B89&amp;"_"&amp;$D89,'App5 - CRUK Inci Rates'!C:J,8,FALSE)</f>
        <v>4075608</v>
      </c>
      <c r="H89" s="704">
        <f>VLOOKUP($B89&amp;"_"&amp;$D89,'App5 - CRUK Inci Rates'!C:J,7,FALSE)</f>
        <v>2021384.6666666667</v>
      </c>
      <c r="I89" s="704">
        <f>VLOOKUP($B89&amp;"_"&amp;$D89,'App5 - CRUK Inci Rates'!C:J,4,FALSE)</f>
        <v>2054223.3333333333</v>
      </c>
      <c r="J89" s="705">
        <f>VLOOKUP($B89&amp;"_"&amp;$D89,'App5 - CRUK Inci Rates'!C:K,9,FALSE)</f>
        <v>307</v>
      </c>
      <c r="K89" s="706">
        <f t="shared" si="69"/>
        <v>2037804</v>
      </c>
      <c r="L89" s="706">
        <f>VLOOKUP("*"&amp;$B89&amp;"*",'S4 - Summ PRS Characteristics'!$C$5:$Q$12,11,FALSE)*$J89</f>
        <v>160.87854665904328</v>
      </c>
      <c r="M89" s="706">
        <f t="shared" si="70"/>
        <v>146.12145334095672</v>
      </c>
      <c r="N89" s="706">
        <f>IF($C89="other",(1-$C$7)*L89,(1-(VLOOKUP($C89,'S3 - Screening Tool Metrics'!$C$3:$G$17,5,FALSE)/100))*L89)</f>
        <v>32.175709331808648</v>
      </c>
      <c r="O89" s="706">
        <f>IF($C89="other",$C$7*L89,(VLOOKUP($C89,'S3 - Screening Tool Metrics'!$C$3:$G$17,5,FALSE)/100)*L89)</f>
        <v>128.70283732723462</v>
      </c>
      <c r="P89" s="706">
        <f t="shared" si="71"/>
        <v>41.92274831506014</v>
      </c>
      <c r="Q89" s="707">
        <f t="shared" ref="Q89:Q102" si="76">$G89*Q$3</f>
        <v>815121.60000000009</v>
      </c>
      <c r="R89" s="706">
        <f>VLOOKUP("*"&amp;$B89&amp;"*",'S4 - Summ PRS Characteristics'!$C$5:$Q$12,12,FALSE)*$J89</f>
        <v>66.711531774587286</v>
      </c>
      <c r="S89" s="706">
        <f>$J89-R89</f>
        <v>240.28846822541271</v>
      </c>
      <c r="T89" s="706">
        <f>IF($C89="other",(1-$C88)*R89,(1-(VLOOKUP($C89,'S3 - Screening Tool Metrics'!$C$3:$G$17,5,FALSE)/100))*R89)</f>
        <v>13.342306354917454</v>
      </c>
      <c r="U89" s="706">
        <f>IF($C89="other",$C88*R89,(VLOOKUP($C89,'S3 - Screening Tool Metrics'!$C$3:$G$17,5,FALSE)/100)*R89)</f>
        <v>53.369225419669831</v>
      </c>
      <c r="V89" s="708">
        <f t="shared" ref="V89:V102" si="77">$U89/$J89*100</f>
        <v>17.384112514550434</v>
      </c>
      <c r="W89" s="707">
        <f t="shared" ref="W89:W102" si="78">$G89*W$3</f>
        <v>407560.80000000005</v>
      </c>
      <c r="X89" s="706">
        <f>VLOOKUP("*"&amp;$B89&amp;"*",'S4 - Summ PRS Characteristics'!$C$5:$Q$12,13,FALSE)*$J89</f>
        <v>34.074521244191061</v>
      </c>
      <c r="Y89" s="706">
        <f>$J89-X89</f>
        <v>272.92547875580897</v>
      </c>
      <c r="Z89" s="706">
        <f>IF($C89="other",(1-$C88)*X89,(1-(VLOOKUP($C89,'S3 - Screening Tool Metrics'!$C$3:$G$17,5,FALSE)/100))*X89)</f>
        <v>6.8149042488382108</v>
      </c>
      <c r="AA89" s="706">
        <f>IF($C89="other",$C88*X89,(VLOOKUP($C89,'S3 - Screening Tool Metrics'!$C$3:$G$17,5,FALSE)/100)*X89)</f>
        <v>27.25961699535285</v>
      </c>
      <c r="AB89" s="708">
        <f t="shared" ref="AB89:AB102" si="79">$AA89/$J89*100</f>
        <v>8.8793540701475084</v>
      </c>
      <c r="AC89" s="706">
        <f t="shared" ref="AC89:AC102" si="80">$G89*AC$3</f>
        <v>203780.40000000002</v>
      </c>
      <c r="AD89" s="706">
        <f>VLOOKUP("*"&amp;$B89&amp;"*",'S4 - Summ PRS Characteristics'!$C$5:$Q$12,14,FALSE)*$J89</f>
        <v>17.355266143573012</v>
      </c>
      <c r="AE89" s="706">
        <f>$J89-AD89</f>
        <v>289.64473385642697</v>
      </c>
      <c r="AF89" s="706">
        <f>IF($C89="other",(1-$C88)*AD89,(1-(VLOOKUP($C89,'S3 - Screening Tool Metrics'!$C$3:$G$17,5,FALSE)/100))*AD89)</f>
        <v>3.4710532287146014</v>
      </c>
      <c r="AG89" s="706">
        <f>IF($C89="other",$C88*AD89,(VLOOKUP($C89,'S3 - Screening Tool Metrics'!$C$3:$G$17,5,FALSE)/100)*AD89)</f>
        <v>13.884212914858409</v>
      </c>
      <c r="AH89" s="708">
        <f t="shared" ref="AH89:AH102" si="81">$AG89/$J89*100</f>
        <v>4.5225449234066479</v>
      </c>
      <c r="AI89" s="707">
        <f t="shared" ref="AI89:AI102" si="82">$G89*AI$3</f>
        <v>40756.080000000002</v>
      </c>
      <c r="AJ89" s="706">
        <f>VLOOKUP("*"&amp;$B89&amp;"*",'S4 - Summ PRS Characteristics'!$C$5:$Q$12,15,FALSE)*$J89</f>
        <v>3.5991652683235484</v>
      </c>
      <c r="AK89" s="706">
        <f>$J89-AJ89</f>
        <v>303.40083473167647</v>
      </c>
      <c r="AL89" s="706">
        <f>IF($C89="other",(1-$C88)*AJ89,(1-(VLOOKUP($C89,'S3 - Screening Tool Metrics'!$C$3:$G$17,5,FALSE)/100))*AJ89)</f>
        <v>0.71983305366470951</v>
      </c>
      <c r="AM89" s="706">
        <f>IF($C89="other",$C88*AJ89,(VLOOKUP($C89,'S3 - Screening Tool Metrics'!$C$3:$G$17,5,FALSE)/100)*AJ89)</f>
        <v>2.8793322146588389</v>
      </c>
      <c r="AN89" s="709">
        <f t="shared" ref="AN89:AN102" si="83">$AM89/$J89*100</f>
        <v>0.93789322953056653</v>
      </c>
    </row>
    <row r="90" spans="2:40" x14ac:dyDescent="0.15">
      <c r="B90" s="700" t="s">
        <v>14</v>
      </c>
      <c r="C90" s="721" t="str">
        <f>$C89</f>
        <v>Other</v>
      </c>
      <c r="D90" s="552" t="s">
        <v>193</v>
      </c>
      <c r="E90" s="710">
        <f>VLOOKUP($B90&amp;"_"&amp;$D90,'App5 - CRUK Inci Rates'!C:H,6,FALSE)</f>
        <v>17.7</v>
      </c>
      <c r="F90" s="711">
        <f>VLOOKUP($B90&amp;"_"&amp;$D90,'App5 - CRUK Inci Rates'!C:H,3,FALSE)</f>
        <v>7.8</v>
      </c>
      <c r="G90" s="712">
        <f>VLOOKUP($B90&amp;"_"&amp;$D90,'App5 - CRUK Inci Rates'!C:J,8,FALSE)</f>
        <v>4567159.333333334</v>
      </c>
      <c r="H90" s="713">
        <f>VLOOKUP($B90&amp;"_"&amp;$D90,'App5 - CRUK Inci Rates'!C:J,7,FALSE)</f>
        <v>2251680</v>
      </c>
      <c r="I90" s="713">
        <f>VLOOKUP($B90&amp;"_"&amp;$D90,'App5 - CRUK Inci Rates'!C:J,4,FALSE)</f>
        <v>2315479.3333333335</v>
      </c>
      <c r="J90" s="709">
        <f>VLOOKUP($B90&amp;"_"&amp;$D90,'App5 - CRUK Inci Rates'!C:K,9,FALSE)</f>
        <v>580</v>
      </c>
      <c r="K90" s="706">
        <f t="shared" si="69"/>
        <v>2283579.666666667</v>
      </c>
      <c r="L90" s="706">
        <f>VLOOKUP("*"&amp;$B90&amp;"*",'S4 - Summ PRS Characteristics'!$C$5:$Q$12,11,FALSE)*$J90</f>
        <v>303.93992528418602</v>
      </c>
      <c r="M90" s="706">
        <f t="shared" si="70"/>
        <v>276.06007471581398</v>
      </c>
      <c r="N90" s="706">
        <f>IF($C90="other",(1-$C$7)*L90,(1-(VLOOKUP($C90,'S3 - Screening Tool Metrics'!$C$3:$G$17,5,FALSE)/100))*L90)</f>
        <v>60.787985056837194</v>
      </c>
      <c r="O90" s="706">
        <f>IF($C90="other",$C$7*L90,(VLOOKUP($C90,'S3 - Screening Tool Metrics'!$C$3:$G$17,5,FALSE)/100)*L90)</f>
        <v>243.15194022734883</v>
      </c>
      <c r="P90" s="706">
        <f t="shared" si="71"/>
        <v>41.92274831506014</v>
      </c>
      <c r="Q90" s="707">
        <f t="shared" si="76"/>
        <v>913431.86666666681</v>
      </c>
      <c r="R90" s="706">
        <f>VLOOKUP("*"&amp;$B90&amp;"*",'S4 - Summ PRS Characteristics'!$C$5:$Q$12,12,FALSE)*$J90</f>
        <v>126.03481573049065</v>
      </c>
      <c r="S90" s="706">
        <f t="shared" ref="S90:S102" si="84">$J90-R90</f>
        <v>453.96518426950934</v>
      </c>
      <c r="T90" s="706">
        <f>IF($C90="other",(1-$C88)*R90,(1-(VLOOKUP($C90,'S3 - Screening Tool Metrics'!$C$3:$G$17,5,FALSE)/100))*R90)</f>
        <v>25.206963146098126</v>
      </c>
      <c r="U90" s="706">
        <f>IF($C90="other",$C88*R90,(VLOOKUP($C90,'S3 - Screening Tool Metrics'!$C$3:$G$17,5,FALSE)/100)*R90)</f>
        <v>100.82785258439253</v>
      </c>
      <c r="V90" s="708">
        <f t="shared" si="77"/>
        <v>17.384112514550438</v>
      </c>
      <c r="W90" s="707">
        <f t="shared" si="78"/>
        <v>456715.93333333341</v>
      </c>
      <c r="X90" s="706">
        <f>VLOOKUP("*"&amp;$B90&amp;"*",'S4 - Summ PRS Characteristics'!$C$5:$Q$12,13,FALSE)*$J90</f>
        <v>64.375317008569425</v>
      </c>
      <c r="Y90" s="706">
        <f t="shared" ref="Y90:Y102" si="85">$J90-X90</f>
        <v>515.62468299143052</v>
      </c>
      <c r="Z90" s="706">
        <f>IF($C90="other",(1-$C88)*X90,(1-(VLOOKUP($C90,'S3 - Screening Tool Metrics'!$C$3:$G$17,5,FALSE)/100))*X90)</f>
        <v>12.875063401713883</v>
      </c>
      <c r="AA90" s="706">
        <f>IF($C90="other",$C88*X90,(VLOOKUP($C90,'S3 - Screening Tool Metrics'!$C$3:$G$17,5,FALSE)/100)*X90)</f>
        <v>51.500253606855544</v>
      </c>
      <c r="AB90" s="708">
        <f t="shared" si="79"/>
        <v>8.8793540701475084</v>
      </c>
      <c r="AC90" s="706">
        <f t="shared" si="80"/>
        <v>228357.9666666667</v>
      </c>
      <c r="AD90" s="706">
        <f>VLOOKUP("*"&amp;$B90&amp;"*",'S4 - Summ PRS Characteristics'!$C$5:$Q$12,14,FALSE)*$J90</f>
        <v>32.788450694698199</v>
      </c>
      <c r="AE90" s="706">
        <f>$J90-AD90</f>
        <v>547.21154930530179</v>
      </c>
      <c r="AF90" s="706">
        <f>IF($C90="other",(1-$C88)*AD90,(1-(VLOOKUP($C90,'S3 - Screening Tool Metrics'!$C$3:$G$17,5,FALSE)/100))*AD90)</f>
        <v>6.5576901389396385</v>
      </c>
      <c r="AG90" s="706">
        <f>IF($C90="other",$C88*AD90,(VLOOKUP($C90,'S3 - Screening Tool Metrics'!$C$3:$G$17,5,FALSE)/100)*AD90)</f>
        <v>26.230760555758561</v>
      </c>
      <c r="AH90" s="708">
        <f t="shared" si="81"/>
        <v>4.5225449234066479</v>
      </c>
      <c r="AI90" s="707">
        <f t="shared" si="82"/>
        <v>45671.593333333338</v>
      </c>
      <c r="AJ90" s="706">
        <f>VLOOKUP("*"&amp;$B90&amp;"*",'S4 - Summ PRS Characteristics'!$C$5:$Q$12,15,FALSE)*$J90</f>
        <v>6.7997259140966069</v>
      </c>
      <c r="AK90" s="706">
        <f t="shared" ref="AK90:AK102" si="86">$J90-AJ90</f>
        <v>573.2002740859034</v>
      </c>
      <c r="AL90" s="706">
        <f>IF($C90="other",(1-$C88)*AJ90,(1-(VLOOKUP($C90,'S3 - Screening Tool Metrics'!$C$3:$G$17,5,FALSE)/100))*AJ90)</f>
        <v>1.359945182819321</v>
      </c>
      <c r="AM90" s="706">
        <f>IF($C90="other",$C88*AJ90,(VLOOKUP($C90,'S3 - Screening Tool Metrics'!$C$3:$G$17,5,FALSE)/100)*AJ90)</f>
        <v>5.4397807312772857</v>
      </c>
      <c r="AN90" s="709">
        <f t="shared" si="83"/>
        <v>0.93789322953056653</v>
      </c>
    </row>
    <row r="91" spans="2:40" x14ac:dyDescent="0.15">
      <c r="B91" s="700" t="s">
        <v>14</v>
      </c>
      <c r="C91" s="721" t="str">
        <f>$C89</f>
        <v>Other</v>
      </c>
      <c r="D91" s="552" t="s">
        <v>194</v>
      </c>
      <c r="E91" s="710">
        <f>VLOOKUP($B91&amp;"_"&amp;$D91,'App5 - CRUK Inci Rates'!C:H,6,FALSE)</f>
        <v>26.8</v>
      </c>
      <c r="F91" s="711">
        <f>VLOOKUP($B91&amp;"_"&amp;$D91,'App5 - CRUK Inci Rates'!C:H,3,FALSE)</f>
        <v>12.7</v>
      </c>
      <c r="G91" s="712">
        <f>VLOOKUP($B91&amp;"_"&amp;$D91,'App5 - CRUK Inci Rates'!C:J,8,FALSE)</f>
        <v>4658110.666666666</v>
      </c>
      <c r="H91" s="713">
        <f>VLOOKUP($B91&amp;"_"&amp;$D91,'App5 - CRUK Inci Rates'!C:J,7,FALSE)</f>
        <v>2293472.6666666665</v>
      </c>
      <c r="I91" s="713">
        <f>VLOOKUP($B91&amp;"_"&amp;$D91,'App5 - CRUK Inci Rates'!C:J,4,FALSE)</f>
        <v>2364638</v>
      </c>
      <c r="J91" s="709">
        <f>VLOOKUP($B91&amp;"_"&amp;$D91,'App5 - CRUK Inci Rates'!C:K,9,FALSE)</f>
        <v>915</v>
      </c>
      <c r="K91" s="706">
        <f t="shared" si="69"/>
        <v>2329055.333333333</v>
      </c>
      <c r="L91" s="706">
        <f>VLOOKUP("*"&amp;$B91&amp;"*",'S4 - Summ PRS Characteristics'!$C$5:$Q$12,11,FALSE)*$J91</f>
        <v>479.49143385350033</v>
      </c>
      <c r="M91" s="706">
        <f t="shared" si="70"/>
        <v>435.50856614649967</v>
      </c>
      <c r="N91" s="706">
        <f>IF($C91="other",(1-$C$7)*L91,(1-(VLOOKUP($C91,'S3 - Screening Tool Metrics'!$C$3:$G$17,5,FALSE)/100))*L91)</f>
        <v>95.898286770700039</v>
      </c>
      <c r="O91" s="706">
        <f>IF($C91="other",$C$7*L91,(VLOOKUP($C91,'S3 - Screening Tool Metrics'!$C$3:$G$17,5,FALSE)/100)*L91)</f>
        <v>383.59314708280027</v>
      </c>
      <c r="P91" s="706">
        <f t="shared" si="71"/>
        <v>41.92274831506014</v>
      </c>
      <c r="Q91" s="707">
        <f t="shared" si="76"/>
        <v>931622.1333333333</v>
      </c>
      <c r="R91" s="706">
        <f>VLOOKUP("*"&amp;$B91&amp;"*",'S4 - Summ PRS Characteristics'!$C$5:$Q$12,12,FALSE)*$J91</f>
        <v>198.8307868851706</v>
      </c>
      <c r="S91" s="706">
        <f t="shared" si="84"/>
        <v>716.1692131148294</v>
      </c>
      <c r="T91" s="706">
        <f>IF($C91="other",(1-$C88)*R91,(1-(VLOOKUP($C91,'S3 - Screening Tool Metrics'!$C$3:$G$17,5,FALSE)/100))*R91)</f>
        <v>39.766157377034112</v>
      </c>
      <c r="U91" s="706">
        <f>IF($C91="other",$C88*R91,(VLOOKUP($C91,'S3 - Screening Tool Metrics'!$C$3:$G$17,5,FALSE)/100)*R91)</f>
        <v>159.06462950813648</v>
      </c>
      <c r="V91" s="708">
        <f t="shared" si="77"/>
        <v>17.384112514550434</v>
      </c>
      <c r="W91" s="707">
        <f t="shared" si="78"/>
        <v>465811.06666666665</v>
      </c>
      <c r="X91" s="706">
        <f>VLOOKUP("*"&amp;$B91&amp;"*",'S4 - Summ PRS Characteristics'!$C$5:$Q$12,13,FALSE)*$J91</f>
        <v>101.55761217731211</v>
      </c>
      <c r="Y91" s="706">
        <f t="shared" si="85"/>
        <v>813.44238782268792</v>
      </c>
      <c r="Z91" s="706">
        <f>IF($C91="other",(1-$C88)*X91,(1-(VLOOKUP($C91,'S3 - Screening Tool Metrics'!$C$3:$G$17,5,FALSE)/100))*X91)</f>
        <v>20.311522435462418</v>
      </c>
      <c r="AA91" s="706">
        <f>IF($C91="other",$C88*X91,(VLOOKUP($C91,'S3 - Screening Tool Metrics'!$C$3:$G$17,5,FALSE)/100)*X91)</f>
        <v>81.246089741849687</v>
      </c>
      <c r="AB91" s="708">
        <f t="shared" si="79"/>
        <v>8.8793540701475067</v>
      </c>
      <c r="AC91" s="706">
        <f t="shared" si="80"/>
        <v>232905.53333333333</v>
      </c>
      <c r="AD91" s="706">
        <f>VLOOKUP("*"&amp;$B91&amp;"*",'S4 - Summ PRS Characteristics'!$C$5:$Q$12,14,FALSE)*$J91</f>
        <v>51.726607561463531</v>
      </c>
      <c r="AE91" s="706">
        <f t="shared" ref="AE91:AE102" si="87">$J91-AD91</f>
        <v>863.27339243853646</v>
      </c>
      <c r="AF91" s="706">
        <f>IF($C91="other",(1-$C88)*AD91,(1-(VLOOKUP($C91,'S3 - Screening Tool Metrics'!$C$3:$G$17,5,FALSE)/100))*AD91)</f>
        <v>10.345321512292704</v>
      </c>
      <c r="AG91" s="706">
        <f>IF($C91="other",$C88*AD91,(VLOOKUP($C91,'S3 - Screening Tool Metrics'!$C$3:$G$17,5,FALSE)/100)*AD91)</f>
        <v>41.381286049170825</v>
      </c>
      <c r="AH91" s="708">
        <f t="shared" si="81"/>
        <v>4.5225449234066479</v>
      </c>
      <c r="AI91" s="707">
        <f t="shared" si="82"/>
        <v>46581.106666666659</v>
      </c>
      <c r="AJ91" s="706">
        <f>VLOOKUP("*"&amp;$B91&amp;"*",'S4 - Summ PRS Characteristics'!$C$5:$Q$12,15,FALSE)*$J91</f>
        <v>10.727153812755853</v>
      </c>
      <c r="AK91" s="706">
        <f t="shared" si="86"/>
        <v>904.27284618724411</v>
      </c>
      <c r="AL91" s="706">
        <f>IF($C91="other",(1-$C88)*AJ91,(1-(VLOOKUP($C91,'S3 - Screening Tool Metrics'!$C$3:$G$17,5,FALSE)/100))*AJ91)</f>
        <v>2.1454307625511704</v>
      </c>
      <c r="AM91" s="706">
        <f>IF($C91="other",$C88*AJ91,(VLOOKUP($C91,'S3 - Screening Tool Metrics'!$C$3:$G$17,5,FALSE)/100)*AJ91)</f>
        <v>8.5817230502046833</v>
      </c>
      <c r="AN91" s="709">
        <f t="shared" si="83"/>
        <v>0.93789322953056653</v>
      </c>
    </row>
    <row r="92" spans="2:40" x14ac:dyDescent="0.15">
      <c r="B92" s="700" t="s">
        <v>14</v>
      </c>
      <c r="C92" s="721" t="str">
        <f>$C89</f>
        <v>Other</v>
      </c>
      <c r="D92" s="552" t="s">
        <v>195</v>
      </c>
      <c r="E92" s="710">
        <f>VLOOKUP($B92&amp;"_"&amp;$D92,'App5 - CRUK Inci Rates'!C:H,6,FALSE)</f>
        <v>37.1</v>
      </c>
      <c r="F92" s="711">
        <f>VLOOKUP($B92&amp;"_"&amp;$D92,'App5 - CRUK Inci Rates'!C:H,3,FALSE)</f>
        <v>18.600000000000001</v>
      </c>
      <c r="G92" s="712">
        <f>VLOOKUP($B92&amp;"_"&amp;$D92,'App5 - CRUK Inci Rates'!C:J,8,FALSE)</f>
        <v>4181606</v>
      </c>
      <c r="H92" s="713">
        <f>VLOOKUP($B92&amp;"_"&amp;$D92,'App5 - CRUK Inci Rates'!C:J,7,FALSE)</f>
        <v>2061918.6666666667</v>
      </c>
      <c r="I92" s="713">
        <f>VLOOKUP($B92&amp;"_"&amp;$D92,'App5 - CRUK Inci Rates'!C:J,4,FALSE)</f>
        <v>2119687.3333333335</v>
      </c>
      <c r="J92" s="709">
        <f>VLOOKUP($B92&amp;"_"&amp;$D92,'App5 - CRUK Inci Rates'!C:K,9,FALSE)</f>
        <v>1160</v>
      </c>
      <c r="K92" s="706">
        <f t="shared" si="69"/>
        <v>2090803</v>
      </c>
      <c r="L92" s="706">
        <f>VLOOKUP("*"&amp;$B92&amp;"*",'S4 - Summ PRS Characteristics'!$C$5:$Q$12,11,FALSE)*$J92</f>
        <v>607.87985056837204</v>
      </c>
      <c r="M92" s="706">
        <f t="shared" si="70"/>
        <v>552.12014943162796</v>
      </c>
      <c r="N92" s="706">
        <f>IF($C92="other",(1-$C$7)*L92,(1-(VLOOKUP($C92,'S3 - Screening Tool Metrics'!$C$3:$G$17,5,FALSE)/100))*L92)</f>
        <v>121.57597011367439</v>
      </c>
      <c r="O92" s="706">
        <f>IF($C92="other",$C$7*L92,(VLOOKUP($C92,'S3 - Screening Tool Metrics'!$C$3:$G$17,5,FALSE)/100)*L92)</f>
        <v>486.30388045469766</v>
      </c>
      <c r="P92" s="706">
        <f t="shared" si="71"/>
        <v>41.92274831506014</v>
      </c>
      <c r="Q92" s="707">
        <f t="shared" si="76"/>
        <v>836321.20000000007</v>
      </c>
      <c r="R92" s="706">
        <f>VLOOKUP("*"&amp;$B92&amp;"*",'S4 - Summ PRS Characteristics'!$C$5:$Q$12,12,FALSE)*$J92</f>
        <v>252.0696314609813</v>
      </c>
      <c r="S92" s="706">
        <f t="shared" si="84"/>
        <v>907.93036853901867</v>
      </c>
      <c r="T92" s="706">
        <f>IF($C92="other",(1-$C88)*R92,(1-(VLOOKUP($C92,'S3 - Screening Tool Metrics'!$C$3:$G$17,5,FALSE)/100))*R92)</f>
        <v>50.413926292196251</v>
      </c>
      <c r="U92" s="706">
        <f>IF($C92="other",$C88*R92,(VLOOKUP($C92,'S3 - Screening Tool Metrics'!$C$3:$G$17,5,FALSE)/100)*R92)</f>
        <v>201.65570516878506</v>
      </c>
      <c r="V92" s="708">
        <f t="shared" si="77"/>
        <v>17.384112514550438</v>
      </c>
      <c r="W92" s="707">
        <f t="shared" si="78"/>
        <v>418160.60000000003</v>
      </c>
      <c r="X92" s="706">
        <f>VLOOKUP("*"&amp;$B92&amp;"*",'S4 - Summ PRS Characteristics'!$C$5:$Q$12,13,FALSE)*$J92</f>
        <v>128.75063401713885</v>
      </c>
      <c r="Y92" s="706">
        <f t="shared" si="85"/>
        <v>1031.249365982861</v>
      </c>
      <c r="Z92" s="706">
        <f>IF($C92="other",(1-$C88)*X92,(1-(VLOOKUP($C92,'S3 - Screening Tool Metrics'!$C$3:$G$17,5,FALSE)/100))*X92)</f>
        <v>25.750126803427765</v>
      </c>
      <c r="AA92" s="706">
        <f>IF($C92="other",$C88*X92,(VLOOKUP($C92,'S3 - Screening Tool Metrics'!$C$3:$G$17,5,FALSE)/100)*X92)</f>
        <v>103.00050721371109</v>
      </c>
      <c r="AB92" s="708">
        <f t="shared" si="79"/>
        <v>8.8793540701475084</v>
      </c>
      <c r="AC92" s="706">
        <f t="shared" si="80"/>
        <v>209080.30000000002</v>
      </c>
      <c r="AD92" s="706">
        <f>VLOOKUP("*"&amp;$B92&amp;"*",'S4 - Summ PRS Characteristics'!$C$5:$Q$12,14,FALSE)*$J92</f>
        <v>65.576901389396397</v>
      </c>
      <c r="AE92" s="706">
        <f t="shared" si="87"/>
        <v>1094.4230986106036</v>
      </c>
      <c r="AF92" s="706">
        <f>IF($C92="other",(1-$C88)*AD92,(1-(VLOOKUP($C92,'S3 - Screening Tool Metrics'!$C$3:$G$17,5,FALSE)/100))*AD92)</f>
        <v>13.115380277879277</v>
      </c>
      <c r="AG92" s="706">
        <f>IF($C92="other",$C88*AD92,(VLOOKUP($C92,'S3 - Screening Tool Metrics'!$C$3:$G$17,5,FALSE)/100)*AD92)</f>
        <v>52.461521111517122</v>
      </c>
      <c r="AH92" s="708">
        <f t="shared" si="81"/>
        <v>4.5225449234066479</v>
      </c>
      <c r="AI92" s="707">
        <f t="shared" si="82"/>
        <v>41816.06</v>
      </c>
      <c r="AJ92" s="706">
        <f>VLOOKUP("*"&amp;$B92&amp;"*",'S4 - Summ PRS Characteristics'!$C$5:$Q$12,15,FALSE)*$J92</f>
        <v>13.599451828193214</v>
      </c>
      <c r="AK92" s="706">
        <f t="shared" si="86"/>
        <v>1146.4005481718068</v>
      </c>
      <c r="AL92" s="706">
        <f>IF($C92="other",(1-$C88)*AJ92,(1-(VLOOKUP($C92,'S3 - Screening Tool Metrics'!$C$3:$G$17,5,FALSE)/100))*AJ92)</f>
        <v>2.7198903656386419</v>
      </c>
      <c r="AM92" s="706">
        <f>IF($C92="other",$C88*AJ92,(VLOOKUP($C92,'S3 - Screening Tool Metrics'!$C$3:$G$17,5,FALSE)/100)*AJ92)</f>
        <v>10.879561462554571</v>
      </c>
      <c r="AN92" s="709">
        <f t="shared" si="83"/>
        <v>0.93789322953056653</v>
      </c>
    </row>
    <row r="93" spans="2:40" x14ac:dyDescent="0.15">
      <c r="B93" s="700" t="s">
        <v>14</v>
      </c>
      <c r="C93" s="721" t="str">
        <f>$C89</f>
        <v>Other</v>
      </c>
      <c r="D93" s="552" t="s">
        <v>196</v>
      </c>
      <c r="E93" s="710">
        <f>VLOOKUP($B93&amp;"_"&amp;$D93,'App5 - CRUK Inci Rates'!C:H,6,FALSE)</f>
        <v>53.7</v>
      </c>
      <c r="F93" s="711">
        <f>VLOOKUP($B93&amp;"_"&amp;$D93,'App5 - CRUK Inci Rates'!C:H,3,FALSE)</f>
        <v>26.2</v>
      </c>
      <c r="G93" s="712">
        <f>VLOOKUP($B93&amp;"_"&amp;$D93,'App5 - CRUK Inci Rates'!C:J,8,FALSE)</f>
        <v>3602002</v>
      </c>
      <c r="H93" s="713">
        <f>VLOOKUP($B93&amp;"_"&amp;$D93,'App5 - CRUK Inci Rates'!C:J,7,FALSE)</f>
        <v>1764828</v>
      </c>
      <c r="I93" s="713">
        <f>VLOOKUP($B93&amp;"_"&amp;$D93,'App5 - CRUK Inci Rates'!C:J,4,FALSE)</f>
        <v>1837174</v>
      </c>
      <c r="J93" s="709">
        <f>VLOOKUP($B93&amp;"_"&amp;$D93,'App5 - CRUK Inci Rates'!C:K,9,FALSE)</f>
        <v>1429</v>
      </c>
      <c r="K93" s="706">
        <f t="shared" si="69"/>
        <v>1801001</v>
      </c>
      <c r="L93" s="706">
        <f>VLOOKUP("*"&amp;$B93&amp;"*",'S4 - Summ PRS Characteristics'!$C$5:$Q$12,11,FALSE)*$J93</f>
        <v>748.8450917777617</v>
      </c>
      <c r="M93" s="706">
        <f t="shared" si="70"/>
        <v>680.1549082222383</v>
      </c>
      <c r="N93" s="706">
        <f>IF($C93="other",(1-$C$7)*L93,(1-(VLOOKUP($C93,'S3 - Screening Tool Metrics'!$C$3:$G$17,5,FALSE)/100))*L93)</f>
        <v>149.7690183555523</v>
      </c>
      <c r="O93" s="706">
        <f>IF($C93="other",$C$7*L93,(VLOOKUP($C93,'S3 - Screening Tool Metrics'!$C$3:$G$17,5,FALSE)/100)*L93)</f>
        <v>599.07607342220933</v>
      </c>
      <c r="P93" s="706">
        <f t="shared" si="71"/>
        <v>41.92274831506014</v>
      </c>
      <c r="Q93" s="707">
        <f t="shared" si="76"/>
        <v>720400.4</v>
      </c>
      <c r="R93" s="706">
        <f>VLOOKUP("*"&amp;$B93&amp;"*",'S4 - Summ PRS Characteristics'!$C$5:$Q$12,12,FALSE)*$J93</f>
        <v>310.5237097911571</v>
      </c>
      <c r="S93" s="706">
        <f t="shared" si="84"/>
        <v>1118.4762902088428</v>
      </c>
      <c r="T93" s="706">
        <f>IF($C93="other",(1-$C88)*R93,(1-(VLOOKUP($C93,'S3 - Screening Tool Metrics'!$C$3:$G$17,5,FALSE)/100))*R93)</f>
        <v>62.104741958231408</v>
      </c>
      <c r="U93" s="706">
        <f>IF($C93="other",$C88*R93,(VLOOKUP($C93,'S3 - Screening Tool Metrics'!$C$3:$G$17,5,FALSE)/100)*R93)</f>
        <v>248.41896783292569</v>
      </c>
      <c r="V93" s="708">
        <f t="shared" si="77"/>
        <v>17.384112514550434</v>
      </c>
      <c r="W93" s="707">
        <f t="shared" si="78"/>
        <v>360200.2</v>
      </c>
      <c r="X93" s="706">
        <f>VLOOKUP("*"&amp;$B93&amp;"*",'S4 - Summ PRS Characteristics'!$C$5:$Q$12,13,FALSE)*$J93</f>
        <v>158.60746207800986</v>
      </c>
      <c r="Y93" s="706">
        <f t="shared" si="85"/>
        <v>1270.3925379219902</v>
      </c>
      <c r="Z93" s="706">
        <f>IF($C93="other",(1-$C88)*X93,(1-(VLOOKUP($C93,'S3 - Screening Tool Metrics'!$C$3:$G$17,5,FALSE)/100))*X93)</f>
        <v>31.721492415601965</v>
      </c>
      <c r="AA93" s="706">
        <f>IF($C93="other",$C88*X93,(VLOOKUP($C93,'S3 - Screening Tool Metrics'!$C$3:$G$17,5,FALSE)/100)*X93)</f>
        <v>126.88596966240789</v>
      </c>
      <c r="AB93" s="708">
        <f t="shared" si="79"/>
        <v>8.8793540701475084</v>
      </c>
      <c r="AC93" s="706">
        <f t="shared" si="80"/>
        <v>180100.1</v>
      </c>
      <c r="AD93" s="706">
        <f>VLOOKUP("*"&amp;$B93&amp;"*",'S4 - Summ PRS Characteristics'!$C$5:$Q$12,14,FALSE)*$J93</f>
        <v>80.783958694351242</v>
      </c>
      <c r="AE93" s="706">
        <f t="shared" si="87"/>
        <v>1348.2160413056488</v>
      </c>
      <c r="AF93" s="706">
        <f>IF($C93="other",(1-$C88)*AD93,(1-(VLOOKUP($C93,'S3 - Screening Tool Metrics'!$C$3:$G$17,5,FALSE)/100))*AD93)</f>
        <v>16.156791738870243</v>
      </c>
      <c r="AG93" s="706">
        <f>IF($C93="other",$C88*AD93,(VLOOKUP($C93,'S3 - Screening Tool Metrics'!$C$3:$G$17,5,FALSE)/100)*AD93)</f>
        <v>64.627166955481002</v>
      </c>
      <c r="AH93" s="708">
        <f t="shared" si="81"/>
        <v>4.5225449234066479</v>
      </c>
      <c r="AI93" s="707">
        <f t="shared" si="82"/>
        <v>36020.020000000004</v>
      </c>
      <c r="AJ93" s="706">
        <f>VLOOKUP("*"&amp;$B93&amp;"*",'S4 - Summ PRS Characteristics'!$C$5:$Q$12,15,FALSE)*$J93</f>
        <v>16.753117812489744</v>
      </c>
      <c r="AK93" s="706">
        <f t="shared" si="86"/>
        <v>1412.2468821875102</v>
      </c>
      <c r="AL93" s="706">
        <f>IF($C93="other",(1-$C88)*AJ93,(1-(VLOOKUP($C93,'S3 - Screening Tool Metrics'!$C$3:$G$17,5,FALSE)/100))*AJ93)</f>
        <v>3.3506235624979483</v>
      </c>
      <c r="AM93" s="706">
        <f>IF($C93="other",$C88*AJ93,(VLOOKUP($C93,'S3 - Screening Tool Metrics'!$C$3:$G$17,5,FALSE)/100)*AJ93)</f>
        <v>13.402494249991797</v>
      </c>
      <c r="AN93" s="709">
        <f t="shared" si="83"/>
        <v>0.93789322953056664</v>
      </c>
    </row>
    <row r="94" spans="2:40" x14ac:dyDescent="0.15">
      <c r="B94" s="700" t="s">
        <v>14</v>
      </c>
      <c r="C94" s="721" t="str">
        <f>$C89</f>
        <v>Other</v>
      </c>
      <c r="D94" s="552" t="s">
        <v>197</v>
      </c>
      <c r="E94" s="710">
        <f>VLOOKUP($B94&amp;"_"&amp;$D94,'App5 - CRUK Inci Rates'!C:H,6,FALSE)</f>
        <v>73.900000000000006</v>
      </c>
      <c r="F94" s="711">
        <f>VLOOKUP($B94&amp;"_"&amp;$D94,'App5 - CRUK Inci Rates'!C:H,3,FALSE)</f>
        <v>36.4</v>
      </c>
      <c r="G94" s="712">
        <f>VLOOKUP($B94&amp;"_"&amp;$D94,'App5 - CRUK Inci Rates'!C:J,8,FALSE)</f>
        <v>3502183.333333333</v>
      </c>
      <c r="H94" s="713">
        <f>VLOOKUP($B94&amp;"_"&amp;$D94,'App5 - CRUK Inci Rates'!C:J,7,FALSE)</f>
        <v>1696993.3333333333</v>
      </c>
      <c r="I94" s="713">
        <f>VLOOKUP($B94&amp;"_"&amp;$D94,'App5 - CRUK Inci Rates'!C:J,4,FALSE)</f>
        <v>1805190</v>
      </c>
      <c r="J94" s="709">
        <f>VLOOKUP($B94&amp;"_"&amp;$D94,'App5 - CRUK Inci Rates'!C:K,9,FALSE)</f>
        <v>1911</v>
      </c>
      <c r="K94" s="706">
        <f t="shared" si="69"/>
        <v>1751091.6666666665</v>
      </c>
      <c r="L94" s="706">
        <f>VLOOKUP("*"&amp;$B94&amp;"*",'S4 - Summ PRS Characteristics'!$C$5:$Q$12,11,FALSE)*$J94</f>
        <v>1001.429650375999</v>
      </c>
      <c r="M94" s="706">
        <f t="shared" si="70"/>
        <v>909.57034962400098</v>
      </c>
      <c r="N94" s="706">
        <f>IF($C94="other",(1-$C$7)*L94,(1-(VLOOKUP($C94,'S3 - Screening Tool Metrics'!$C$3:$G$17,5,FALSE)/100))*L94)</f>
        <v>200.28593007519976</v>
      </c>
      <c r="O94" s="706">
        <f>IF($C94="other",$C$7*L94,(VLOOKUP($C94,'S3 - Screening Tool Metrics'!$C$3:$G$17,5,FALSE)/100)*L94)</f>
        <v>801.14372030079926</v>
      </c>
      <c r="P94" s="706">
        <f t="shared" si="71"/>
        <v>41.92274831506014</v>
      </c>
      <c r="Q94" s="707">
        <f t="shared" si="76"/>
        <v>700436.66666666663</v>
      </c>
      <c r="R94" s="706">
        <f>VLOOKUP("*"&amp;$B94&amp;"*",'S4 - Summ PRS Characteristics'!$C$5:$Q$12,12,FALSE)*$J94</f>
        <v>415.26298769132347</v>
      </c>
      <c r="S94" s="706">
        <f t="shared" si="84"/>
        <v>1495.7370123086766</v>
      </c>
      <c r="T94" s="706">
        <f>IF($C94="other",(1-$C88)*R94,(1-(VLOOKUP($C94,'S3 - Screening Tool Metrics'!$C$3:$G$17,5,FALSE)/100))*R94)</f>
        <v>83.052597538264678</v>
      </c>
      <c r="U94" s="706">
        <f>IF($C94="other",$C88*R94,(VLOOKUP($C94,'S3 - Screening Tool Metrics'!$C$3:$G$17,5,FALSE)/100)*R94)</f>
        <v>332.21039015305882</v>
      </c>
      <c r="V94" s="708">
        <f t="shared" si="77"/>
        <v>17.384112514550434</v>
      </c>
      <c r="W94" s="707">
        <f t="shared" si="78"/>
        <v>350218.33333333331</v>
      </c>
      <c r="X94" s="706">
        <f>VLOOKUP("*"&amp;$B94&amp;"*",'S4 - Summ PRS Characteristics'!$C$5:$Q$12,13,FALSE)*$J94</f>
        <v>212.10557035064858</v>
      </c>
      <c r="Y94" s="706">
        <f t="shared" si="85"/>
        <v>1698.8944296493514</v>
      </c>
      <c r="Z94" s="706">
        <f>IF($C94="other",(1-$C88)*X94,(1-(VLOOKUP($C94,'S3 - Screening Tool Metrics'!$C$3:$G$17,5,FALSE)/100))*X94)</f>
        <v>42.421114070129704</v>
      </c>
      <c r="AA94" s="706">
        <f>IF($C94="other",$C88*X94,(VLOOKUP($C94,'S3 - Screening Tool Metrics'!$C$3:$G$17,5,FALSE)/100)*X94)</f>
        <v>169.68445628051887</v>
      </c>
      <c r="AB94" s="708">
        <f t="shared" si="79"/>
        <v>8.8793540701475084</v>
      </c>
      <c r="AC94" s="706">
        <f t="shared" si="80"/>
        <v>175109.16666666666</v>
      </c>
      <c r="AD94" s="706">
        <f>VLOOKUP("*"&amp;$B94&amp;"*",'S4 - Summ PRS Characteristics'!$C$5:$Q$12,14,FALSE)*$J94</f>
        <v>108.0322918578763</v>
      </c>
      <c r="AE94" s="706">
        <f t="shared" si="87"/>
        <v>1802.9677081421237</v>
      </c>
      <c r="AF94" s="706">
        <f>IF($C94="other",(1-$C88)*AD94,(1-(VLOOKUP($C94,'S3 - Screening Tool Metrics'!$C$3:$G$17,5,FALSE)/100))*AD94)</f>
        <v>21.606458371575254</v>
      </c>
      <c r="AG94" s="706">
        <f>IF($C94="other",$C88*AD94,(VLOOKUP($C94,'S3 - Screening Tool Metrics'!$C$3:$G$17,5,FALSE)/100)*AD94)</f>
        <v>86.425833486301045</v>
      </c>
      <c r="AH94" s="708">
        <f t="shared" si="81"/>
        <v>4.5225449234066479</v>
      </c>
      <c r="AI94" s="707">
        <f t="shared" si="82"/>
        <v>35021.833333333328</v>
      </c>
      <c r="AJ94" s="706">
        <f>VLOOKUP("*"&amp;$B94&amp;"*",'S4 - Summ PRS Characteristics'!$C$5:$Q$12,15,FALSE)*$J94</f>
        <v>22.403924520411405</v>
      </c>
      <c r="AK94" s="706">
        <f t="shared" si="86"/>
        <v>1888.5960754795885</v>
      </c>
      <c r="AL94" s="706">
        <f>IF($C94="other",(1-$C88)*AJ94,(1-(VLOOKUP($C94,'S3 - Screening Tool Metrics'!$C$3:$G$17,5,FALSE)/100))*AJ94)</f>
        <v>4.48078490408228</v>
      </c>
      <c r="AM94" s="706">
        <f>IF($C94="other",$C88*AJ94,(VLOOKUP($C94,'S3 - Screening Tool Metrics'!$C$3:$G$17,5,FALSE)/100)*AJ94)</f>
        <v>17.923139616329124</v>
      </c>
      <c r="AN94" s="709">
        <f t="shared" si="83"/>
        <v>0.93789322953056631</v>
      </c>
    </row>
    <row r="95" spans="2:40" x14ac:dyDescent="0.15">
      <c r="B95" s="700" t="s">
        <v>14</v>
      </c>
      <c r="C95" s="721" t="str">
        <f>$C89</f>
        <v>Other</v>
      </c>
      <c r="D95" s="552" t="s">
        <v>198</v>
      </c>
      <c r="E95" s="710">
        <f>VLOOKUP($B95&amp;"_"&amp;$D95,'App5 - CRUK Inci Rates'!C:H,6,FALSE)</f>
        <v>91.2</v>
      </c>
      <c r="F95" s="711">
        <f>VLOOKUP($B95&amp;"_"&amp;$D95,'App5 - CRUK Inci Rates'!C:H,3,FALSE)</f>
        <v>45.1</v>
      </c>
      <c r="G95" s="712">
        <f>VLOOKUP($B95&amp;"_"&amp;$D95,'App5 - CRUK Inci Rates'!C:J,8,FALSE)</f>
        <v>3071574.666666667</v>
      </c>
      <c r="H95" s="713">
        <f>VLOOKUP($B95&amp;"_"&amp;$D95,'App5 - CRUK Inci Rates'!C:J,7,FALSE)</f>
        <v>1467965</v>
      </c>
      <c r="I95" s="713">
        <f>VLOOKUP($B95&amp;"_"&amp;$D95,'App5 - CRUK Inci Rates'!C:J,4,FALSE)</f>
        <v>1603609.6666666667</v>
      </c>
      <c r="J95" s="709">
        <f>VLOOKUP($B95&amp;"_"&amp;$D95,'App5 - CRUK Inci Rates'!C:K,9,FALSE)</f>
        <v>2063</v>
      </c>
      <c r="K95" s="706">
        <f t="shared" si="69"/>
        <v>1535787.3333333335</v>
      </c>
      <c r="L95" s="706">
        <f>VLOOKUP("*"&amp;$B95&amp;"*",'S4 - Summ PRS Characteristics'!$C$5:$Q$12,11,FALSE)*$J95</f>
        <v>1081.0828721746132</v>
      </c>
      <c r="M95" s="706">
        <f t="shared" si="70"/>
        <v>981.91712782538684</v>
      </c>
      <c r="N95" s="706">
        <f>IF($C95="other",(1-$C$7)*L95,(1-(VLOOKUP($C95,'S3 - Screening Tool Metrics'!$C$3:$G$17,5,FALSE)/100))*L95)</f>
        <v>216.21657443492259</v>
      </c>
      <c r="O95" s="706">
        <f>IF($C95="other",$C$7*L95,(VLOOKUP($C95,'S3 - Screening Tool Metrics'!$C$3:$G$17,5,FALSE)/100)*L95)</f>
        <v>864.86629773969059</v>
      </c>
      <c r="P95" s="706">
        <f t="shared" si="71"/>
        <v>41.92274831506014</v>
      </c>
      <c r="Q95" s="707">
        <f t="shared" si="76"/>
        <v>614314.93333333347</v>
      </c>
      <c r="R95" s="706">
        <f>VLOOKUP("*"&amp;$B95&amp;"*",'S4 - Summ PRS Characteristics'!$C$5:$Q$12,12,FALSE)*$J95</f>
        <v>448.29280146896929</v>
      </c>
      <c r="S95" s="706">
        <f t="shared" si="84"/>
        <v>1614.7071985310308</v>
      </c>
      <c r="T95" s="706">
        <f>IF($C95="other",(1-$C88)*R95,(1-(VLOOKUP($C95,'S3 - Screening Tool Metrics'!$C$3:$G$17,5,FALSE)/100))*R95)</f>
        <v>89.65856029379384</v>
      </c>
      <c r="U95" s="706">
        <f>IF($C95="other",$C88*R95,(VLOOKUP($C95,'S3 - Screening Tool Metrics'!$C$3:$G$17,5,FALSE)/100)*R95)</f>
        <v>358.63424117517548</v>
      </c>
      <c r="V95" s="708">
        <f t="shared" si="77"/>
        <v>17.384112514550434</v>
      </c>
      <c r="W95" s="707">
        <f t="shared" si="78"/>
        <v>307157.46666666673</v>
      </c>
      <c r="X95" s="706">
        <f>VLOOKUP("*"&amp;$B95&amp;"*",'S4 - Summ PRS Characteristics'!$C$5:$Q$12,13,FALSE)*$J95</f>
        <v>228.97634308392884</v>
      </c>
      <c r="Y95" s="706">
        <f t="shared" si="85"/>
        <v>1834.0236569160711</v>
      </c>
      <c r="Z95" s="706">
        <f>IF($C95="other",(1-$C88)*X95,(1-(VLOOKUP($C95,'S3 - Screening Tool Metrics'!$C$3:$G$17,5,FALSE)/100))*X95)</f>
        <v>45.795268616785755</v>
      </c>
      <c r="AA95" s="706">
        <f>IF($C95="other",$C88*X95,(VLOOKUP($C95,'S3 - Screening Tool Metrics'!$C$3:$G$17,5,FALSE)/100)*X95)</f>
        <v>183.18107446714308</v>
      </c>
      <c r="AB95" s="708">
        <f t="shared" si="79"/>
        <v>8.8793540701475084</v>
      </c>
      <c r="AC95" s="706">
        <f t="shared" si="80"/>
        <v>153578.73333333337</v>
      </c>
      <c r="AD95" s="706">
        <f>VLOOKUP("*"&amp;$B95&amp;"*",'S4 - Summ PRS Characteristics'!$C$5:$Q$12,14,FALSE)*$J95</f>
        <v>116.62512721234893</v>
      </c>
      <c r="AE95" s="706">
        <f t="shared" si="87"/>
        <v>1946.3748727876512</v>
      </c>
      <c r="AF95" s="706">
        <f>IF($C95="other",(1-$C88)*AD95,(1-(VLOOKUP($C95,'S3 - Screening Tool Metrics'!$C$3:$G$17,5,FALSE)/100))*AD95)</f>
        <v>23.32502544246978</v>
      </c>
      <c r="AG95" s="706">
        <f>IF($C95="other",$C88*AD95,(VLOOKUP($C95,'S3 - Screening Tool Metrics'!$C$3:$G$17,5,FALSE)/100)*AD95)</f>
        <v>93.300101769879149</v>
      </c>
      <c r="AH95" s="708">
        <f t="shared" si="81"/>
        <v>4.5225449234066479</v>
      </c>
      <c r="AI95" s="707">
        <f t="shared" si="82"/>
        <v>30715.74666666667</v>
      </c>
      <c r="AJ95" s="706">
        <f>VLOOKUP("*"&amp;$B95&amp;"*",'S4 - Summ PRS Characteristics'!$C$5:$Q$12,15,FALSE)*$J95</f>
        <v>24.185921656519483</v>
      </c>
      <c r="AK95" s="706">
        <f t="shared" si="86"/>
        <v>2038.8140783434806</v>
      </c>
      <c r="AL95" s="706">
        <f>IF($C95="other",(1-$C88)*AJ95,(1-(VLOOKUP($C95,'S3 - Screening Tool Metrics'!$C$3:$G$17,5,FALSE)/100))*AJ95)</f>
        <v>4.8371843313038951</v>
      </c>
      <c r="AM95" s="706">
        <f>IF($C95="other",$C88*AJ95,(VLOOKUP($C95,'S3 - Screening Tool Metrics'!$C$3:$G$17,5,FALSE)/100)*AJ95)</f>
        <v>19.348737325215588</v>
      </c>
      <c r="AN95" s="709">
        <f t="shared" si="83"/>
        <v>0.93789322953056653</v>
      </c>
    </row>
    <row r="96" spans="2:40" x14ac:dyDescent="0.15">
      <c r="B96" s="700" t="s">
        <v>14</v>
      </c>
      <c r="C96" s="721" t="str">
        <f>$C89</f>
        <v>Other</v>
      </c>
      <c r="D96" s="552" t="s">
        <v>199</v>
      </c>
      <c r="E96" s="710">
        <f>VLOOKUP($B96&amp;"_"&amp;$D96,'App5 - CRUK Inci Rates'!C:H,6,FALSE)</f>
        <v>110.1</v>
      </c>
      <c r="F96" s="711">
        <f>VLOOKUP($B96&amp;"_"&amp;$D96,'App5 - CRUK Inci Rates'!C:H,3,FALSE)</f>
        <v>57.2</v>
      </c>
      <c r="G96" s="712">
        <f>VLOOKUP($B96&amp;"_"&amp;$D96,'App5 - CRUK Inci Rates'!C:J,8,FALSE)</f>
        <v>2189010.6666666665</v>
      </c>
      <c r="H96" s="713">
        <f>VLOOKUP($B96&amp;"_"&amp;$D96,'App5 - CRUK Inci Rates'!C:J,7,FALSE)</f>
        <v>1007365.3333333334</v>
      </c>
      <c r="I96" s="713">
        <f>VLOOKUP($B96&amp;"_"&amp;$D96,'App5 - CRUK Inci Rates'!C:J,4,FALSE)</f>
        <v>1181645.3333333333</v>
      </c>
      <c r="J96" s="709">
        <f>VLOOKUP($B96&amp;"_"&amp;$D96,'App5 - CRUK Inci Rates'!C:K,9,FALSE)</f>
        <v>1785</v>
      </c>
      <c r="K96" s="706">
        <f t="shared" si="69"/>
        <v>1094505.3333333333</v>
      </c>
      <c r="L96" s="706">
        <f>VLOOKUP("*"&amp;$B96&amp;"*",'S4 - Summ PRS Characteristics'!$C$5:$Q$12,11,FALSE)*$J96</f>
        <v>935.40132177977932</v>
      </c>
      <c r="M96" s="706">
        <f t="shared" si="70"/>
        <v>849.59867822022068</v>
      </c>
      <c r="N96" s="706">
        <f>IF($C96="other",(1-$C$7)*L96,(1-(VLOOKUP($C96,'S3 - Screening Tool Metrics'!$C$3:$G$17,5,FALSE)/100))*L96)</f>
        <v>187.08026435595582</v>
      </c>
      <c r="O96" s="706">
        <f>IF($C96="other",$C$7*L96,(VLOOKUP($C96,'S3 - Screening Tool Metrics'!$C$3:$G$17,5,FALSE)/100)*L96)</f>
        <v>748.3210574238235</v>
      </c>
      <c r="P96" s="706">
        <f t="shared" si="71"/>
        <v>41.92274831506014</v>
      </c>
      <c r="Q96" s="707">
        <f t="shared" si="76"/>
        <v>437802.1333333333</v>
      </c>
      <c r="R96" s="706">
        <f>VLOOKUP("*"&amp;$B96&amp;"*",'S4 - Summ PRS Characteristics'!$C$5:$Q$12,12,FALSE)*$J96</f>
        <v>387.88301048090653</v>
      </c>
      <c r="S96" s="706">
        <f t="shared" si="84"/>
        <v>1397.1169895190935</v>
      </c>
      <c r="T96" s="706">
        <f>IF($C96="other",(1-$C88)*R96,(1-(VLOOKUP($C96,'S3 - Screening Tool Metrics'!$C$3:$G$17,5,FALSE)/100))*R96)</f>
        <v>77.57660209618129</v>
      </c>
      <c r="U96" s="706">
        <f>IF($C96="other",$C88*R96,(VLOOKUP($C96,'S3 - Screening Tool Metrics'!$C$3:$G$17,5,FALSE)/100)*R96)</f>
        <v>310.30640838472527</v>
      </c>
      <c r="V96" s="708">
        <f t="shared" si="77"/>
        <v>17.384112514550434</v>
      </c>
      <c r="W96" s="707">
        <f t="shared" si="78"/>
        <v>218901.06666666665</v>
      </c>
      <c r="X96" s="706">
        <f>VLOOKUP("*"&amp;$B96&amp;"*",'S4 - Summ PRS Characteristics'!$C$5:$Q$12,13,FALSE)*$J96</f>
        <v>198.12058769016625</v>
      </c>
      <c r="Y96" s="706">
        <f t="shared" si="85"/>
        <v>1586.8794123098337</v>
      </c>
      <c r="Z96" s="706">
        <f>IF($C96="other",(1-$C88)*X96,(1-(VLOOKUP($C96,'S3 - Screening Tool Metrics'!$C$3:$G$17,5,FALSE)/100))*X96)</f>
        <v>39.624117538033239</v>
      </c>
      <c r="AA96" s="706">
        <f>IF($C96="other",$C88*X96,(VLOOKUP($C96,'S3 - Screening Tool Metrics'!$C$3:$G$17,5,FALSE)/100)*X96)</f>
        <v>158.49647015213301</v>
      </c>
      <c r="AB96" s="708">
        <f t="shared" si="79"/>
        <v>8.8793540701475084</v>
      </c>
      <c r="AC96" s="706">
        <f t="shared" si="80"/>
        <v>109450.53333333333</v>
      </c>
      <c r="AD96" s="706">
        <f>VLOOKUP("*"&amp;$B96&amp;"*",'S4 - Summ PRS Characteristics'!$C$5:$Q$12,14,FALSE)*$J96</f>
        <v>100.90928360351083</v>
      </c>
      <c r="AE96" s="706">
        <f t="shared" si="87"/>
        <v>1684.0907163964891</v>
      </c>
      <c r="AF96" s="706">
        <f>IF($C96="other",(1-$C88)*AD96,(1-(VLOOKUP($C96,'S3 - Screening Tool Metrics'!$C$3:$G$17,5,FALSE)/100))*AD96)</f>
        <v>20.181856720702161</v>
      </c>
      <c r="AG96" s="706">
        <f>IF($C96="other",$C88*AD96,(VLOOKUP($C96,'S3 - Screening Tool Metrics'!$C$3:$G$17,5,FALSE)/100)*AD96)</f>
        <v>80.727426882808672</v>
      </c>
      <c r="AH96" s="708">
        <f t="shared" si="81"/>
        <v>4.5225449234066479</v>
      </c>
      <c r="AI96" s="707">
        <f t="shared" si="82"/>
        <v>21890.106666666667</v>
      </c>
      <c r="AJ96" s="706">
        <f>VLOOKUP("*"&amp;$B96&amp;"*",'S4 - Summ PRS Characteristics'!$C$5:$Q$12,15,FALSE)*$J96</f>
        <v>20.926742683900763</v>
      </c>
      <c r="AK96" s="706">
        <f t="shared" si="86"/>
        <v>1764.0732573160992</v>
      </c>
      <c r="AL96" s="706">
        <f>IF($C96="other",(1-$C88)*AJ96,(1-(VLOOKUP($C96,'S3 - Screening Tool Metrics'!$C$3:$G$17,5,FALSE)/100))*AJ96)</f>
        <v>4.1853485367801513</v>
      </c>
      <c r="AM96" s="706">
        <f>IF($C96="other",$C88*AJ96,(VLOOKUP($C96,'S3 - Screening Tool Metrics'!$C$3:$G$17,5,FALSE)/100)*AJ96)</f>
        <v>16.741394147120612</v>
      </c>
      <c r="AN96" s="709">
        <f t="shared" si="83"/>
        <v>0.93789322953056653</v>
      </c>
    </row>
    <row r="97" spans="2:40" x14ac:dyDescent="0.15">
      <c r="B97" s="700" t="s">
        <v>14</v>
      </c>
      <c r="C97" s="721" t="str">
        <f>$C89</f>
        <v>Other</v>
      </c>
      <c r="D97" s="552" t="s">
        <v>200</v>
      </c>
      <c r="E97" s="710">
        <f>VLOOKUP($B97&amp;"_"&amp;$D97,'App5 - CRUK Inci Rates'!C:H,6,FALSE)</f>
        <v>34.622861697796182</v>
      </c>
      <c r="F97" s="711">
        <f>VLOOKUP($B97&amp;"_"&amp;$D97,'App5 - CRUK Inci Rates'!C:H,3,FALSE)</f>
        <v>16.932887508650499</v>
      </c>
      <c r="G97" s="712">
        <f>VLOOKUP($B97&amp;"_"&amp;$D97,'App5 - CRUK Inci Rates'!C:J,8,FALSE)</f>
        <v>24586669.333333336</v>
      </c>
      <c r="H97" s="713">
        <f>VLOOKUP($B97&amp;"_"&amp;$D97,'App5 - CRUK Inci Rates'!C:J,7,FALSE)</f>
        <v>12090277.333333334</v>
      </c>
      <c r="I97" s="713">
        <f>VLOOKUP($B97&amp;"_"&amp;$D97,'App5 - CRUK Inci Rates'!C:J,4,FALSE)</f>
        <v>12496392</v>
      </c>
      <c r="J97" s="709">
        <f>VLOOKUP($B97&amp;"_"&amp;$D97,'App5 - CRUK Inci Rates'!C:K,9,FALSE)</f>
        <v>6302</v>
      </c>
      <c r="K97" s="706">
        <f t="shared" si="69"/>
        <v>12293334.666666668</v>
      </c>
      <c r="L97" s="706">
        <f>VLOOKUP("*"&amp;$B97&amp;"*",'S4 - Summ PRS Characteristics'!$C$5:$Q$12,11,FALSE)*$J97</f>
        <v>3302.4644985188625</v>
      </c>
      <c r="M97" s="706">
        <f t="shared" si="70"/>
        <v>2999.5355014811375</v>
      </c>
      <c r="N97" s="706">
        <f>IF($C97="other",(1-$C$7)*L97,(1-(VLOOKUP($C97,'S3 - Screening Tool Metrics'!$C$3:$G$17,5,FALSE)/100))*L97)</f>
        <v>660.49289970377231</v>
      </c>
      <c r="O97" s="706">
        <f>IF($C97="other",$C$7*L97,(VLOOKUP($C97,'S3 - Screening Tool Metrics'!$C$3:$G$17,5,FALSE)/100)*L97)</f>
        <v>2641.9715988150901</v>
      </c>
      <c r="P97" s="706">
        <f t="shared" si="71"/>
        <v>41.92274831506014</v>
      </c>
      <c r="Q97" s="707">
        <f t="shared" si="76"/>
        <v>4917333.8666666672</v>
      </c>
      <c r="R97" s="706">
        <f>VLOOKUP("*"&amp;$B97&amp;"*",'S4 - Summ PRS Characteristics'!$C$5:$Q$12,12,FALSE)*$J97</f>
        <v>1369.4334633337105</v>
      </c>
      <c r="S97" s="706">
        <f t="shared" si="84"/>
        <v>4932.5665366662897</v>
      </c>
      <c r="T97" s="706">
        <f>IF($C97="other",(1-$C88)*R97,(1-(VLOOKUP($C97,'S3 - Screening Tool Metrics'!$C$3:$G$17,5,FALSE)/100))*R97)</f>
        <v>273.88669266674202</v>
      </c>
      <c r="U97" s="706">
        <f>IF($C97="other",$C88*R97,(VLOOKUP($C97,'S3 - Screening Tool Metrics'!$C$3:$G$17,5,FALSE)/100)*R97)</f>
        <v>1095.5467706669685</v>
      </c>
      <c r="V97" s="708">
        <f t="shared" si="77"/>
        <v>17.384112514550438</v>
      </c>
      <c r="W97" s="707">
        <f t="shared" si="78"/>
        <v>2458666.9333333336</v>
      </c>
      <c r="X97" s="706">
        <f>VLOOKUP("*"&amp;$B97&amp;"*",'S4 - Summ PRS Characteristics'!$C$5:$Q$12,13,FALSE)*$J97</f>
        <v>699.47111687586982</v>
      </c>
      <c r="Y97" s="706">
        <f t="shared" si="85"/>
        <v>5602.5288831241305</v>
      </c>
      <c r="Z97" s="706">
        <f>IF($C97="other",(1-$C88)*X97,(1-(VLOOKUP($C97,'S3 - Screening Tool Metrics'!$C$3:$G$17,5,FALSE)/100))*X97)</f>
        <v>139.89422337517394</v>
      </c>
      <c r="AA97" s="706">
        <f>IF($C97="other",$C88*X97,(VLOOKUP($C97,'S3 - Screening Tool Metrics'!$C$3:$G$17,5,FALSE)/100)*X97)</f>
        <v>559.57689350069586</v>
      </c>
      <c r="AB97" s="708">
        <f t="shared" si="79"/>
        <v>8.8793540701475067</v>
      </c>
      <c r="AC97" s="706">
        <f t="shared" si="80"/>
        <v>1229333.4666666668</v>
      </c>
      <c r="AD97" s="706">
        <f>VLOOKUP("*"&amp;$B97&amp;"*",'S4 - Summ PRS Characteristics'!$C$5:$Q$12,14,FALSE)*$J97</f>
        <v>356.26347634135868</v>
      </c>
      <c r="AE97" s="706">
        <f t="shared" si="87"/>
        <v>5945.7365236586411</v>
      </c>
      <c r="AF97" s="706">
        <f>IF($C97="other",(1-$C88)*AD97,(1-(VLOOKUP($C97,'S3 - Screening Tool Metrics'!$C$3:$G$17,5,FALSE)/100))*AD97)</f>
        <v>71.252695268271722</v>
      </c>
      <c r="AG97" s="706">
        <f>IF($C97="other",$C88*AD97,(VLOOKUP($C97,'S3 - Screening Tool Metrics'!$C$3:$G$17,5,FALSE)/100)*AD97)</f>
        <v>285.01078107308695</v>
      </c>
      <c r="AH97" s="708">
        <f t="shared" si="81"/>
        <v>4.5225449234066479</v>
      </c>
      <c r="AI97" s="707">
        <f t="shared" si="82"/>
        <v>245866.69333333336</v>
      </c>
      <c r="AJ97" s="706">
        <f>VLOOKUP("*"&amp;$B97&amp;"*",'S4 - Summ PRS Characteristics'!$C$5:$Q$12,15,FALSE)*$J97</f>
        <v>73.882539156270369</v>
      </c>
      <c r="AK97" s="706">
        <f t="shared" si="86"/>
        <v>6228.1174608437295</v>
      </c>
      <c r="AL97" s="706">
        <f>IF($C97="other",(1-$C88)*AJ97,(1-(VLOOKUP($C97,'S3 - Screening Tool Metrics'!$C$3:$G$17,5,FALSE)/100))*AJ97)</f>
        <v>14.776507831254071</v>
      </c>
      <c r="AM97" s="706">
        <f>IF($C97="other",$C88*AJ97,(VLOOKUP($C97,'S3 - Screening Tool Metrics'!$C$3:$G$17,5,FALSE)/100)*AJ97)</f>
        <v>59.106031325016296</v>
      </c>
      <c r="AN97" s="709">
        <f t="shared" si="83"/>
        <v>0.93789322953056653</v>
      </c>
    </row>
    <row r="98" spans="2:40" x14ac:dyDescent="0.15">
      <c r="B98" s="700" t="s">
        <v>14</v>
      </c>
      <c r="C98" s="721" t="str">
        <f>$C89</f>
        <v>Other</v>
      </c>
      <c r="D98" s="552" t="s">
        <v>201</v>
      </c>
      <c r="E98" s="710">
        <f>VLOOKUP($B98&amp;"_"&amp;$D98,'App5 - CRUK Inci Rates'!C:H,6,FALSE)</f>
        <v>14.135054044739473</v>
      </c>
      <c r="F98" s="711">
        <f>VLOOKUP($B98&amp;"_"&amp;$D98,'App5 - CRUK Inci Rates'!C:H,3,FALSE)</f>
        <v>6.4764131930257953</v>
      </c>
      <c r="G98" s="712">
        <f>VLOOKUP($B98&amp;"_"&amp;$D98,'App5 - CRUK Inci Rates'!C:J,8,FALSE)</f>
        <v>8642767.333333334</v>
      </c>
      <c r="H98" s="713">
        <f>VLOOKUP($B98&amp;"_"&amp;$D98,'App5 - CRUK Inci Rates'!C:J,7,FALSE)</f>
        <v>4273064.666666667</v>
      </c>
      <c r="I98" s="713">
        <f>VLOOKUP($B98&amp;"_"&amp;$D98,'App5 - CRUK Inci Rates'!C:J,4,FALSE)</f>
        <v>4369702.666666667</v>
      </c>
      <c r="J98" s="709">
        <f>VLOOKUP($B98&amp;"_"&amp;$D98,'App5 - CRUK Inci Rates'!C:K,9,FALSE)</f>
        <v>887</v>
      </c>
      <c r="K98" s="706">
        <f t="shared" si="69"/>
        <v>4321383.666666667</v>
      </c>
      <c r="L98" s="706">
        <f>VLOOKUP("*"&amp;$B98&amp;"*",'S4 - Summ PRS Characteristics'!$C$5:$Q$12,11,FALSE)*$J98</f>
        <v>464.81847194322927</v>
      </c>
      <c r="M98" s="706">
        <f t="shared" si="70"/>
        <v>422.18152805677073</v>
      </c>
      <c r="N98" s="706">
        <f>IF($C98="other",(1-$C$7)*L98,(1-(VLOOKUP($C98,'S3 - Screening Tool Metrics'!$C$3:$G$17,5,FALSE)/100))*L98)</f>
        <v>92.963694388645834</v>
      </c>
      <c r="O98" s="706">
        <f>IF($C98="other",$C$7*L98,(VLOOKUP($C98,'S3 - Screening Tool Metrics'!$C$3:$G$17,5,FALSE)/100)*L98)</f>
        <v>371.85477755458345</v>
      </c>
      <c r="P98" s="706">
        <f t="shared" si="71"/>
        <v>41.92274831506014</v>
      </c>
      <c r="Q98" s="707">
        <f t="shared" si="76"/>
        <v>1728553.4666666668</v>
      </c>
      <c r="R98" s="706">
        <f>VLOOKUP("*"&amp;$B98&amp;"*",'S4 - Summ PRS Characteristics'!$C$5:$Q$12,12,FALSE)*$J98</f>
        <v>192.74634750507792</v>
      </c>
      <c r="S98" s="706">
        <f t="shared" si="84"/>
        <v>694.25365249492211</v>
      </c>
      <c r="T98" s="706">
        <f>IF($C98="other",(1-$C88)*R98,(1-(VLOOKUP($C98,'S3 - Screening Tool Metrics'!$C$3:$G$17,5,FALSE)/100))*R98)</f>
        <v>38.549269501015573</v>
      </c>
      <c r="U98" s="706">
        <f>IF($C98="other",$C88*R98,(VLOOKUP($C98,'S3 - Screening Tool Metrics'!$C$3:$G$17,5,FALSE)/100)*R98)</f>
        <v>154.19707800406235</v>
      </c>
      <c r="V98" s="708">
        <f t="shared" si="77"/>
        <v>17.384112514550434</v>
      </c>
      <c r="W98" s="707">
        <f t="shared" si="78"/>
        <v>864276.7333333334</v>
      </c>
      <c r="X98" s="706">
        <f>VLOOKUP("*"&amp;$B98&amp;"*",'S4 - Summ PRS Characteristics'!$C$5:$Q$12,13,FALSE)*$J98</f>
        <v>98.449838252760486</v>
      </c>
      <c r="Y98" s="706">
        <f t="shared" si="85"/>
        <v>788.55016174723949</v>
      </c>
      <c r="Z98" s="706">
        <f>IF($C98="other",(1-$C88)*X98,(1-(VLOOKUP($C98,'S3 - Screening Tool Metrics'!$C$3:$G$17,5,FALSE)/100))*X98)</f>
        <v>19.689967650552092</v>
      </c>
      <c r="AA98" s="706">
        <f>IF($C98="other",$C88*X98,(VLOOKUP($C98,'S3 - Screening Tool Metrics'!$C$3:$G$17,5,FALSE)/100)*X98)</f>
        <v>78.759870602208395</v>
      </c>
      <c r="AB98" s="708">
        <f t="shared" si="79"/>
        <v>8.8793540701475084</v>
      </c>
      <c r="AC98" s="706">
        <f t="shared" si="80"/>
        <v>432138.3666666667</v>
      </c>
      <c r="AD98" s="706">
        <f>VLOOKUP("*"&amp;$B98&amp;"*",'S4 - Summ PRS Characteristics'!$C$5:$Q$12,14,FALSE)*$J98</f>
        <v>50.14371683827121</v>
      </c>
      <c r="AE98" s="706">
        <f t="shared" si="87"/>
        <v>836.85628316172881</v>
      </c>
      <c r="AF98" s="706">
        <f>IF($C98="other",(1-$C88)*AD98,(1-(VLOOKUP($C98,'S3 - Screening Tool Metrics'!$C$3:$G$17,5,FALSE)/100))*AD98)</f>
        <v>10.02874336765424</v>
      </c>
      <c r="AG98" s="706">
        <f>IF($C98="other",$C88*AD98,(VLOOKUP($C98,'S3 - Screening Tool Metrics'!$C$3:$G$17,5,FALSE)/100)*AD98)</f>
        <v>40.114973470616974</v>
      </c>
      <c r="AH98" s="708">
        <f t="shared" si="81"/>
        <v>4.5225449234066488</v>
      </c>
      <c r="AI98" s="707">
        <f t="shared" si="82"/>
        <v>86427.67333333334</v>
      </c>
      <c r="AJ98" s="706">
        <f>VLOOKUP("*"&amp;$B98&amp;"*",'S4 - Summ PRS Characteristics'!$C$5:$Q$12,15,FALSE)*$J98</f>
        <v>10.398891182420154</v>
      </c>
      <c r="AK98" s="706">
        <f t="shared" si="86"/>
        <v>876.60110881757987</v>
      </c>
      <c r="AL98" s="706">
        <f>IF($C98="other",(1-$C88)*AJ98,(1-(VLOOKUP($C98,'S3 - Screening Tool Metrics'!$C$3:$G$17,5,FALSE)/100))*AJ98)</f>
        <v>2.0797782364840303</v>
      </c>
      <c r="AM98" s="706">
        <f>IF($C98="other",$C88*AJ98,(VLOOKUP($C98,'S3 - Screening Tool Metrics'!$C$3:$G$17,5,FALSE)/100)*AJ98)</f>
        <v>8.3191129459361246</v>
      </c>
      <c r="AN98" s="709">
        <f t="shared" si="83"/>
        <v>0.93789322953056653</v>
      </c>
    </row>
    <row r="99" spans="2:40" x14ac:dyDescent="0.15">
      <c r="B99" s="700" t="s">
        <v>14</v>
      </c>
      <c r="C99" s="721" t="str">
        <f>$C89</f>
        <v>Other</v>
      </c>
      <c r="D99" s="552" t="s">
        <v>202</v>
      </c>
      <c r="E99" s="710">
        <f>VLOOKUP($B99&amp;"_"&amp;$D99,'App5 - CRUK Inci Rates'!C:H,6,FALSE)</f>
        <v>31.661908068880759</v>
      </c>
      <c r="F99" s="711">
        <f>VLOOKUP($B99&amp;"_"&amp;$D99,'App5 - CRUK Inci Rates'!C:H,3,FALSE)</f>
        <v>15.520729391028421</v>
      </c>
      <c r="G99" s="712">
        <f>VLOOKUP($B99&amp;"_"&amp;$D99,'App5 - CRUK Inci Rates'!C:J,8,FALSE)</f>
        <v>8839716.6666666679</v>
      </c>
      <c r="H99" s="713">
        <f>VLOOKUP($B99&amp;"_"&amp;$D99,'App5 - CRUK Inci Rates'!C:J,7,FALSE)</f>
        <v>4355391.333333333</v>
      </c>
      <c r="I99" s="713">
        <f>VLOOKUP($B99&amp;"_"&amp;$D99,'App5 - CRUK Inci Rates'!C:J,4,FALSE)</f>
        <v>4484325.333333334</v>
      </c>
      <c r="J99" s="709">
        <f>VLOOKUP($B99&amp;"_"&amp;$D99,'App5 - CRUK Inci Rates'!C:K,9,FALSE)</f>
        <v>2075</v>
      </c>
      <c r="K99" s="706">
        <f t="shared" si="69"/>
        <v>4419858.333333334</v>
      </c>
      <c r="L99" s="706">
        <f>VLOOKUP("*"&amp;$B99&amp;"*",'S4 - Summ PRS Characteristics'!$C$5:$Q$12,11,FALSE)*$J99</f>
        <v>1087.3712844218724</v>
      </c>
      <c r="M99" s="706">
        <f t="shared" si="70"/>
        <v>987.62871557812764</v>
      </c>
      <c r="N99" s="706">
        <f>IF($C99="other",(1-$C$7)*L99,(1-(VLOOKUP($C99,'S3 - Screening Tool Metrics'!$C$3:$G$17,5,FALSE)/100))*L99)</f>
        <v>217.47425688437443</v>
      </c>
      <c r="O99" s="706">
        <f>IF($C99="other",$C$7*L99,(VLOOKUP($C99,'S3 - Screening Tool Metrics'!$C$3:$G$17,5,FALSE)/100)*L99)</f>
        <v>869.89702753749793</v>
      </c>
      <c r="P99" s="706">
        <f t="shared" si="71"/>
        <v>41.92274831506014</v>
      </c>
      <c r="Q99" s="707">
        <f t="shared" si="76"/>
        <v>1767943.3333333337</v>
      </c>
      <c r="R99" s="706">
        <f>VLOOKUP("*"&amp;$B99&amp;"*",'S4 - Summ PRS Characteristics'!$C$5:$Q$12,12,FALSE)*$J99</f>
        <v>450.90041834615187</v>
      </c>
      <c r="S99" s="706">
        <f t="shared" si="84"/>
        <v>1624.0995816538482</v>
      </c>
      <c r="T99" s="706">
        <f>IF($C99="other",(1-$C88)*R99,(1-(VLOOKUP($C99,'S3 - Screening Tool Metrics'!$C$3:$G$17,5,FALSE)/100))*R99)</f>
        <v>90.180083669230356</v>
      </c>
      <c r="U99" s="706">
        <f>IF($C99="other",$C88*R99,(VLOOKUP($C99,'S3 - Screening Tool Metrics'!$C$3:$G$17,5,FALSE)/100)*R99)</f>
        <v>360.72033467692154</v>
      </c>
      <c r="V99" s="708">
        <f t="shared" si="77"/>
        <v>17.384112514550434</v>
      </c>
      <c r="W99" s="707">
        <f t="shared" si="78"/>
        <v>883971.66666666686</v>
      </c>
      <c r="X99" s="706">
        <f>VLOOKUP("*"&amp;$B99&amp;"*",'S4 - Summ PRS Characteristics'!$C$5:$Q$12,13,FALSE)*$J99</f>
        <v>230.30824619445096</v>
      </c>
      <c r="Y99" s="706">
        <f t="shared" si="85"/>
        <v>1844.6917538055491</v>
      </c>
      <c r="Z99" s="706">
        <f>IF($C99="other",(1-$C88)*X99,(1-(VLOOKUP($C99,'S3 - Screening Tool Metrics'!$C$3:$G$17,5,FALSE)/100))*X99)</f>
        <v>46.061649238890183</v>
      </c>
      <c r="AA99" s="706">
        <f>IF($C99="other",$C88*X99,(VLOOKUP($C99,'S3 - Screening Tool Metrics'!$C$3:$G$17,5,FALSE)/100)*X99)</f>
        <v>184.24659695556079</v>
      </c>
      <c r="AB99" s="708">
        <f t="shared" si="79"/>
        <v>8.8793540701475084</v>
      </c>
      <c r="AC99" s="706">
        <f t="shared" si="80"/>
        <v>441985.83333333343</v>
      </c>
      <c r="AD99" s="706">
        <f>VLOOKUP("*"&amp;$B99&amp;"*",'S4 - Summ PRS Characteristics'!$C$5:$Q$12,14,FALSE)*$J99</f>
        <v>117.30350895085992</v>
      </c>
      <c r="AE99" s="706">
        <f t="shared" si="87"/>
        <v>1957.6964910491401</v>
      </c>
      <c r="AF99" s="706">
        <f>IF($C99="other",(1-$C88)*AD99,(1-(VLOOKUP($C99,'S3 - Screening Tool Metrics'!$C$3:$G$17,5,FALSE)/100))*AD99)</f>
        <v>23.460701790171978</v>
      </c>
      <c r="AG99" s="706">
        <f>IF($C99="other",$C88*AD99,(VLOOKUP($C99,'S3 - Screening Tool Metrics'!$C$3:$G$17,5,FALSE)/100)*AD99)</f>
        <v>93.84280716068794</v>
      </c>
      <c r="AH99" s="708">
        <f t="shared" si="81"/>
        <v>4.5225449234066479</v>
      </c>
      <c r="AI99" s="707">
        <f t="shared" si="82"/>
        <v>88397.166666666686</v>
      </c>
      <c r="AJ99" s="706">
        <f>VLOOKUP("*"&amp;$B99&amp;"*",'S4 - Summ PRS Characteristics'!$C$5:$Q$12,15,FALSE)*$J99</f>
        <v>24.326605640949065</v>
      </c>
      <c r="AK99" s="706">
        <f t="shared" si="86"/>
        <v>2050.6733943590511</v>
      </c>
      <c r="AL99" s="706">
        <f>IF($C99="other",(1-$C88)*AJ99,(1-(VLOOKUP($C99,'S3 - Screening Tool Metrics'!$C$3:$G$17,5,FALSE)/100))*AJ99)</f>
        <v>4.8653211281898123</v>
      </c>
      <c r="AM99" s="706">
        <f>IF($C99="other",$C88*AJ99,(VLOOKUP($C99,'S3 - Screening Tool Metrics'!$C$3:$G$17,5,FALSE)/100)*AJ99)</f>
        <v>19.461284512759253</v>
      </c>
      <c r="AN99" s="709">
        <f t="shared" si="83"/>
        <v>0.93789322953056653</v>
      </c>
    </row>
    <row r="100" spans="2:40" x14ac:dyDescent="0.15">
      <c r="B100" s="700" t="s">
        <v>14</v>
      </c>
      <c r="C100" s="721" t="str">
        <f>$C89</f>
        <v>Other</v>
      </c>
      <c r="D100" s="552" t="s">
        <v>203</v>
      </c>
      <c r="E100" s="710">
        <f>VLOOKUP($B100&amp;"_"&amp;$D100,'App5 - CRUK Inci Rates'!C:H,6,FALSE)</f>
        <v>45.821959216665384</v>
      </c>
      <c r="F100" s="711">
        <f>VLOOKUP($B100&amp;"_"&amp;$D100,'App5 - CRUK Inci Rates'!C:H,3,FALSE)</f>
        <v>22.555310346140132</v>
      </c>
      <c r="G100" s="712">
        <f>VLOOKUP($B100&amp;"_"&amp;$D100,'App5 - CRUK Inci Rates'!C:J,8,FALSE)</f>
        <v>15943902</v>
      </c>
      <c r="H100" s="713">
        <f>VLOOKUP($B100&amp;"_"&amp;$D100,'App5 - CRUK Inci Rates'!C:J,7,FALSE)</f>
        <v>7817212.666666666</v>
      </c>
      <c r="I100" s="713">
        <f>VLOOKUP($B100&amp;"_"&amp;$D100,'App5 - CRUK Inci Rates'!C:J,4,FALSE)</f>
        <v>8126689.333333334</v>
      </c>
      <c r="J100" s="709">
        <f>VLOOKUP($B100&amp;"_"&amp;$D100,'App5 - CRUK Inci Rates'!C:K,9,FALSE)</f>
        <v>5415</v>
      </c>
      <c r="K100" s="706">
        <f t="shared" si="69"/>
        <v>7971951</v>
      </c>
      <c r="L100" s="706">
        <f>VLOOKUP("*"&amp;$B100&amp;"*",'S4 - Summ PRS Characteristics'!$C$5:$Q$12,11,FALSE)*$J100</f>
        <v>2837.6460265756332</v>
      </c>
      <c r="M100" s="706">
        <f t="shared" si="70"/>
        <v>2577.3539734243668</v>
      </c>
      <c r="N100" s="706">
        <f>IF($C100="other",(1-$C$7)*L100,(1-(VLOOKUP($C100,'S3 - Screening Tool Metrics'!$C$3:$G$17,5,FALSE)/100))*L100)</f>
        <v>567.52920531512655</v>
      </c>
      <c r="O100" s="706">
        <f>IF($C100="other",$C$7*L100,(VLOOKUP($C100,'S3 - Screening Tool Metrics'!$C$3:$G$17,5,FALSE)/100)*L100)</f>
        <v>2270.1168212605066</v>
      </c>
      <c r="P100" s="706">
        <f t="shared" si="71"/>
        <v>41.92274831506014</v>
      </c>
      <c r="Q100" s="707">
        <f t="shared" si="76"/>
        <v>3188780.4000000004</v>
      </c>
      <c r="R100" s="706">
        <f>VLOOKUP("*"&amp;$B100&amp;"*",'S4 - Summ PRS Characteristics'!$C$5:$Q$12,12,FALSE)*$J100</f>
        <v>1176.6871158286324</v>
      </c>
      <c r="S100" s="706">
        <f t="shared" si="84"/>
        <v>4238.3128841713678</v>
      </c>
      <c r="T100" s="706">
        <f>IF($C100="other",(1-$C88)*R100,(1-(VLOOKUP($C100,'S3 - Screening Tool Metrics'!$C$3:$G$17,5,FALSE)/100))*R100)</f>
        <v>235.33742316572642</v>
      </c>
      <c r="U100" s="706">
        <f>IF($C100="other",$C88*R100,(VLOOKUP($C100,'S3 - Screening Tool Metrics'!$C$3:$G$17,5,FALSE)/100)*R100)</f>
        <v>941.34969266290591</v>
      </c>
      <c r="V100" s="708">
        <f t="shared" si="77"/>
        <v>17.384112514550431</v>
      </c>
      <c r="W100" s="707">
        <f t="shared" si="78"/>
        <v>1594390.2000000002</v>
      </c>
      <c r="X100" s="706">
        <f>VLOOKUP("*"&amp;$B100&amp;"*",'S4 - Summ PRS Characteristics'!$C$5:$Q$12,13,FALSE)*$J100</f>
        <v>601.02127862310942</v>
      </c>
      <c r="Y100" s="706">
        <f t="shared" si="85"/>
        <v>4813.9787213768905</v>
      </c>
      <c r="Z100" s="706">
        <f>IF($C100="other",(1-$C88)*X100,(1-(VLOOKUP($C100,'S3 - Screening Tool Metrics'!$C$3:$G$17,5,FALSE)/100))*X100)</f>
        <v>120.20425572462186</v>
      </c>
      <c r="AA100" s="706">
        <f>IF($C100="other",$C88*X100,(VLOOKUP($C100,'S3 - Screening Tool Metrics'!$C$3:$G$17,5,FALSE)/100)*X100)</f>
        <v>480.81702289848755</v>
      </c>
      <c r="AB100" s="708">
        <f t="shared" si="79"/>
        <v>8.8793540701475084</v>
      </c>
      <c r="AC100" s="706">
        <f t="shared" si="80"/>
        <v>797195.10000000009</v>
      </c>
      <c r="AD100" s="706">
        <f>VLOOKUP("*"&amp;$B100&amp;"*",'S4 - Summ PRS Characteristics'!$C$5:$Q$12,14,FALSE)*$J100</f>
        <v>306.11975950308749</v>
      </c>
      <c r="AE100" s="706">
        <f t="shared" si="87"/>
        <v>5108.8802404969128</v>
      </c>
      <c r="AF100" s="706">
        <f>IF($C100="other",(1-$C88)*AD100,(1-(VLOOKUP($C100,'S3 - Screening Tool Metrics'!$C$3:$G$17,5,FALSE)/100))*AD100)</f>
        <v>61.223951900617486</v>
      </c>
      <c r="AG100" s="706">
        <f>IF($C100="other",$C88*AD100,(VLOOKUP($C100,'S3 - Screening Tool Metrics'!$C$3:$G$17,5,FALSE)/100)*AD100)</f>
        <v>244.89580760247</v>
      </c>
      <c r="AH100" s="708">
        <f t="shared" si="81"/>
        <v>4.5225449234066479</v>
      </c>
      <c r="AI100" s="707">
        <f t="shared" si="82"/>
        <v>159439.01999999999</v>
      </c>
      <c r="AJ100" s="706">
        <f>VLOOKUP("*"&amp;$B100&amp;"*",'S4 - Summ PRS Characteristics'!$C$5:$Q$12,15,FALSE)*$J100</f>
        <v>63.483647973850218</v>
      </c>
      <c r="AK100" s="706">
        <f t="shared" si="86"/>
        <v>5351.5163520261494</v>
      </c>
      <c r="AL100" s="706">
        <f>IF($C100="other",(1-$C88)*AJ100,(1-(VLOOKUP($C100,'S3 - Screening Tool Metrics'!$C$3:$G$17,5,FALSE)/100))*AJ100)</f>
        <v>12.696729594770041</v>
      </c>
      <c r="AM100" s="706">
        <f>IF($C100="other",$C88*AJ100,(VLOOKUP($C100,'S3 - Screening Tool Metrics'!$C$3:$G$17,5,FALSE)/100)*AJ100)</f>
        <v>50.786918379080177</v>
      </c>
      <c r="AN100" s="709">
        <f t="shared" si="83"/>
        <v>0.93789322953056653</v>
      </c>
    </row>
    <row r="101" spans="2:40" x14ac:dyDescent="0.15">
      <c r="B101" s="700" t="s">
        <v>14</v>
      </c>
      <c r="C101" s="721" t="str">
        <f>$C90</f>
        <v>Other</v>
      </c>
      <c r="D101" s="552" t="s">
        <v>292</v>
      </c>
      <c r="E101" s="710">
        <f>VLOOKUP($B101&amp;"_"&amp;$D101,'App5 - CRUK Inci Rates'!C:H,6,FALSE)</f>
        <v>71.848955725532122</v>
      </c>
      <c r="F101" s="711">
        <f>VLOOKUP($B101&amp;"_"&amp;$D101,'App5 - CRUK Inci Rates'!C:H,3,FALSE)</f>
        <v>35.474825423256348</v>
      </c>
      <c r="G101" s="712">
        <f>VLOOKUP($B101&amp;"_"&amp;$D101,'App5 - CRUK Inci Rates'!C:J,8,FALSE)</f>
        <v>8881256.9603638444</v>
      </c>
      <c r="H101" s="713">
        <f>VLOOKUP($B101&amp;"_"&amp;$D101,'App5 - CRUK Inci Rates'!C:J,7,FALSE)</f>
        <v>4929786.333333333</v>
      </c>
      <c r="I101" s="713">
        <f>VLOOKUP($B101&amp;"_"&amp;$D101,'App5 - CRUK Inci Rates'!C:J,4,FALSE)</f>
        <v>5245973.666666667</v>
      </c>
      <c r="J101" s="709">
        <f>VLOOKUP($B101&amp;"_"&amp;$D101,'App5 - CRUK Inci Rates'!C:K,9,FALSE)</f>
        <v>5403</v>
      </c>
      <c r="K101" s="706">
        <f t="shared" si="69"/>
        <v>4440628.4801819222</v>
      </c>
      <c r="L101" s="706">
        <f>VLOOKUP("*"&amp;$B101&amp;"*",'S4 - Summ PRS Characteristics'!$C$5:$Q$12,11,FALSE)*$J101</f>
        <v>2831.357614328374</v>
      </c>
      <c r="M101" s="706">
        <f t="shared" si="70"/>
        <v>2571.642385671626</v>
      </c>
      <c r="N101" s="706">
        <f>IF($C101="other",(1-$C$7)*L101,(1-(VLOOKUP($C101,'S3 - Screening Tool Metrics'!$C$3:$G$17,5,FALSE)/100))*L101)</f>
        <v>566.27152286567468</v>
      </c>
      <c r="O101" s="706">
        <f>IF($C101="other",$C$7*L101,(VLOOKUP($C101,'S3 - Screening Tool Metrics'!$C$3:$G$17,5,FALSE)/100)*L101)</f>
        <v>2265.0860914626992</v>
      </c>
      <c r="P101" s="706">
        <f t="shared" si="71"/>
        <v>41.92274831506014</v>
      </c>
      <c r="Q101" s="707">
        <f t="shared" si="76"/>
        <v>1776251.3920727689</v>
      </c>
      <c r="R101" s="706">
        <f>VLOOKUP("*"&amp;$B101&amp;"*",'S4 - Summ PRS Characteristics'!$C$5:$Q$12,12,FALSE)*$J101</f>
        <v>1174.07949895145</v>
      </c>
      <c r="S101" s="706">
        <f t="shared" si="84"/>
        <v>4228.9205010485502</v>
      </c>
      <c r="T101" s="706">
        <f>IF($C101="other",(1-$C88)*R101,(1-(VLOOKUP($C101,'S3 - Screening Tool Metrics'!$C$3:$G$17,5,FALSE)/100))*R101)</f>
        <v>234.81589979028993</v>
      </c>
      <c r="U101" s="706">
        <f>IF($C101="other",$C88*R101,(VLOOKUP($C101,'S3 - Screening Tool Metrics'!$C$3:$G$17,5,FALSE)/100)*R101)</f>
        <v>939.26359916116007</v>
      </c>
      <c r="V101" s="708">
        <f t="shared" si="77"/>
        <v>17.384112514550438</v>
      </c>
      <c r="W101" s="707">
        <f t="shared" si="78"/>
        <v>888125.69603638444</v>
      </c>
      <c r="X101" s="706">
        <f>VLOOKUP("*"&amp;$B101&amp;"*",'S4 - Summ PRS Characteristics'!$C$5:$Q$12,13,FALSE)*$J101</f>
        <v>599.68937551258728</v>
      </c>
      <c r="Y101" s="706">
        <f t="shared" si="85"/>
        <v>4803.3106244874125</v>
      </c>
      <c r="Z101" s="706">
        <f>IF($C101="other",(1-$C88)*X101,(1-(VLOOKUP($C101,'S3 - Screening Tool Metrics'!$C$3:$G$17,5,FALSE)/100))*X101)</f>
        <v>119.93787510251742</v>
      </c>
      <c r="AA101" s="706">
        <f>IF($C101="other",$C88*X101,(VLOOKUP($C101,'S3 - Screening Tool Metrics'!$C$3:$G$17,5,FALSE)/100)*X101)</f>
        <v>479.75150041006987</v>
      </c>
      <c r="AB101" s="708">
        <f t="shared" si="79"/>
        <v>8.8793540701475084</v>
      </c>
      <c r="AC101" s="706">
        <f t="shared" si="80"/>
        <v>444062.84801819222</v>
      </c>
      <c r="AD101" s="706">
        <f>VLOOKUP("*"&amp;$B101&amp;"*",'S4 - Summ PRS Characteristics'!$C$5:$Q$12,14,FALSE)*$J101</f>
        <v>305.44137776457649</v>
      </c>
      <c r="AE101" s="706">
        <f t="shared" si="87"/>
        <v>5097.5586222354232</v>
      </c>
      <c r="AF101" s="706">
        <f>IF($C101="other",(1-$C88)*AD101,(1-(VLOOKUP($C101,'S3 - Screening Tool Metrics'!$C$3:$G$17,5,FALSE)/100))*AD101)</f>
        <v>61.088275552915285</v>
      </c>
      <c r="AG101" s="706">
        <f>IF($C101="other",$C88*AD101,(VLOOKUP($C101,'S3 - Screening Tool Metrics'!$C$3:$G$17,5,FALSE)/100)*AD101)</f>
        <v>244.3531022116612</v>
      </c>
      <c r="AH101" s="708">
        <f t="shared" si="81"/>
        <v>4.5225449234066479</v>
      </c>
      <c r="AI101" s="707">
        <f t="shared" si="82"/>
        <v>88812.569603638447</v>
      </c>
      <c r="AJ101" s="706">
        <f>VLOOKUP("*"&amp;$B101&amp;"*",'S4 - Summ PRS Characteristics'!$C$5:$Q$12,15,FALSE)*$J101</f>
        <v>63.342963989420632</v>
      </c>
      <c r="AK101" s="706">
        <f t="shared" si="86"/>
        <v>5339.6570360105798</v>
      </c>
      <c r="AL101" s="706">
        <f>IF($C101="other",(1-$C88)*AJ101,(1-(VLOOKUP($C101,'S3 - Screening Tool Metrics'!$C$3:$G$17,5,FALSE)/100))*AJ101)</f>
        <v>12.668592797884124</v>
      </c>
      <c r="AM101" s="706">
        <f>IF($C101="other",$C88*AJ101,(VLOOKUP($C101,'S3 - Screening Tool Metrics'!$C$3:$G$17,5,FALSE)/100)*AJ101)</f>
        <v>50.674371191536508</v>
      </c>
      <c r="AN101" s="709">
        <f t="shared" si="83"/>
        <v>0.93789322953056653</v>
      </c>
    </row>
    <row r="102" spans="2:40" x14ac:dyDescent="0.15">
      <c r="B102" s="700" t="s">
        <v>14</v>
      </c>
      <c r="C102" s="721" t="str">
        <f>$C89</f>
        <v>Other</v>
      </c>
      <c r="D102" s="552" t="s">
        <v>204</v>
      </c>
      <c r="E102" s="710">
        <f>VLOOKUP($B102&amp;"_"&amp;$D102,'App5 - CRUK Inci Rates'!C:H,6,FALSE)</f>
        <v>45.545645274943674</v>
      </c>
      <c r="F102" s="711">
        <f>VLOOKUP($B102&amp;"_"&amp;$D102,'App5 - CRUK Inci Rates'!C:H,3,FALSE)</f>
        <v>23.007991219794569</v>
      </c>
      <c r="G102" s="712">
        <f>VLOOKUP($B102&amp;"_"&amp;$D102,'App5 - CRUK Inci Rates'!C:J,8,FALSE)</f>
        <v>29847254.666666668</v>
      </c>
      <c r="H102" s="713">
        <f>VLOOKUP($B102&amp;"_"&amp;$D102,'App5 - CRUK Inci Rates'!C:J,7,FALSE)</f>
        <v>14565607.666666668</v>
      </c>
      <c r="I102" s="713">
        <f>VLOOKUP($B102&amp;"_"&amp;$D102,'App5 - CRUK Inci Rates'!C:J,4,FALSE)</f>
        <v>15281647</v>
      </c>
      <c r="J102" s="709">
        <f>VLOOKUP($B102&amp;"_"&amp;$D102,'App5 - CRUK Inci Rates'!C:K,9,FALSE)</f>
        <v>10150</v>
      </c>
      <c r="K102" s="706">
        <f t="shared" si="69"/>
        <v>14923627.333333334</v>
      </c>
      <c r="L102" s="706">
        <f>VLOOKUP("*"&amp;$B102&amp;"*",'S4 - Summ PRS Characteristics'!$C$5:$Q$12,11,FALSE)*$J102</f>
        <v>5318.9486924732546</v>
      </c>
      <c r="M102" s="706">
        <f t="shared" si="70"/>
        <v>4831.0513075267454</v>
      </c>
      <c r="N102" s="706">
        <f>IF($C102="other",(1-$C$7)*L102,(1-(VLOOKUP($C102,'S3 - Screening Tool Metrics'!$C$3:$G$17,5,FALSE)/100))*L102)</f>
        <v>1063.7897384946507</v>
      </c>
      <c r="O102" s="706">
        <f>IF($C102="other",$C$7*L102,(VLOOKUP($C102,'S3 - Screening Tool Metrics'!$C$3:$G$17,5,FALSE)/100)*L102)</f>
        <v>4255.1589539786037</v>
      </c>
      <c r="P102" s="706">
        <f t="shared" si="71"/>
        <v>41.922748315060133</v>
      </c>
      <c r="Q102" s="707">
        <f t="shared" si="76"/>
        <v>5969450.9333333336</v>
      </c>
      <c r="R102" s="706">
        <f>VLOOKUP("*"&amp;$B102&amp;"*",'S4 - Summ PRS Characteristics'!$C$5:$Q$12,12,FALSE)*$J102</f>
        <v>2205.6092752835862</v>
      </c>
      <c r="S102" s="706">
        <f t="shared" si="84"/>
        <v>7944.3907247164134</v>
      </c>
      <c r="T102" s="706">
        <f>IF($C102="other",(1-$C88)*R102,(1-(VLOOKUP($C102,'S3 - Screening Tool Metrics'!$C$3:$G$17,5,FALSE)/100))*R102)</f>
        <v>441.12185505671715</v>
      </c>
      <c r="U102" s="706">
        <f>IF($C102="other",$C88*R102,(VLOOKUP($C102,'S3 - Screening Tool Metrics'!$C$3:$G$17,5,FALSE)/100)*R102)</f>
        <v>1764.4874202268691</v>
      </c>
      <c r="V102" s="708">
        <f t="shared" si="77"/>
        <v>17.384112514550434</v>
      </c>
      <c r="W102" s="707">
        <f t="shared" si="78"/>
        <v>2984725.4666666668</v>
      </c>
      <c r="X102" s="706">
        <f>VLOOKUP("*"&amp;$B102&amp;"*",'S4 - Summ PRS Characteristics'!$C$5:$Q$12,13,FALSE)*$J102</f>
        <v>1126.5680476499649</v>
      </c>
      <c r="Y102" s="706">
        <f t="shared" si="85"/>
        <v>9023.4319523500344</v>
      </c>
      <c r="Z102" s="706">
        <f>IF($C102="other",(1-$C88)*X102,(1-(VLOOKUP($C102,'S3 - Screening Tool Metrics'!$C$3:$G$17,5,FALSE)/100))*X102)</f>
        <v>225.31360952999293</v>
      </c>
      <c r="AA102" s="706">
        <f>IF($C102="other",$C88*X102,(VLOOKUP($C102,'S3 - Screening Tool Metrics'!$C$3:$G$17,5,FALSE)/100)*X102)</f>
        <v>901.25443811997195</v>
      </c>
      <c r="AB102" s="708">
        <f t="shared" si="79"/>
        <v>8.8793540701475067</v>
      </c>
      <c r="AC102" s="706">
        <f t="shared" si="80"/>
        <v>1492362.7333333334</v>
      </c>
      <c r="AD102" s="706">
        <f>VLOOKUP("*"&amp;$B102&amp;"*",'S4 - Summ PRS Characteristics'!$C$5:$Q$12,14,FALSE)*$J102</f>
        <v>573.7978871572185</v>
      </c>
      <c r="AE102" s="706">
        <f t="shared" si="87"/>
        <v>9576.2021128427823</v>
      </c>
      <c r="AF102" s="706">
        <f>IF($C102="other",(1-$C88)*AD102,(1-(VLOOKUP($C102,'S3 - Screening Tool Metrics'!$C$3:$G$17,5,FALSE)/100))*AD102)</f>
        <v>114.75957743144367</v>
      </c>
      <c r="AG102" s="706">
        <f>IF($C102="other",$C88*AD102,(VLOOKUP($C102,'S3 - Screening Tool Metrics'!$C$3:$G$17,5,FALSE)/100)*AD102)</f>
        <v>459.03830972577481</v>
      </c>
      <c r="AH102" s="708">
        <f t="shared" si="81"/>
        <v>4.5225449234066479</v>
      </c>
      <c r="AI102" s="707">
        <f t="shared" si="82"/>
        <v>298472.54666666669</v>
      </c>
      <c r="AJ102" s="706">
        <f>VLOOKUP("*"&amp;$B102&amp;"*",'S4 - Summ PRS Characteristics'!$C$5:$Q$12,15,FALSE)*$J102</f>
        <v>118.99520349669062</v>
      </c>
      <c r="AK102" s="706">
        <f t="shared" si="86"/>
        <v>10031.00479650331</v>
      </c>
      <c r="AL102" s="706">
        <f>IF($C102="other",(1-$C88)*AJ102,(1-(VLOOKUP($C102,'S3 - Screening Tool Metrics'!$C$3:$G$17,5,FALSE)/100))*AJ102)</f>
        <v>23.799040699338118</v>
      </c>
      <c r="AM102" s="706">
        <f>IF($C102="other",$C88*AJ102,(VLOOKUP($C102,'S3 - Screening Tool Metrics'!$C$3:$G$17,5,FALSE)/100)*AJ102)</f>
        <v>95.1961627973525</v>
      </c>
      <c r="AN102" s="709">
        <f t="shared" si="83"/>
        <v>0.93789322953056653</v>
      </c>
    </row>
    <row r="103" spans="2:40" ht="14" thickBot="1" x14ac:dyDescent="0.2">
      <c r="B103" s="700" t="s">
        <v>14</v>
      </c>
      <c r="C103" s="721" t="str">
        <f>$C90</f>
        <v>Other</v>
      </c>
      <c r="D103" s="552" t="s">
        <v>205</v>
      </c>
      <c r="E103" s="710">
        <f>VLOOKUP($B103&amp;"_"&amp;$D103,'App5 - CRUK Inci Rates'!C:H,6,FALSE)</f>
        <v>29.2</v>
      </c>
      <c r="F103" s="711">
        <f>VLOOKUP($B103&amp;"_"&amp;$D103,'App5 - CRUK Inci Rates'!C:H,3,FALSE)</f>
        <v>14.8</v>
      </c>
      <c r="G103" s="712">
        <f>VLOOKUP($B103&amp;"_"&amp;$D103,'App5 - CRUK Inci Rates'!C:J,8,FALSE)</f>
        <v>66041277.666666664</v>
      </c>
      <c r="H103" s="713">
        <f>VLOOKUP($B103&amp;"_"&amp;$D103,'App5 - CRUK Inci Rates'!C:J,7,FALSE)</f>
        <v>32583225.666666668</v>
      </c>
      <c r="I103" s="713">
        <f>VLOOKUP($B103&amp;"_"&amp;$D103,'App5 - CRUK Inci Rates'!C:J,4,FALSE)</f>
        <v>33458051.999999996</v>
      </c>
      <c r="J103" s="709">
        <f>VLOOKUP($B103&amp;"_"&amp;$D103,'App5 - CRUK Inci Rates'!C:K,9,FALSE)</f>
        <v>13323</v>
      </c>
      <c r="K103" s="716"/>
      <c r="L103" s="716"/>
      <c r="M103" s="716"/>
      <c r="N103" s="716"/>
      <c r="O103" s="716"/>
      <c r="P103" s="716"/>
      <c r="Q103" s="715"/>
      <c r="R103" s="716"/>
      <c r="S103" s="716"/>
      <c r="T103" s="716"/>
      <c r="U103" s="716"/>
      <c r="V103" s="717"/>
      <c r="W103" s="715"/>
      <c r="X103" s="716"/>
      <c r="Y103" s="716"/>
      <c r="Z103" s="716"/>
      <c r="AA103" s="716"/>
      <c r="AB103" s="717"/>
      <c r="AC103" s="716"/>
      <c r="AD103" s="716"/>
      <c r="AE103" s="716"/>
      <c r="AF103" s="716"/>
      <c r="AG103" s="716"/>
      <c r="AH103" s="717"/>
      <c r="AI103" s="715"/>
      <c r="AJ103" s="716"/>
      <c r="AK103" s="716"/>
      <c r="AL103" s="716"/>
      <c r="AM103" s="716"/>
      <c r="AN103" s="718"/>
    </row>
    <row r="104" spans="2:40" ht="21" hidden="1" customHeight="1" x14ac:dyDescent="0.15">
      <c r="B104" s="686" t="s">
        <v>15</v>
      </c>
      <c r="C104" s="687">
        <v>0.8</v>
      </c>
      <c r="D104" s="688"/>
      <c r="E104" s="689"/>
      <c r="F104" s="690"/>
      <c r="G104" s="691"/>
      <c r="H104" s="692"/>
      <c r="I104" s="692"/>
      <c r="J104" s="693"/>
      <c r="K104" s="694"/>
      <c r="L104" s="694"/>
      <c r="M104" s="694"/>
      <c r="N104" s="694"/>
      <c r="O104" s="694"/>
      <c r="P104" s="694"/>
      <c r="Q104" s="695"/>
      <c r="R104" s="696"/>
      <c r="S104" s="696"/>
      <c r="T104" s="696"/>
      <c r="U104" s="696"/>
      <c r="V104" s="697"/>
      <c r="W104" s="695"/>
      <c r="X104" s="696"/>
      <c r="Y104" s="696"/>
      <c r="Z104" s="696"/>
      <c r="AA104" s="696"/>
      <c r="AB104" s="697"/>
      <c r="AC104" s="696"/>
      <c r="AD104" s="696"/>
      <c r="AE104" s="696"/>
      <c r="AF104" s="696"/>
      <c r="AG104" s="696"/>
      <c r="AH104" s="697"/>
      <c r="AI104" s="695"/>
      <c r="AJ104" s="696"/>
      <c r="AK104" s="696"/>
      <c r="AL104" s="696"/>
      <c r="AM104" s="696"/>
      <c r="AN104" s="699"/>
    </row>
    <row r="105" spans="2:40" ht="14" hidden="1" thickBot="1" x14ac:dyDescent="0.2">
      <c r="B105" s="700" t="s">
        <v>15</v>
      </c>
      <c r="C105" s="741" t="s">
        <v>180</v>
      </c>
      <c r="D105" s="593" t="s">
        <v>192</v>
      </c>
      <c r="E105" s="701">
        <f>VLOOKUP($B105&amp;"_"&amp;$D105,'App5 - CRUK Inci Rates'!C:H,6,FALSE)</f>
        <v>1.3</v>
      </c>
      <c r="F105" s="702">
        <f>VLOOKUP($B105&amp;"_"&amp;$D105,'App5 - CRUK Inci Rates'!C:H,3,FALSE)</f>
        <v>0.6</v>
      </c>
      <c r="G105" s="703">
        <f>VLOOKUP($B105&amp;"_"&amp;$D105,'App5 - CRUK Inci Rates'!C:J,8,FALSE)</f>
        <v>4075608</v>
      </c>
      <c r="H105" s="704">
        <f>VLOOKUP($B105&amp;"_"&amp;$D105,'App5 - CRUK Inci Rates'!C:J,7,FALSE)</f>
        <v>2021384.6666666667</v>
      </c>
      <c r="I105" s="704">
        <f>VLOOKUP($B105&amp;"_"&amp;$D105,'App5 - CRUK Inci Rates'!C:J,4,FALSE)</f>
        <v>2054223.3333333333</v>
      </c>
      <c r="J105" s="705">
        <f>VLOOKUP($B105&amp;"_"&amp;$D105,'App5 - CRUK Inci Rates'!C:K,9,FALSE)</f>
        <v>39</v>
      </c>
      <c r="K105" s="706"/>
      <c r="L105" s="706"/>
      <c r="M105" s="706"/>
      <c r="N105" s="706"/>
      <c r="O105" s="706"/>
      <c r="P105" s="706"/>
      <c r="Q105" s="707">
        <f t="shared" ref="Q105:Q118" si="88">$G105*Q$3</f>
        <v>815121.60000000009</v>
      </c>
      <c r="S105" s="706">
        <f>$J105-R105</f>
        <v>39</v>
      </c>
      <c r="T105" s="706">
        <f>IF($C105="other",(1-$C104)*R105,(1-(VLOOKUP($C105,'S3 - Screening Tool Metrics'!$C$3:$G$17,5,FALSE)/100))*R105)</f>
        <v>0</v>
      </c>
      <c r="U105" s="706">
        <f>IF($C105="other",$C104*R105,(VLOOKUP($C105,'S3 - Screening Tool Metrics'!$C$3:$G$17,5,FALSE)/100)*R105)</f>
        <v>0</v>
      </c>
      <c r="V105" s="708">
        <f t="shared" ref="V105:V118" si="89">$U105/$J105*100</f>
        <v>0</v>
      </c>
      <c r="W105" s="707">
        <f t="shared" ref="W105:W118" si="90">$G105*W$3</f>
        <v>407560.80000000005</v>
      </c>
      <c r="X105" s="706"/>
      <c r="Y105" s="706">
        <f>$J105-X105</f>
        <v>39</v>
      </c>
      <c r="Z105" s="706">
        <f>IF($C105="other",(1-$C104)*X105,(1-(VLOOKUP($C105,'S3 - Screening Tool Metrics'!$C$3:$G$17,5,FALSE)/100))*X105)</f>
        <v>0</v>
      </c>
      <c r="AA105" s="706">
        <f>IF($C105="other",$C104*X105,(VLOOKUP($C105,'S3 - Screening Tool Metrics'!$C$3:$G$17,5,FALSE)/100)*X105)</f>
        <v>0</v>
      </c>
      <c r="AB105" s="708">
        <f t="shared" ref="AB105:AB118" si="91">$AA105/$J105*100</f>
        <v>0</v>
      </c>
      <c r="AC105" s="706">
        <f t="shared" ref="AC105:AC118" si="92">$G105*AC$3</f>
        <v>203780.40000000002</v>
      </c>
      <c r="AD105" s="706"/>
      <c r="AE105" s="706">
        <f>$J105-AD105</f>
        <v>39</v>
      </c>
      <c r="AF105" s="706">
        <f>IF($C105="other",(1-$C104)*AD105,(1-(VLOOKUP($C105,'S3 - Screening Tool Metrics'!$C$3:$G$17,5,FALSE)/100))*AD105)</f>
        <v>0</v>
      </c>
      <c r="AG105" s="706">
        <f>IF($C105="other",$C104*AD105,(VLOOKUP($C105,'S3 - Screening Tool Metrics'!$C$3:$G$17,5,FALSE)/100)*AD105)</f>
        <v>0</v>
      </c>
      <c r="AH105" s="708">
        <f t="shared" ref="AH105:AH118" si="93">$AG105/$J105*100</f>
        <v>0</v>
      </c>
      <c r="AI105" s="707">
        <f t="shared" ref="AI105:AI118" si="94">$G105*AI$3</f>
        <v>40756.080000000002</v>
      </c>
      <c r="AJ105" s="706"/>
      <c r="AK105" s="706">
        <f>$J105-AJ105</f>
        <v>39</v>
      </c>
      <c r="AL105" s="706">
        <f>IF($C105="other",(1-$C104)*AJ105,(1-(VLOOKUP($C105,'S3 - Screening Tool Metrics'!$C$3:$G$17,5,FALSE)/100))*AJ105)</f>
        <v>0</v>
      </c>
      <c r="AM105" s="706">
        <f>IF($C105="other",$C104*AJ105,(VLOOKUP($C105,'S3 - Screening Tool Metrics'!$C$3:$G$17,5,FALSE)/100)*AJ105)</f>
        <v>0</v>
      </c>
      <c r="AN105" s="709">
        <f t="shared" ref="AN105:AN118" si="95">$AM105/$J105*100</f>
        <v>0</v>
      </c>
    </row>
    <row r="106" spans="2:40" ht="14" hidden="1" thickBot="1" x14ac:dyDescent="0.2">
      <c r="B106" s="700" t="s">
        <v>15</v>
      </c>
      <c r="C106" s="721" t="str">
        <f>$C105</f>
        <v>Other</v>
      </c>
      <c r="D106" s="552" t="s">
        <v>193</v>
      </c>
      <c r="E106" s="710">
        <f>VLOOKUP($B106&amp;"_"&amp;$D106,'App5 - CRUK Inci Rates'!C:H,6,FALSE)</f>
        <v>2.6</v>
      </c>
      <c r="F106" s="711">
        <f>VLOOKUP($B106&amp;"_"&amp;$D106,'App5 - CRUK Inci Rates'!C:H,3,FALSE)</f>
        <v>1.2</v>
      </c>
      <c r="G106" s="712">
        <f>VLOOKUP($B106&amp;"_"&amp;$D106,'App5 - CRUK Inci Rates'!C:J,8,FALSE)</f>
        <v>4567159.333333334</v>
      </c>
      <c r="H106" s="713">
        <f>VLOOKUP($B106&amp;"_"&amp;$D106,'App5 - CRUK Inci Rates'!C:J,7,FALSE)</f>
        <v>2251680</v>
      </c>
      <c r="I106" s="713">
        <f>VLOOKUP($B106&amp;"_"&amp;$D106,'App5 - CRUK Inci Rates'!C:J,4,FALSE)</f>
        <v>2315479.3333333335</v>
      </c>
      <c r="J106" s="709">
        <f>VLOOKUP($B106&amp;"_"&amp;$D106,'App5 - CRUK Inci Rates'!C:K,9,FALSE)</f>
        <v>88</v>
      </c>
      <c r="K106" s="706"/>
      <c r="L106" s="706"/>
      <c r="M106" s="706"/>
      <c r="N106" s="706"/>
      <c r="O106" s="706"/>
      <c r="P106" s="706"/>
      <c r="Q106" s="707">
        <f t="shared" si="88"/>
        <v>913431.86666666681</v>
      </c>
      <c r="S106" s="706">
        <f t="shared" ref="S106:S118" si="96">$J106-R106</f>
        <v>88</v>
      </c>
      <c r="T106" s="706">
        <f>IF($C106="other",(1-$C104)*R106,(1-(VLOOKUP($C106,'S3 - Screening Tool Metrics'!$C$3:$G$17,5,FALSE)/100))*R106)</f>
        <v>0</v>
      </c>
      <c r="U106" s="706">
        <f>IF($C106="other",$C104*R106,(VLOOKUP($C106,'S3 - Screening Tool Metrics'!$C$3:$G$17,5,FALSE)/100)*R106)</f>
        <v>0</v>
      </c>
      <c r="V106" s="708">
        <f t="shared" si="89"/>
        <v>0</v>
      </c>
      <c r="W106" s="707">
        <f t="shared" si="90"/>
        <v>456715.93333333341</v>
      </c>
      <c r="X106" s="706"/>
      <c r="Y106" s="706">
        <f t="shared" ref="Y106:Y118" si="97">$J106-X106</f>
        <v>88</v>
      </c>
      <c r="Z106" s="706">
        <f>IF($C106="other",(1-$C104)*X106,(1-(VLOOKUP($C106,'S3 - Screening Tool Metrics'!$C$3:$G$17,5,FALSE)/100))*X106)</f>
        <v>0</v>
      </c>
      <c r="AA106" s="706">
        <f>IF($C106="other",$C104*X106,(VLOOKUP($C106,'S3 - Screening Tool Metrics'!$C$3:$G$17,5,FALSE)/100)*X106)</f>
        <v>0</v>
      </c>
      <c r="AB106" s="708">
        <f t="shared" si="91"/>
        <v>0</v>
      </c>
      <c r="AC106" s="706">
        <f t="shared" si="92"/>
        <v>228357.9666666667</v>
      </c>
      <c r="AD106" s="706"/>
      <c r="AE106" s="706">
        <f>$J106-AD106</f>
        <v>88</v>
      </c>
      <c r="AF106" s="706">
        <f>IF($C106="other",(1-$C104)*AD106,(1-(VLOOKUP($C106,'S3 - Screening Tool Metrics'!$C$3:$G$17,5,FALSE)/100))*AD106)</f>
        <v>0</v>
      </c>
      <c r="AG106" s="706">
        <f>IF($C106="other",$C104*AD106,(VLOOKUP($C106,'S3 - Screening Tool Metrics'!$C$3:$G$17,5,FALSE)/100)*AD106)</f>
        <v>0</v>
      </c>
      <c r="AH106" s="708">
        <f t="shared" si="93"/>
        <v>0</v>
      </c>
      <c r="AI106" s="707">
        <f t="shared" si="94"/>
        <v>45671.593333333338</v>
      </c>
      <c r="AJ106" s="706"/>
      <c r="AK106" s="706">
        <f t="shared" ref="AK106:AK118" si="98">$J106-AJ106</f>
        <v>88</v>
      </c>
      <c r="AL106" s="706">
        <f>IF($C106="other",(1-$C104)*AJ106,(1-(VLOOKUP($C106,'S3 - Screening Tool Metrics'!$C$3:$G$17,5,FALSE)/100))*AJ106)</f>
        <v>0</v>
      </c>
      <c r="AM106" s="706">
        <f>IF($C106="other",$C104*AJ106,(VLOOKUP($C106,'S3 - Screening Tool Metrics'!$C$3:$G$17,5,FALSE)/100)*AJ106)</f>
        <v>0</v>
      </c>
      <c r="AN106" s="709">
        <f t="shared" si="95"/>
        <v>0</v>
      </c>
    </row>
    <row r="107" spans="2:40" ht="14" hidden="1" thickBot="1" x14ac:dyDescent="0.2">
      <c r="B107" s="700" t="s">
        <v>15</v>
      </c>
      <c r="C107" s="721" t="str">
        <f>$C105</f>
        <v>Other</v>
      </c>
      <c r="D107" s="552" t="s">
        <v>194</v>
      </c>
      <c r="E107" s="710">
        <f>VLOOKUP($B107&amp;"_"&amp;$D107,'App5 - CRUK Inci Rates'!C:H,6,FALSE)</f>
        <v>5.5</v>
      </c>
      <c r="F107" s="711">
        <f>VLOOKUP($B107&amp;"_"&amp;$D107,'App5 - CRUK Inci Rates'!C:H,3,FALSE)</f>
        <v>2</v>
      </c>
      <c r="G107" s="712">
        <f>VLOOKUP($B107&amp;"_"&amp;$D107,'App5 - CRUK Inci Rates'!C:J,8,FALSE)</f>
        <v>4658110.666666666</v>
      </c>
      <c r="H107" s="713">
        <f>VLOOKUP($B107&amp;"_"&amp;$D107,'App5 - CRUK Inci Rates'!C:J,7,FALSE)</f>
        <v>2293472.6666666665</v>
      </c>
      <c r="I107" s="713">
        <f>VLOOKUP($B107&amp;"_"&amp;$D107,'App5 - CRUK Inci Rates'!C:J,4,FALSE)</f>
        <v>2364638</v>
      </c>
      <c r="J107" s="709">
        <f>VLOOKUP($B107&amp;"_"&amp;$D107,'App5 - CRUK Inci Rates'!C:K,9,FALSE)</f>
        <v>173</v>
      </c>
      <c r="K107" s="706"/>
      <c r="L107" s="706"/>
      <c r="M107" s="706"/>
      <c r="N107" s="706"/>
      <c r="O107" s="706"/>
      <c r="P107" s="706"/>
      <c r="Q107" s="707">
        <f t="shared" si="88"/>
        <v>931622.1333333333</v>
      </c>
      <c r="S107" s="706">
        <f t="shared" si="96"/>
        <v>173</v>
      </c>
      <c r="T107" s="706">
        <f>IF($C107="other",(1-$C104)*R107,(1-(VLOOKUP($C107,'S3 - Screening Tool Metrics'!$C$3:$G$17,5,FALSE)/100))*R107)</f>
        <v>0</v>
      </c>
      <c r="U107" s="706">
        <f>IF($C107="other",$C104*R107,(VLOOKUP($C107,'S3 - Screening Tool Metrics'!$C$3:$G$17,5,FALSE)/100)*R107)</f>
        <v>0</v>
      </c>
      <c r="V107" s="708">
        <f t="shared" si="89"/>
        <v>0</v>
      </c>
      <c r="W107" s="707">
        <f t="shared" si="90"/>
        <v>465811.06666666665</v>
      </c>
      <c r="X107" s="706"/>
      <c r="Y107" s="706">
        <f t="shared" si="97"/>
        <v>173</v>
      </c>
      <c r="Z107" s="706">
        <f>IF($C107="other",(1-$C104)*X107,(1-(VLOOKUP($C107,'S3 - Screening Tool Metrics'!$C$3:$G$17,5,FALSE)/100))*X107)</f>
        <v>0</v>
      </c>
      <c r="AA107" s="706">
        <f>IF($C107="other",$C104*X107,(VLOOKUP($C107,'S3 - Screening Tool Metrics'!$C$3:$G$17,5,FALSE)/100)*X107)</f>
        <v>0</v>
      </c>
      <c r="AB107" s="708">
        <f t="shared" si="91"/>
        <v>0</v>
      </c>
      <c r="AC107" s="706">
        <f t="shared" si="92"/>
        <v>232905.53333333333</v>
      </c>
      <c r="AD107" s="706"/>
      <c r="AE107" s="706">
        <f t="shared" ref="AE107:AE118" si="99">$J107-AD107</f>
        <v>173</v>
      </c>
      <c r="AF107" s="706">
        <f>IF($C107="other",(1-$C104)*AD107,(1-(VLOOKUP($C107,'S3 - Screening Tool Metrics'!$C$3:$G$17,5,FALSE)/100))*AD107)</f>
        <v>0</v>
      </c>
      <c r="AG107" s="706">
        <f>IF($C107="other",$C104*AD107,(VLOOKUP($C107,'S3 - Screening Tool Metrics'!$C$3:$G$17,5,FALSE)/100)*AD107)</f>
        <v>0</v>
      </c>
      <c r="AH107" s="708">
        <f t="shared" si="93"/>
        <v>0</v>
      </c>
      <c r="AI107" s="707">
        <f t="shared" si="94"/>
        <v>46581.106666666659</v>
      </c>
      <c r="AJ107" s="706"/>
      <c r="AK107" s="706">
        <f t="shared" si="98"/>
        <v>173</v>
      </c>
      <c r="AL107" s="706">
        <f>IF($C107="other",(1-$C104)*AJ107,(1-(VLOOKUP($C107,'S3 - Screening Tool Metrics'!$C$3:$G$17,5,FALSE)/100))*AJ107)</f>
        <v>0</v>
      </c>
      <c r="AM107" s="706">
        <f>IF($C107="other",$C104*AJ107,(VLOOKUP($C107,'S3 - Screening Tool Metrics'!$C$3:$G$17,5,FALSE)/100)*AJ107)</f>
        <v>0</v>
      </c>
      <c r="AN107" s="709">
        <f t="shared" si="95"/>
        <v>0</v>
      </c>
    </row>
    <row r="108" spans="2:40" ht="14" hidden="1" thickBot="1" x14ac:dyDescent="0.2">
      <c r="B108" s="700" t="s">
        <v>15</v>
      </c>
      <c r="C108" s="721" t="str">
        <f>$C105</f>
        <v>Other</v>
      </c>
      <c r="D108" s="552" t="s">
        <v>195</v>
      </c>
      <c r="E108" s="710">
        <f>VLOOKUP($B108&amp;"_"&amp;$D108,'App5 - CRUK Inci Rates'!C:H,6,FALSE)</f>
        <v>9.1999999999999993</v>
      </c>
      <c r="F108" s="711">
        <f>VLOOKUP($B108&amp;"_"&amp;$D108,'App5 - CRUK Inci Rates'!C:H,3,FALSE)</f>
        <v>4.0999999999999996</v>
      </c>
      <c r="G108" s="712">
        <f>VLOOKUP($B108&amp;"_"&amp;$D108,'App5 - CRUK Inci Rates'!C:J,8,FALSE)</f>
        <v>4181606</v>
      </c>
      <c r="H108" s="713">
        <f>VLOOKUP($B108&amp;"_"&amp;$D108,'App5 - CRUK Inci Rates'!C:J,7,FALSE)</f>
        <v>2061918.6666666667</v>
      </c>
      <c r="I108" s="713">
        <f>VLOOKUP($B108&amp;"_"&amp;$D108,'App5 - CRUK Inci Rates'!C:J,4,FALSE)</f>
        <v>2119687.3333333335</v>
      </c>
      <c r="J108" s="709">
        <f>VLOOKUP($B108&amp;"_"&amp;$D108,'App5 - CRUK Inci Rates'!C:K,9,FALSE)</f>
        <v>276</v>
      </c>
      <c r="K108" s="706"/>
      <c r="L108" s="706"/>
      <c r="M108" s="706"/>
      <c r="N108" s="706"/>
      <c r="O108" s="706"/>
      <c r="P108" s="706"/>
      <c r="Q108" s="707">
        <f t="shared" si="88"/>
        <v>836321.20000000007</v>
      </c>
      <c r="S108" s="706">
        <f t="shared" si="96"/>
        <v>276</v>
      </c>
      <c r="T108" s="706">
        <f>IF($C108="other",(1-$C104)*R108,(1-(VLOOKUP($C108,'S3 - Screening Tool Metrics'!$C$3:$G$17,5,FALSE)/100))*R108)</f>
        <v>0</v>
      </c>
      <c r="U108" s="706">
        <f>IF($C108="other",$C104*R108,(VLOOKUP($C108,'S3 - Screening Tool Metrics'!$C$3:$G$17,5,FALSE)/100)*R108)</f>
        <v>0</v>
      </c>
      <c r="V108" s="708">
        <f t="shared" si="89"/>
        <v>0</v>
      </c>
      <c r="W108" s="707">
        <f t="shared" si="90"/>
        <v>418160.60000000003</v>
      </c>
      <c r="X108" s="706"/>
      <c r="Y108" s="706">
        <f t="shared" si="97"/>
        <v>276</v>
      </c>
      <c r="Z108" s="706">
        <f>IF($C108="other",(1-$C104)*X108,(1-(VLOOKUP($C108,'S3 - Screening Tool Metrics'!$C$3:$G$17,5,FALSE)/100))*X108)</f>
        <v>0</v>
      </c>
      <c r="AA108" s="706">
        <f>IF($C108="other",$C104*X108,(VLOOKUP($C108,'S3 - Screening Tool Metrics'!$C$3:$G$17,5,FALSE)/100)*X108)</f>
        <v>0</v>
      </c>
      <c r="AB108" s="708">
        <f t="shared" si="91"/>
        <v>0</v>
      </c>
      <c r="AC108" s="706">
        <f t="shared" si="92"/>
        <v>209080.30000000002</v>
      </c>
      <c r="AD108" s="706"/>
      <c r="AE108" s="706">
        <f t="shared" si="99"/>
        <v>276</v>
      </c>
      <c r="AF108" s="706">
        <f>IF($C108="other",(1-$C104)*AD108,(1-(VLOOKUP($C108,'S3 - Screening Tool Metrics'!$C$3:$G$17,5,FALSE)/100))*AD108)</f>
        <v>0</v>
      </c>
      <c r="AG108" s="706">
        <f>IF($C108="other",$C104*AD108,(VLOOKUP($C108,'S3 - Screening Tool Metrics'!$C$3:$G$17,5,FALSE)/100)*AD108)</f>
        <v>0</v>
      </c>
      <c r="AH108" s="708">
        <f t="shared" si="93"/>
        <v>0</v>
      </c>
      <c r="AI108" s="707">
        <f t="shared" si="94"/>
        <v>41816.06</v>
      </c>
      <c r="AJ108" s="706"/>
      <c r="AK108" s="706">
        <f t="shared" si="98"/>
        <v>276</v>
      </c>
      <c r="AL108" s="706">
        <f>IF($C108="other",(1-$C104)*AJ108,(1-(VLOOKUP($C108,'S3 - Screening Tool Metrics'!$C$3:$G$17,5,FALSE)/100))*AJ108)</f>
        <v>0</v>
      </c>
      <c r="AM108" s="706">
        <f>IF($C108="other",$C104*AJ108,(VLOOKUP($C108,'S3 - Screening Tool Metrics'!$C$3:$G$17,5,FALSE)/100)*AJ108)</f>
        <v>0</v>
      </c>
      <c r="AN108" s="709">
        <f t="shared" si="95"/>
        <v>0</v>
      </c>
    </row>
    <row r="109" spans="2:40" ht="14" hidden="1" thickBot="1" x14ac:dyDescent="0.2">
      <c r="B109" s="700" t="s">
        <v>15</v>
      </c>
      <c r="C109" s="721" t="str">
        <f>$C105</f>
        <v>Other</v>
      </c>
      <c r="D109" s="552" t="s">
        <v>196</v>
      </c>
      <c r="E109" s="710">
        <f>VLOOKUP($B109&amp;"_"&amp;$D109,'App5 - CRUK Inci Rates'!C:H,6,FALSE)</f>
        <v>15</v>
      </c>
      <c r="F109" s="711">
        <f>VLOOKUP($B109&amp;"_"&amp;$D109,'App5 - CRUK Inci Rates'!C:H,3,FALSE)</f>
        <v>7.6</v>
      </c>
      <c r="G109" s="712">
        <f>VLOOKUP($B109&amp;"_"&amp;$D109,'App5 - CRUK Inci Rates'!C:J,8,FALSE)</f>
        <v>3602002</v>
      </c>
      <c r="H109" s="713">
        <f>VLOOKUP($B109&amp;"_"&amp;$D109,'App5 - CRUK Inci Rates'!C:J,7,FALSE)</f>
        <v>1764828</v>
      </c>
      <c r="I109" s="713">
        <f>VLOOKUP($B109&amp;"_"&amp;$D109,'App5 - CRUK Inci Rates'!C:J,4,FALSE)</f>
        <v>1837174</v>
      </c>
      <c r="J109" s="709">
        <f>VLOOKUP($B109&amp;"_"&amp;$D109,'App5 - CRUK Inci Rates'!C:K,9,FALSE)</f>
        <v>404</v>
      </c>
      <c r="K109" s="706"/>
      <c r="L109" s="706"/>
      <c r="M109" s="706"/>
      <c r="N109" s="706"/>
      <c r="O109" s="706"/>
      <c r="P109" s="706"/>
      <c r="Q109" s="707">
        <f t="shared" si="88"/>
        <v>720400.4</v>
      </c>
      <c r="S109" s="706">
        <f t="shared" si="96"/>
        <v>404</v>
      </c>
      <c r="T109" s="706">
        <f>IF($C109="other",(1-$C104)*R109,(1-(VLOOKUP($C109,'S3 - Screening Tool Metrics'!$C$3:$G$17,5,FALSE)/100))*R109)</f>
        <v>0</v>
      </c>
      <c r="U109" s="706">
        <f>IF($C109="other",$C104*R109,(VLOOKUP($C109,'S3 - Screening Tool Metrics'!$C$3:$G$17,5,FALSE)/100)*R109)</f>
        <v>0</v>
      </c>
      <c r="V109" s="708">
        <f t="shared" si="89"/>
        <v>0</v>
      </c>
      <c r="W109" s="707">
        <f t="shared" si="90"/>
        <v>360200.2</v>
      </c>
      <c r="X109" s="706"/>
      <c r="Y109" s="706">
        <f t="shared" si="97"/>
        <v>404</v>
      </c>
      <c r="Z109" s="706">
        <f>IF($C109="other",(1-$C104)*X109,(1-(VLOOKUP($C109,'S3 - Screening Tool Metrics'!$C$3:$G$17,5,FALSE)/100))*X109)</f>
        <v>0</v>
      </c>
      <c r="AA109" s="706">
        <f>IF($C109="other",$C104*X109,(VLOOKUP($C109,'S3 - Screening Tool Metrics'!$C$3:$G$17,5,FALSE)/100)*X109)</f>
        <v>0</v>
      </c>
      <c r="AB109" s="708">
        <f t="shared" si="91"/>
        <v>0</v>
      </c>
      <c r="AC109" s="706">
        <f t="shared" si="92"/>
        <v>180100.1</v>
      </c>
      <c r="AD109" s="706"/>
      <c r="AE109" s="706">
        <f t="shared" si="99"/>
        <v>404</v>
      </c>
      <c r="AF109" s="706">
        <f>IF($C109="other",(1-$C104)*AD109,(1-(VLOOKUP($C109,'S3 - Screening Tool Metrics'!$C$3:$G$17,5,FALSE)/100))*AD109)</f>
        <v>0</v>
      </c>
      <c r="AG109" s="706">
        <f>IF($C109="other",$C104*AD109,(VLOOKUP($C109,'S3 - Screening Tool Metrics'!$C$3:$G$17,5,FALSE)/100)*AD109)</f>
        <v>0</v>
      </c>
      <c r="AH109" s="708">
        <f t="shared" si="93"/>
        <v>0</v>
      </c>
      <c r="AI109" s="707">
        <f t="shared" si="94"/>
        <v>36020.020000000004</v>
      </c>
      <c r="AJ109" s="706"/>
      <c r="AK109" s="706">
        <f t="shared" si="98"/>
        <v>404</v>
      </c>
      <c r="AL109" s="706">
        <f>IF($C109="other",(1-$C104)*AJ109,(1-(VLOOKUP($C109,'S3 - Screening Tool Metrics'!$C$3:$G$17,5,FALSE)/100))*AJ109)</f>
        <v>0</v>
      </c>
      <c r="AM109" s="706">
        <f>IF($C109="other",$C104*AJ109,(VLOOKUP($C109,'S3 - Screening Tool Metrics'!$C$3:$G$17,5,FALSE)/100)*AJ109)</f>
        <v>0</v>
      </c>
      <c r="AN109" s="709">
        <f t="shared" si="95"/>
        <v>0</v>
      </c>
    </row>
    <row r="110" spans="2:40" ht="14" hidden="1" thickBot="1" x14ac:dyDescent="0.2">
      <c r="B110" s="700" t="s">
        <v>15</v>
      </c>
      <c r="C110" s="721" t="str">
        <f>$C105</f>
        <v>Other</v>
      </c>
      <c r="D110" s="552" t="s">
        <v>197</v>
      </c>
      <c r="E110" s="710">
        <f>VLOOKUP($B110&amp;"_"&amp;$D110,'App5 - CRUK Inci Rates'!C:H,6,FALSE)</f>
        <v>22.7</v>
      </c>
      <c r="F110" s="711">
        <f>VLOOKUP($B110&amp;"_"&amp;$D110,'App5 - CRUK Inci Rates'!C:H,3,FALSE)</f>
        <v>11.3</v>
      </c>
      <c r="G110" s="712">
        <f>VLOOKUP($B110&amp;"_"&amp;$D110,'App5 - CRUK Inci Rates'!C:J,8,FALSE)</f>
        <v>3502183.333333333</v>
      </c>
      <c r="H110" s="713">
        <f>VLOOKUP($B110&amp;"_"&amp;$D110,'App5 - CRUK Inci Rates'!C:J,7,FALSE)</f>
        <v>1696993.3333333333</v>
      </c>
      <c r="I110" s="713">
        <f>VLOOKUP($B110&amp;"_"&amp;$D110,'App5 - CRUK Inci Rates'!C:J,4,FALSE)</f>
        <v>1805190</v>
      </c>
      <c r="J110" s="709">
        <f>VLOOKUP($B110&amp;"_"&amp;$D110,'App5 - CRUK Inci Rates'!C:K,9,FALSE)</f>
        <v>589</v>
      </c>
      <c r="K110" s="706"/>
      <c r="L110" s="706"/>
      <c r="M110" s="706"/>
      <c r="N110" s="706"/>
      <c r="O110" s="706"/>
      <c r="P110" s="706"/>
      <c r="Q110" s="707">
        <f t="shared" si="88"/>
        <v>700436.66666666663</v>
      </c>
      <c r="S110" s="706">
        <f t="shared" si="96"/>
        <v>589</v>
      </c>
      <c r="T110" s="706">
        <f>IF($C110="other",(1-$C104)*R110,(1-(VLOOKUP($C110,'S3 - Screening Tool Metrics'!$C$3:$G$17,5,FALSE)/100))*R110)</f>
        <v>0</v>
      </c>
      <c r="U110" s="706">
        <f>IF($C110="other",$C104*R110,(VLOOKUP($C110,'S3 - Screening Tool Metrics'!$C$3:$G$17,5,FALSE)/100)*R110)</f>
        <v>0</v>
      </c>
      <c r="V110" s="708">
        <f t="shared" si="89"/>
        <v>0</v>
      </c>
      <c r="W110" s="707">
        <f t="shared" si="90"/>
        <v>350218.33333333331</v>
      </c>
      <c r="X110" s="706"/>
      <c r="Y110" s="706">
        <f t="shared" si="97"/>
        <v>589</v>
      </c>
      <c r="Z110" s="706">
        <f>IF($C110="other",(1-$C104)*X110,(1-(VLOOKUP($C110,'S3 - Screening Tool Metrics'!$C$3:$G$17,5,FALSE)/100))*X110)</f>
        <v>0</v>
      </c>
      <c r="AA110" s="706">
        <f>IF($C110="other",$C104*X110,(VLOOKUP($C110,'S3 - Screening Tool Metrics'!$C$3:$G$17,5,FALSE)/100)*X110)</f>
        <v>0</v>
      </c>
      <c r="AB110" s="708">
        <f t="shared" si="91"/>
        <v>0</v>
      </c>
      <c r="AC110" s="706">
        <f t="shared" si="92"/>
        <v>175109.16666666666</v>
      </c>
      <c r="AD110" s="706"/>
      <c r="AE110" s="706">
        <f t="shared" si="99"/>
        <v>589</v>
      </c>
      <c r="AF110" s="706">
        <f>IF($C110="other",(1-$C104)*AD110,(1-(VLOOKUP($C110,'S3 - Screening Tool Metrics'!$C$3:$G$17,5,FALSE)/100))*AD110)</f>
        <v>0</v>
      </c>
      <c r="AG110" s="706">
        <f>IF($C110="other",$C104*AD110,(VLOOKUP($C110,'S3 - Screening Tool Metrics'!$C$3:$G$17,5,FALSE)/100)*AD110)</f>
        <v>0</v>
      </c>
      <c r="AH110" s="708">
        <f t="shared" si="93"/>
        <v>0</v>
      </c>
      <c r="AI110" s="707">
        <f t="shared" si="94"/>
        <v>35021.833333333328</v>
      </c>
      <c r="AJ110" s="706"/>
      <c r="AK110" s="706">
        <f t="shared" si="98"/>
        <v>589</v>
      </c>
      <c r="AL110" s="706">
        <f>IF($C110="other",(1-$C104)*AJ110,(1-(VLOOKUP($C110,'S3 - Screening Tool Metrics'!$C$3:$G$17,5,FALSE)/100))*AJ110)</f>
        <v>0</v>
      </c>
      <c r="AM110" s="706">
        <f>IF($C110="other",$C104*AJ110,(VLOOKUP($C110,'S3 - Screening Tool Metrics'!$C$3:$G$17,5,FALSE)/100)*AJ110)</f>
        <v>0</v>
      </c>
      <c r="AN110" s="709">
        <f t="shared" si="95"/>
        <v>0</v>
      </c>
    </row>
    <row r="111" spans="2:40" ht="14" hidden="1" thickBot="1" x14ac:dyDescent="0.2">
      <c r="B111" s="700" t="s">
        <v>15</v>
      </c>
      <c r="C111" s="721" t="str">
        <f>$C105</f>
        <v>Other</v>
      </c>
      <c r="D111" s="552" t="s">
        <v>198</v>
      </c>
      <c r="E111" s="710">
        <f>VLOOKUP($B111&amp;"_"&amp;$D111,'App5 - CRUK Inci Rates'!C:H,6,FALSE)</f>
        <v>29.2</v>
      </c>
      <c r="F111" s="711">
        <f>VLOOKUP($B111&amp;"_"&amp;$D111,'App5 - CRUK Inci Rates'!C:H,3,FALSE)</f>
        <v>15.3</v>
      </c>
      <c r="G111" s="712">
        <f>VLOOKUP($B111&amp;"_"&amp;$D111,'App5 - CRUK Inci Rates'!C:J,8,FALSE)</f>
        <v>3071574.666666667</v>
      </c>
      <c r="H111" s="713">
        <f>VLOOKUP($B111&amp;"_"&amp;$D111,'App5 - CRUK Inci Rates'!C:J,7,FALSE)</f>
        <v>1467965</v>
      </c>
      <c r="I111" s="713">
        <f>VLOOKUP($B111&amp;"_"&amp;$D111,'App5 - CRUK Inci Rates'!C:J,4,FALSE)</f>
        <v>1603609.6666666667</v>
      </c>
      <c r="J111" s="709">
        <f>VLOOKUP($B111&amp;"_"&amp;$D111,'App5 - CRUK Inci Rates'!C:K,9,FALSE)</f>
        <v>674</v>
      </c>
      <c r="K111" s="706"/>
      <c r="L111" s="706"/>
      <c r="M111" s="706"/>
      <c r="N111" s="706"/>
      <c r="O111" s="706"/>
      <c r="P111" s="706"/>
      <c r="Q111" s="707">
        <f t="shared" si="88"/>
        <v>614314.93333333347</v>
      </c>
      <c r="S111" s="706">
        <f t="shared" si="96"/>
        <v>674</v>
      </c>
      <c r="T111" s="706">
        <f>IF($C111="other",(1-$C104)*R111,(1-(VLOOKUP($C111,'S3 - Screening Tool Metrics'!$C$3:$G$17,5,FALSE)/100))*R111)</f>
        <v>0</v>
      </c>
      <c r="U111" s="706">
        <f>IF($C111="other",$C104*R111,(VLOOKUP($C111,'S3 - Screening Tool Metrics'!$C$3:$G$17,5,FALSE)/100)*R111)</f>
        <v>0</v>
      </c>
      <c r="V111" s="708">
        <f t="shared" si="89"/>
        <v>0</v>
      </c>
      <c r="W111" s="707">
        <f t="shared" si="90"/>
        <v>307157.46666666673</v>
      </c>
      <c r="X111" s="706"/>
      <c r="Y111" s="706">
        <f t="shared" si="97"/>
        <v>674</v>
      </c>
      <c r="Z111" s="706">
        <f>IF($C111="other",(1-$C104)*X111,(1-(VLOOKUP($C111,'S3 - Screening Tool Metrics'!$C$3:$G$17,5,FALSE)/100))*X111)</f>
        <v>0</v>
      </c>
      <c r="AA111" s="706">
        <f>IF($C111="other",$C104*X111,(VLOOKUP($C111,'S3 - Screening Tool Metrics'!$C$3:$G$17,5,FALSE)/100)*X111)</f>
        <v>0</v>
      </c>
      <c r="AB111" s="708">
        <f t="shared" si="91"/>
        <v>0</v>
      </c>
      <c r="AC111" s="706">
        <f t="shared" si="92"/>
        <v>153578.73333333337</v>
      </c>
      <c r="AD111" s="706"/>
      <c r="AE111" s="706">
        <f t="shared" si="99"/>
        <v>674</v>
      </c>
      <c r="AF111" s="706">
        <f>IF($C111="other",(1-$C104)*AD111,(1-(VLOOKUP($C111,'S3 - Screening Tool Metrics'!$C$3:$G$17,5,FALSE)/100))*AD111)</f>
        <v>0</v>
      </c>
      <c r="AG111" s="706">
        <f>IF($C111="other",$C104*AD111,(VLOOKUP($C111,'S3 - Screening Tool Metrics'!$C$3:$G$17,5,FALSE)/100)*AD111)</f>
        <v>0</v>
      </c>
      <c r="AH111" s="708">
        <f t="shared" si="93"/>
        <v>0</v>
      </c>
      <c r="AI111" s="707">
        <f t="shared" si="94"/>
        <v>30715.74666666667</v>
      </c>
      <c r="AJ111" s="706"/>
      <c r="AK111" s="706">
        <f t="shared" si="98"/>
        <v>674</v>
      </c>
      <c r="AL111" s="706">
        <f>IF($C111="other",(1-$C104)*AJ111,(1-(VLOOKUP($C111,'S3 - Screening Tool Metrics'!$C$3:$G$17,5,FALSE)/100))*AJ111)</f>
        <v>0</v>
      </c>
      <c r="AM111" s="706">
        <f>IF($C111="other",$C104*AJ111,(VLOOKUP($C111,'S3 - Screening Tool Metrics'!$C$3:$G$17,5,FALSE)/100)*AJ111)</f>
        <v>0</v>
      </c>
      <c r="AN111" s="709">
        <f t="shared" si="95"/>
        <v>0</v>
      </c>
    </row>
    <row r="112" spans="2:40" ht="14" hidden="1" thickBot="1" x14ac:dyDescent="0.2">
      <c r="B112" s="700" t="s">
        <v>15</v>
      </c>
      <c r="C112" s="721" t="str">
        <f>$C105</f>
        <v>Other</v>
      </c>
      <c r="D112" s="552" t="s">
        <v>199</v>
      </c>
      <c r="E112" s="710">
        <f>VLOOKUP($B112&amp;"_"&amp;$D112,'App5 - CRUK Inci Rates'!C:H,6,FALSE)</f>
        <v>35.799999999999997</v>
      </c>
      <c r="F112" s="711">
        <f>VLOOKUP($B112&amp;"_"&amp;$D112,'App5 - CRUK Inci Rates'!C:H,3,FALSE)</f>
        <v>18.2</v>
      </c>
      <c r="G112" s="712">
        <f>VLOOKUP($B112&amp;"_"&amp;$D112,'App5 - CRUK Inci Rates'!C:J,8,FALSE)</f>
        <v>2189010.6666666665</v>
      </c>
      <c r="H112" s="713">
        <f>VLOOKUP($B112&amp;"_"&amp;$D112,'App5 - CRUK Inci Rates'!C:J,7,FALSE)</f>
        <v>1007365.3333333334</v>
      </c>
      <c r="I112" s="713">
        <f>VLOOKUP($B112&amp;"_"&amp;$D112,'App5 - CRUK Inci Rates'!C:J,4,FALSE)</f>
        <v>1181645.3333333333</v>
      </c>
      <c r="J112" s="709">
        <f>VLOOKUP($B112&amp;"_"&amp;$D112,'App5 - CRUK Inci Rates'!C:K,9,FALSE)</f>
        <v>576</v>
      </c>
      <c r="K112" s="706"/>
      <c r="L112" s="706"/>
      <c r="M112" s="706"/>
      <c r="N112" s="706"/>
      <c r="O112" s="706"/>
      <c r="P112" s="706"/>
      <c r="Q112" s="707">
        <f t="shared" si="88"/>
        <v>437802.1333333333</v>
      </c>
      <c r="S112" s="706">
        <f t="shared" si="96"/>
        <v>576</v>
      </c>
      <c r="T112" s="706">
        <f>IF($C112="other",(1-$C104)*R112,(1-(VLOOKUP($C112,'S3 - Screening Tool Metrics'!$C$3:$G$17,5,FALSE)/100))*R112)</f>
        <v>0</v>
      </c>
      <c r="U112" s="706">
        <f>IF($C112="other",$C104*R112,(VLOOKUP($C112,'S3 - Screening Tool Metrics'!$C$3:$G$17,5,FALSE)/100)*R112)</f>
        <v>0</v>
      </c>
      <c r="V112" s="708">
        <f t="shared" si="89"/>
        <v>0</v>
      </c>
      <c r="W112" s="707">
        <f t="shared" si="90"/>
        <v>218901.06666666665</v>
      </c>
      <c r="X112" s="706"/>
      <c r="Y112" s="706">
        <f t="shared" si="97"/>
        <v>576</v>
      </c>
      <c r="Z112" s="706">
        <f>IF($C112="other",(1-$C104)*X112,(1-(VLOOKUP($C112,'S3 - Screening Tool Metrics'!$C$3:$G$17,5,FALSE)/100))*X112)</f>
        <v>0</v>
      </c>
      <c r="AA112" s="706">
        <f>IF($C112="other",$C104*X112,(VLOOKUP($C112,'S3 - Screening Tool Metrics'!$C$3:$G$17,5,FALSE)/100)*X112)</f>
        <v>0</v>
      </c>
      <c r="AB112" s="708">
        <f t="shared" si="91"/>
        <v>0</v>
      </c>
      <c r="AC112" s="706">
        <f t="shared" si="92"/>
        <v>109450.53333333333</v>
      </c>
      <c r="AD112" s="706"/>
      <c r="AE112" s="706">
        <f t="shared" si="99"/>
        <v>576</v>
      </c>
      <c r="AF112" s="706">
        <f>IF($C112="other",(1-$C104)*AD112,(1-(VLOOKUP($C112,'S3 - Screening Tool Metrics'!$C$3:$G$17,5,FALSE)/100))*AD112)</f>
        <v>0</v>
      </c>
      <c r="AG112" s="706">
        <f>IF($C112="other",$C104*AD112,(VLOOKUP($C112,'S3 - Screening Tool Metrics'!$C$3:$G$17,5,FALSE)/100)*AD112)</f>
        <v>0</v>
      </c>
      <c r="AH112" s="708">
        <f t="shared" si="93"/>
        <v>0</v>
      </c>
      <c r="AI112" s="707">
        <f t="shared" si="94"/>
        <v>21890.106666666667</v>
      </c>
      <c r="AJ112" s="706"/>
      <c r="AK112" s="706">
        <f t="shared" si="98"/>
        <v>576</v>
      </c>
      <c r="AL112" s="706">
        <f>IF($C112="other",(1-$C104)*AJ112,(1-(VLOOKUP($C112,'S3 - Screening Tool Metrics'!$C$3:$G$17,5,FALSE)/100))*AJ112)</f>
        <v>0</v>
      </c>
      <c r="AM112" s="706">
        <f>IF($C112="other",$C104*AJ112,(VLOOKUP($C112,'S3 - Screening Tool Metrics'!$C$3:$G$17,5,FALSE)/100)*AJ112)</f>
        <v>0</v>
      </c>
      <c r="AN112" s="709">
        <f t="shared" si="95"/>
        <v>0</v>
      </c>
    </row>
    <row r="113" spans="2:40" ht="14" hidden="1" thickBot="1" x14ac:dyDescent="0.2">
      <c r="B113" s="700" t="s">
        <v>15</v>
      </c>
      <c r="C113" s="721" t="str">
        <f>$C105</f>
        <v>Other</v>
      </c>
      <c r="D113" s="552" t="s">
        <v>200</v>
      </c>
      <c r="E113" s="710">
        <f>VLOOKUP($B113&amp;"_"&amp;$D113,'App5 - CRUK Inci Rates'!C:H,6,FALSE)</f>
        <v>8.7177487409166687</v>
      </c>
      <c r="F113" s="711">
        <f>VLOOKUP($B113&amp;"_"&amp;$D113,'App5 - CRUK Inci Rates'!C:H,3,FALSE)</f>
        <v>4.121189540148869</v>
      </c>
      <c r="G113" s="712">
        <f>VLOOKUP($B113&amp;"_"&amp;$D113,'App5 - CRUK Inci Rates'!C:J,8,FALSE)</f>
        <v>24586669.333333336</v>
      </c>
      <c r="H113" s="713">
        <f>VLOOKUP($B113&amp;"_"&amp;$D113,'App5 - CRUK Inci Rates'!C:J,7,FALSE)</f>
        <v>12090277.333333334</v>
      </c>
      <c r="I113" s="713">
        <f>VLOOKUP($B113&amp;"_"&amp;$D113,'App5 - CRUK Inci Rates'!C:J,4,FALSE)</f>
        <v>12496392</v>
      </c>
      <c r="J113" s="709">
        <f>VLOOKUP($B113&amp;"_"&amp;$D113,'App5 - CRUK Inci Rates'!C:K,9,FALSE)</f>
        <v>1569</v>
      </c>
      <c r="K113" s="706"/>
      <c r="L113" s="706"/>
      <c r="M113" s="706"/>
      <c r="N113" s="706"/>
      <c r="O113" s="706"/>
      <c r="P113" s="706"/>
      <c r="Q113" s="707">
        <f t="shared" si="88"/>
        <v>4917333.8666666672</v>
      </c>
      <c r="S113" s="706">
        <f t="shared" si="96"/>
        <v>1569</v>
      </c>
      <c r="T113" s="706">
        <f>IF($C113="other",(1-$C104)*R113,(1-(VLOOKUP($C113,'S3 - Screening Tool Metrics'!$C$3:$G$17,5,FALSE)/100))*R113)</f>
        <v>0</v>
      </c>
      <c r="U113" s="706">
        <f>IF($C113="other",$C104*R113,(VLOOKUP($C113,'S3 - Screening Tool Metrics'!$C$3:$G$17,5,FALSE)/100)*R113)</f>
        <v>0</v>
      </c>
      <c r="V113" s="708">
        <f t="shared" si="89"/>
        <v>0</v>
      </c>
      <c r="W113" s="707">
        <f t="shared" si="90"/>
        <v>2458666.9333333336</v>
      </c>
      <c r="X113" s="706"/>
      <c r="Y113" s="706">
        <f t="shared" si="97"/>
        <v>1569</v>
      </c>
      <c r="Z113" s="706">
        <f>IF($C113="other",(1-$C104)*X113,(1-(VLOOKUP($C113,'S3 - Screening Tool Metrics'!$C$3:$G$17,5,FALSE)/100))*X113)</f>
        <v>0</v>
      </c>
      <c r="AA113" s="706">
        <f>IF($C113="other",$C104*X113,(VLOOKUP($C113,'S3 - Screening Tool Metrics'!$C$3:$G$17,5,FALSE)/100)*X113)</f>
        <v>0</v>
      </c>
      <c r="AB113" s="708">
        <f t="shared" si="91"/>
        <v>0</v>
      </c>
      <c r="AC113" s="706">
        <f t="shared" si="92"/>
        <v>1229333.4666666668</v>
      </c>
      <c r="AD113" s="706"/>
      <c r="AE113" s="706">
        <f t="shared" si="99"/>
        <v>1569</v>
      </c>
      <c r="AF113" s="706">
        <f>IF($C113="other",(1-$C104)*AD113,(1-(VLOOKUP($C113,'S3 - Screening Tool Metrics'!$C$3:$G$17,5,FALSE)/100))*AD113)</f>
        <v>0</v>
      </c>
      <c r="AG113" s="706">
        <f>IF($C113="other",$C104*AD113,(VLOOKUP($C113,'S3 - Screening Tool Metrics'!$C$3:$G$17,5,FALSE)/100)*AD113)</f>
        <v>0</v>
      </c>
      <c r="AH113" s="708">
        <f t="shared" si="93"/>
        <v>0</v>
      </c>
      <c r="AI113" s="707">
        <f t="shared" si="94"/>
        <v>245866.69333333336</v>
      </c>
      <c r="AJ113" s="706"/>
      <c r="AK113" s="706">
        <f t="shared" si="98"/>
        <v>1569</v>
      </c>
      <c r="AL113" s="706">
        <f>IF($C113="other",(1-$C104)*AJ113,(1-(VLOOKUP($C113,'S3 - Screening Tool Metrics'!$C$3:$G$17,5,FALSE)/100))*AJ113)</f>
        <v>0</v>
      </c>
      <c r="AM113" s="706">
        <f>IF($C113="other",$C104*AJ113,(VLOOKUP($C113,'S3 - Screening Tool Metrics'!$C$3:$G$17,5,FALSE)/100)*AJ113)</f>
        <v>0</v>
      </c>
      <c r="AN113" s="709">
        <f t="shared" si="95"/>
        <v>0</v>
      </c>
    </row>
    <row r="114" spans="2:40" ht="14" hidden="1" thickBot="1" x14ac:dyDescent="0.2">
      <c r="B114" s="700" t="s">
        <v>15</v>
      </c>
      <c r="C114" s="721" t="str">
        <f>$C105</f>
        <v>Other</v>
      </c>
      <c r="D114" s="552" t="s">
        <v>201</v>
      </c>
      <c r="E114" s="710">
        <f>VLOOKUP($B114&amp;"_"&amp;$D114,'App5 - CRUK Inci Rates'!C:H,6,FALSE)</f>
        <v>2.0360094402190962</v>
      </c>
      <c r="F114" s="711">
        <f>VLOOKUP($B114&amp;"_"&amp;$D114,'App5 - CRUK Inci Rates'!C:H,3,FALSE)</f>
        <v>0.91539409088703805</v>
      </c>
      <c r="G114" s="712">
        <f>VLOOKUP($B114&amp;"_"&amp;$D114,'App5 - CRUK Inci Rates'!C:J,8,FALSE)</f>
        <v>8642767.333333334</v>
      </c>
      <c r="H114" s="713">
        <f>VLOOKUP($B114&amp;"_"&amp;$D114,'App5 - CRUK Inci Rates'!C:J,7,FALSE)</f>
        <v>4273064.666666667</v>
      </c>
      <c r="I114" s="713">
        <f>VLOOKUP($B114&amp;"_"&amp;$D114,'App5 - CRUK Inci Rates'!C:J,4,FALSE)</f>
        <v>4369702.666666667</v>
      </c>
      <c r="J114" s="709">
        <f>VLOOKUP($B114&amp;"_"&amp;$D114,'App5 - CRUK Inci Rates'!C:K,9,FALSE)</f>
        <v>127</v>
      </c>
      <c r="K114" s="706"/>
      <c r="L114" s="706"/>
      <c r="M114" s="706"/>
      <c r="N114" s="706"/>
      <c r="O114" s="706"/>
      <c r="P114" s="706"/>
      <c r="Q114" s="707">
        <f t="shared" si="88"/>
        <v>1728553.4666666668</v>
      </c>
      <c r="S114" s="706">
        <f t="shared" si="96"/>
        <v>127</v>
      </c>
      <c r="T114" s="706">
        <f>IF($C114="other",(1-$C104)*R114,(1-(VLOOKUP($C114,'S3 - Screening Tool Metrics'!$C$3:$G$17,5,FALSE)/100))*R114)</f>
        <v>0</v>
      </c>
      <c r="U114" s="706">
        <f>IF($C114="other",$C104*R114,(VLOOKUP($C114,'S3 - Screening Tool Metrics'!$C$3:$G$17,5,FALSE)/100)*R114)</f>
        <v>0</v>
      </c>
      <c r="V114" s="708">
        <f t="shared" si="89"/>
        <v>0</v>
      </c>
      <c r="W114" s="707">
        <f t="shared" si="90"/>
        <v>864276.7333333334</v>
      </c>
      <c r="X114" s="706"/>
      <c r="Y114" s="706">
        <f t="shared" si="97"/>
        <v>127</v>
      </c>
      <c r="Z114" s="706">
        <f>IF($C114="other",(1-$C104)*X114,(1-(VLOOKUP($C114,'S3 - Screening Tool Metrics'!$C$3:$G$17,5,FALSE)/100))*X114)</f>
        <v>0</v>
      </c>
      <c r="AA114" s="706">
        <f>IF($C114="other",$C104*X114,(VLOOKUP($C114,'S3 - Screening Tool Metrics'!$C$3:$G$17,5,FALSE)/100)*X114)</f>
        <v>0</v>
      </c>
      <c r="AB114" s="708">
        <f t="shared" si="91"/>
        <v>0</v>
      </c>
      <c r="AC114" s="706">
        <f t="shared" si="92"/>
        <v>432138.3666666667</v>
      </c>
      <c r="AD114" s="706"/>
      <c r="AE114" s="706">
        <f t="shared" si="99"/>
        <v>127</v>
      </c>
      <c r="AF114" s="706">
        <f>IF($C114="other",(1-$C104)*AD114,(1-(VLOOKUP($C114,'S3 - Screening Tool Metrics'!$C$3:$G$17,5,FALSE)/100))*AD114)</f>
        <v>0</v>
      </c>
      <c r="AG114" s="706">
        <f>IF($C114="other",$C104*AD114,(VLOOKUP($C114,'S3 - Screening Tool Metrics'!$C$3:$G$17,5,FALSE)/100)*AD114)</f>
        <v>0</v>
      </c>
      <c r="AH114" s="708">
        <f t="shared" si="93"/>
        <v>0</v>
      </c>
      <c r="AI114" s="707">
        <f t="shared" si="94"/>
        <v>86427.67333333334</v>
      </c>
      <c r="AJ114" s="706"/>
      <c r="AK114" s="706">
        <f t="shared" si="98"/>
        <v>127</v>
      </c>
      <c r="AL114" s="706">
        <f>IF($C114="other",(1-$C104)*AJ114,(1-(VLOOKUP($C114,'S3 - Screening Tool Metrics'!$C$3:$G$17,5,FALSE)/100))*AJ114)</f>
        <v>0</v>
      </c>
      <c r="AM114" s="706">
        <f>IF($C114="other",$C104*AJ114,(VLOOKUP($C114,'S3 - Screening Tool Metrics'!$C$3:$G$17,5,FALSE)/100)*AJ114)</f>
        <v>0</v>
      </c>
      <c r="AN114" s="709">
        <f t="shared" si="95"/>
        <v>0</v>
      </c>
    </row>
    <row r="115" spans="2:40" ht="14" hidden="1" thickBot="1" x14ac:dyDescent="0.2">
      <c r="B115" s="700" t="s">
        <v>15</v>
      </c>
      <c r="C115" s="721" t="str">
        <f>$C105</f>
        <v>Other</v>
      </c>
      <c r="D115" s="552" t="s">
        <v>202</v>
      </c>
      <c r="E115" s="710">
        <f>VLOOKUP($B115&amp;"_"&amp;$D115,'App5 - CRUK Inci Rates'!C:H,6,FALSE)</f>
        <v>7.2553755980901533</v>
      </c>
      <c r="F115" s="711">
        <f>VLOOKUP($B115&amp;"_"&amp;$D115,'App5 - CRUK Inci Rates'!C:H,3,FALSE)</f>
        <v>2.9658865071936495</v>
      </c>
      <c r="G115" s="712">
        <f>VLOOKUP($B115&amp;"_"&amp;$D115,'App5 - CRUK Inci Rates'!C:J,8,FALSE)</f>
        <v>8839716.6666666679</v>
      </c>
      <c r="H115" s="713">
        <f>VLOOKUP($B115&amp;"_"&amp;$D115,'App5 - CRUK Inci Rates'!C:J,7,FALSE)</f>
        <v>4355391.333333333</v>
      </c>
      <c r="I115" s="713">
        <f>VLOOKUP($B115&amp;"_"&amp;$D115,'App5 - CRUK Inci Rates'!C:J,4,FALSE)</f>
        <v>4484325.333333334</v>
      </c>
      <c r="J115" s="709">
        <f>VLOOKUP($B115&amp;"_"&amp;$D115,'App5 - CRUK Inci Rates'!C:K,9,FALSE)</f>
        <v>449</v>
      </c>
      <c r="K115" s="706"/>
      <c r="L115" s="706"/>
      <c r="M115" s="706"/>
      <c r="N115" s="706"/>
      <c r="O115" s="706"/>
      <c r="P115" s="706"/>
      <c r="Q115" s="707">
        <f t="shared" si="88"/>
        <v>1767943.3333333337</v>
      </c>
      <c r="S115" s="706">
        <f t="shared" si="96"/>
        <v>449</v>
      </c>
      <c r="T115" s="706">
        <f>IF($C115="other",(1-$C104)*R115,(1-(VLOOKUP($C115,'S3 - Screening Tool Metrics'!$C$3:$G$17,5,FALSE)/100))*R115)</f>
        <v>0</v>
      </c>
      <c r="U115" s="706">
        <f>IF($C115="other",$C104*R115,(VLOOKUP($C115,'S3 - Screening Tool Metrics'!$C$3:$G$17,5,FALSE)/100)*R115)</f>
        <v>0</v>
      </c>
      <c r="V115" s="708">
        <f t="shared" si="89"/>
        <v>0</v>
      </c>
      <c r="W115" s="707">
        <f t="shared" si="90"/>
        <v>883971.66666666686</v>
      </c>
      <c r="X115" s="706"/>
      <c r="Y115" s="706">
        <f t="shared" si="97"/>
        <v>449</v>
      </c>
      <c r="Z115" s="706">
        <f>IF($C115="other",(1-$C104)*X115,(1-(VLOOKUP($C115,'S3 - Screening Tool Metrics'!$C$3:$G$17,5,FALSE)/100))*X115)</f>
        <v>0</v>
      </c>
      <c r="AA115" s="706">
        <f>IF($C115="other",$C104*X115,(VLOOKUP($C115,'S3 - Screening Tool Metrics'!$C$3:$G$17,5,FALSE)/100)*X115)</f>
        <v>0</v>
      </c>
      <c r="AB115" s="708">
        <f t="shared" si="91"/>
        <v>0</v>
      </c>
      <c r="AC115" s="706">
        <f t="shared" si="92"/>
        <v>441985.83333333343</v>
      </c>
      <c r="AD115" s="706"/>
      <c r="AE115" s="706">
        <f t="shared" si="99"/>
        <v>449</v>
      </c>
      <c r="AF115" s="706">
        <f>IF($C115="other",(1-$C104)*AD115,(1-(VLOOKUP($C115,'S3 - Screening Tool Metrics'!$C$3:$G$17,5,FALSE)/100))*AD115)</f>
        <v>0</v>
      </c>
      <c r="AG115" s="706">
        <f>IF($C115="other",$C104*AD115,(VLOOKUP($C115,'S3 - Screening Tool Metrics'!$C$3:$G$17,5,FALSE)/100)*AD115)</f>
        <v>0</v>
      </c>
      <c r="AH115" s="708">
        <f t="shared" si="93"/>
        <v>0</v>
      </c>
      <c r="AI115" s="707">
        <f t="shared" si="94"/>
        <v>88397.166666666686</v>
      </c>
      <c r="AJ115" s="706"/>
      <c r="AK115" s="706">
        <f t="shared" si="98"/>
        <v>449</v>
      </c>
      <c r="AL115" s="706">
        <f>IF($C115="other",(1-$C104)*AJ115,(1-(VLOOKUP($C115,'S3 - Screening Tool Metrics'!$C$3:$G$17,5,FALSE)/100))*AJ115)</f>
        <v>0</v>
      </c>
      <c r="AM115" s="706">
        <f>IF($C115="other",$C104*AJ115,(VLOOKUP($C115,'S3 - Screening Tool Metrics'!$C$3:$G$17,5,FALSE)/100)*AJ115)</f>
        <v>0</v>
      </c>
      <c r="AN115" s="709">
        <f t="shared" si="95"/>
        <v>0</v>
      </c>
    </row>
    <row r="116" spans="2:40" ht="14" hidden="1" thickBot="1" x14ac:dyDescent="0.2">
      <c r="B116" s="700" t="s">
        <v>15</v>
      </c>
      <c r="C116" s="721" t="str">
        <f>$C105</f>
        <v>Other</v>
      </c>
      <c r="D116" s="552" t="s">
        <v>203</v>
      </c>
      <c r="E116" s="710">
        <f>VLOOKUP($B116&amp;"_"&amp;$D116,'App5 - CRUK Inci Rates'!C:H,6,FALSE)</f>
        <v>12.37013806882061</v>
      </c>
      <c r="F116" s="711">
        <f>VLOOKUP($B116&amp;"_"&amp;$D116,'App5 - CRUK Inci Rates'!C:H,3,FALSE)</f>
        <v>5.8449385785142187</v>
      </c>
      <c r="G116" s="712">
        <f>VLOOKUP($B116&amp;"_"&amp;$D116,'App5 - CRUK Inci Rates'!C:J,8,FALSE)</f>
        <v>15943902</v>
      </c>
      <c r="H116" s="713">
        <f>VLOOKUP($B116&amp;"_"&amp;$D116,'App5 - CRUK Inci Rates'!C:J,7,FALSE)</f>
        <v>7817212.666666666</v>
      </c>
      <c r="I116" s="713">
        <f>VLOOKUP($B116&amp;"_"&amp;$D116,'App5 - CRUK Inci Rates'!C:J,4,FALSE)</f>
        <v>8126689.333333334</v>
      </c>
      <c r="J116" s="709">
        <f>VLOOKUP($B116&amp;"_"&amp;$D116,'App5 - CRUK Inci Rates'!C:K,9,FALSE)</f>
        <v>1442</v>
      </c>
      <c r="K116" s="706"/>
      <c r="L116" s="706"/>
      <c r="M116" s="706"/>
      <c r="N116" s="706"/>
      <c r="O116" s="706"/>
      <c r="P116" s="706"/>
      <c r="Q116" s="707">
        <f t="shared" si="88"/>
        <v>3188780.4000000004</v>
      </c>
      <c r="S116" s="706">
        <f t="shared" si="96"/>
        <v>1442</v>
      </c>
      <c r="T116" s="706">
        <f>IF($C116="other",(1-$C104)*R116,(1-(VLOOKUP($C116,'S3 - Screening Tool Metrics'!$C$3:$G$17,5,FALSE)/100))*R116)</f>
        <v>0</v>
      </c>
      <c r="U116" s="706">
        <f>IF($C116="other",$C104*R116,(VLOOKUP($C116,'S3 - Screening Tool Metrics'!$C$3:$G$17,5,FALSE)/100)*R116)</f>
        <v>0</v>
      </c>
      <c r="V116" s="708">
        <f t="shared" si="89"/>
        <v>0</v>
      </c>
      <c r="W116" s="707">
        <f t="shared" si="90"/>
        <v>1594390.2000000002</v>
      </c>
      <c r="X116" s="706"/>
      <c r="Y116" s="706">
        <f t="shared" si="97"/>
        <v>1442</v>
      </c>
      <c r="Z116" s="706">
        <f>IF($C116="other",(1-$C104)*X116,(1-(VLOOKUP($C116,'S3 - Screening Tool Metrics'!$C$3:$G$17,5,FALSE)/100))*X116)</f>
        <v>0</v>
      </c>
      <c r="AA116" s="706">
        <f>IF($C116="other",$C104*X116,(VLOOKUP($C116,'S3 - Screening Tool Metrics'!$C$3:$G$17,5,FALSE)/100)*X116)</f>
        <v>0</v>
      </c>
      <c r="AB116" s="708">
        <f t="shared" si="91"/>
        <v>0</v>
      </c>
      <c r="AC116" s="706">
        <f t="shared" si="92"/>
        <v>797195.10000000009</v>
      </c>
      <c r="AD116" s="706"/>
      <c r="AE116" s="706">
        <f t="shared" si="99"/>
        <v>1442</v>
      </c>
      <c r="AF116" s="706">
        <f>IF($C116="other",(1-$C104)*AD116,(1-(VLOOKUP($C116,'S3 - Screening Tool Metrics'!$C$3:$G$17,5,FALSE)/100))*AD116)</f>
        <v>0</v>
      </c>
      <c r="AG116" s="706">
        <f>IF($C116="other",$C104*AD116,(VLOOKUP($C116,'S3 - Screening Tool Metrics'!$C$3:$G$17,5,FALSE)/100)*AD116)</f>
        <v>0</v>
      </c>
      <c r="AH116" s="708">
        <f t="shared" si="93"/>
        <v>0</v>
      </c>
      <c r="AI116" s="707">
        <f t="shared" si="94"/>
        <v>159439.01999999999</v>
      </c>
      <c r="AJ116" s="706"/>
      <c r="AK116" s="706">
        <f t="shared" si="98"/>
        <v>1442</v>
      </c>
      <c r="AL116" s="706">
        <f>IF($C116="other",(1-$C104)*AJ116,(1-(VLOOKUP($C116,'S3 - Screening Tool Metrics'!$C$3:$G$17,5,FALSE)/100))*AJ116)</f>
        <v>0</v>
      </c>
      <c r="AM116" s="706">
        <f>IF($C116="other",$C104*AJ116,(VLOOKUP($C116,'S3 - Screening Tool Metrics'!$C$3:$G$17,5,FALSE)/100)*AJ116)</f>
        <v>0</v>
      </c>
      <c r="AN116" s="709">
        <f t="shared" si="95"/>
        <v>0</v>
      </c>
    </row>
    <row r="117" spans="2:40" ht="14" hidden="1" thickBot="1" x14ac:dyDescent="0.2">
      <c r="B117" s="700" t="s">
        <v>15</v>
      </c>
      <c r="C117" s="721" t="str">
        <f>$C106</f>
        <v>Other</v>
      </c>
      <c r="D117" s="552" t="s">
        <v>292</v>
      </c>
      <c r="E117" s="710">
        <f>VLOOKUP($B117&amp;"_"&amp;$D117,'App5 - CRUK Inci Rates'!C:H,6,FALSE)</f>
        <v>21.887358336490447</v>
      </c>
      <c r="F117" s="711">
        <f>VLOOKUP($B117&amp;"_"&amp;$D117,'App5 - CRUK Inci Rates'!C:H,3,FALSE)</f>
        <v>11.208596103640371</v>
      </c>
      <c r="G117" s="712">
        <f>VLOOKUP($B117&amp;"_"&amp;$D117,'App5 - CRUK Inci Rates'!C:J,8,FALSE)</f>
        <v>8881256.9603638444</v>
      </c>
      <c r="H117" s="713">
        <f>VLOOKUP($B117&amp;"_"&amp;$D117,'App5 - CRUK Inci Rates'!C:J,7,FALSE)</f>
        <v>4929786.333333333</v>
      </c>
      <c r="I117" s="713">
        <f>VLOOKUP($B117&amp;"_"&amp;$D117,'App5 - CRUK Inci Rates'!C:J,4,FALSE)</f>
        <v>5245973.666666667</v>
      </c>
      <c r="J117" s="709">
        <f>VLOOKUP($B117&amp;"_"&amp;$D117,'App5 - CRUK Inci Rates'!C:K,9,FALSE)</f>
        <v>1667</v>
      </c>
      <c r="K117" s="706"/>
      <c r="L117" s="706"/>
      <c r="M117" s="706"/>
      <c r="N117" s="706"/>
      <c r="O117" s="706"/>
      <c r="P117" s="706"/>
      <c r="Q117" s="707">
        <f t="shared" si="88"/>
        <v>1776251.3920727689</v>
      </c>
      <c r="S117" s="706">
        <f t="shared" si="96"/>
        <v>1667</v>
      </c>
      <c r="T117" s="706">
        <f>IF($C117="other",(1-$C104)*R117,(1-(VLOOKUP($C117,'S3 - Screening Tool Metrics'!$C$3:$G$17,5,FALSE)/100))*R117)</f>
        <v>0</v>
      </c>
      <c r="U117" s="706">
        <f>IF($C117="other",$C104*R117,(VLOOKUP($C117,'S3 - Screening Tool Metrics'!$C$3:$G$17,5,FALSE)/100)*R117)</f>
        <v>0</v>
      </c>
      <c r="V117" s="708">
        <f t="shared" si="89"/>
        <v>0</v>
      </c>
      <c r="W117" s="707">
        <f t="shared" si="90"/>
        <v>888125.69603638444</v>
      </c>
      <c r="X117" s="706"/>
      <c r="Y117" s="706">
        <f t="shared" si="97"/>
        <v>1667</v>
      </c>
      <c r="Z117" s="706">
        <f>IF($C117="other",(1-$C104)*X117,(1-(VLOOKUP($C117,'S3 - Screening Tool Metrics'!$C$3:$G$17,5,FALSE)/100))*X117)</f>
        <v>0</v>
      </c>
      <c r="AA117" s="706">
        <f>IF($C117="other",$C104*X117,(VLOOKUP($C117,'S3 - Screening Tool Metrics'!$C$3:$G$17,5,FALSE)/100)*X117)</f>
        <v>0</v>
      </c>
      <c r="AB117" s="708">
        <f t="shared" si="91"/>
        <v>0</v>
      </c>
      <c r="AC117" s="706">
        <f t="shared" si="92"/>
        <v>444062.84801819222</v>
      </c>
      <c r="AD117" s="706"/>
      <c r="AE117" s="706">
        <f t="shared" si="99"/>
        <v>1667</v>
      </c>
      <c r="AF117" s="706">
        <f>IF($C117="other",(1-$C104)*AD117,(1-(VLOOKUP($C117,'S3 - Screening Tool Metrics'!$C$3:$G$17,5,FALSE)/100))*AD117)</f>
        <v>0</v>
      </c>
      <c r="AG117" s="706">
        <f>IF($C117="other",$C104*AD117,(VLOOKUP($C117,'S3 - Screening Tool Metrics'!$C$3:$G$17,5,FALSE)/100)*AD117)</f>
        <v>0</v>
      </c>
      <c r="AH117" s="708">
        <f t="shared" si="93"/>
        <v>0</v>
      </c>
      <c r="AI117" s="707">
        <f t="shared" si="94"/>
        <v>88812.569603638447</v>
      </c>
      <c r="AJ117" s="706"/>
      <c r="AK117" s="706">
        <f t="shared" si="98"/>
        <v>1667</v>
      </c>
      <c r="AL117" s="706">
        <f>IF($C117="other",(1-$C104)*AJ117,(1-(VLOOKUP($C117,'S3 - Screening Tool Metrics'!$C$3:$G$17,5,FALSE)/100))*AJ117)</f>
        <v>0</v>
      </c>
      <c r="AM117" s="706">
        <f>IF($C117="other",$C104*AJ117,(VLOOKUP($C117,'S3 - Screening Tool Metrics'!$C$3:$G$17,5,FALSE)/100)*AJ117)</f>
        <v>0</v>
      </c>
      <c r="AN117" s="709">
        <f t="shared" si="95"/>
        <v>0</v>
      </c>
    </row>
    <row r="118" spans="2:40" ht="14" hidden="1" thickBot="1" x14ac:dyDescent="0.2">
      <c r="B118" s="700" t="s">
        <v>15</v>
      </c>
      <c r="C118" s="721" t="str">
        <f>$C105</f>
        <v>Other</v>
      </c>
      <c r="D118" s="552" t="s">
        <v>204</v>
      </c>
      <c r="E118" s="710">
        <f>VLOOKUP($B118&amp;"_"&amp;$D118,'App5 - CRUK Inci Rates'!C:H,6,FALSE)</f>
        <v>12.653093795857881</v>
      </c>
      <c r="F118" s="711">
        <f>VLOOKUP($B118&amp;"_"&amp;$D118,'App5 - CRUK Inci Rates'!C:H,3,FALSE)</f>
        <v>6.3867461406483219</v>
      </c>
      <c r="G118" s="712">
        <f>VLOOKUP($B118&amp;"_"&amp;$D118,'App5 - CRUK Inci Rates'!C:J,8,FALSE)</f>
        <v>29847254.666666668</v>
      </c>
      <c r="H118" s="713">
        <f>VLOOKUP($B118&amp;"_"&amp;$D118,'App5 - CRUK Inci Rates'!C:J,7,FALSE)</f>
        <v>14565607.666666668</v>
      </c>
      <c r="I118" s="713">
        <f>VLOOKUP($B118&amp;"_"&amp;$D118,'App5 - CRUK Inci Rates'!C:J,4,FALSE)</f>
        <v>15281647</v>
      </c>
      <c r="J118" s="709">
        <f>VLOOKUP($B118&amp;"_"&amp;$D118,'App5 - CRUK Inci Rates'!C:K,9,FALSE)</f>
        <v>2819</v>
      </c>
      <c r="K118" s="706"/>
      <c r="L118" s="706"/>
      <c r="M118" s="706"/>
      <c r="N118" s="706"/>
      <c r="O118" s="706"/>
      <c r="P118" s="706"/>
      <c r="Q118" s="707">
        <f t="shared" si="88"/>
        <v>5969450.9333333336</v>
      </c>
      <c r="S118" s="706">
        <f t="shared" si="96"/>
        <v>2819</v>
      </c>
      <c r="T118" s="706">
        <f>IF($C118="other",(1-$C104)*R118,(1-(VLOOKUP($C118,'S3 - Screening Tool Metrics'!$C$3:$G$17,5,FALSE)/100))*R118)</f>
        <v>0</v>
      </c>
      <c r="U118" s="706">
        <f>IF($C118="other",$C104*R118,(VLOOKUP($C118,'S3 - Screening Tool Metrics'!$C$3:$G$17,5,FALSE)/100)*R118)</f>
        <v>0</v>
      </c>
      <c r="V118" s="708">
        <f t="shared" si="89"/>
        <v>0</v>
      </c>
      <c r="W118" s="707">
        <f t="shared" si="90"/>
        <v>2984725.4666666668</v>
      </c>
      <c r="X118" s="706"/>
      <c r="Y118" s="706">
        <f t="shared" si="97"/>
        <v>2819</v>
      </c>
      <c r="Z118" s="706">
        <f>IF($C118="other",(1-$C104)*X118,(1-(VLOOKUP($C118,'S3 - Screening Tool Metrics'!$C$3:$G$17,5,FALSE)/100))*X118)</f>
        <v>0</v>
      </c>
      <c r="AA118" s="706">
        <f>IF($C118="other",$C104*X118,(VLOOKUP($C118,'S3 - Screening Tool Metrics'!$C$3:$G$17,5,FALSE)/100)*X118)</f>
        <v>0</v>
      </c>
      <c r="AB118" s="708">
        <f t="shared" si="91"/>
        <v>0</v>
      </c>
      <c r="AC118" s="706">
        <f t="shared" si="92"/>
        <v>1492362.7333333334</v>
      </c>
      <c r="AD118" s="706"/>
      <c r="AE118" s="706">
        <f t="shared" si="99"/>
        <v>2819</v>
      </c>
      <c r="AF118" s="706">
        <f>IF($C118="other",(1-$C104)*AD118,(1-(VLOOKUP($C118,'S3 - Screening Tool Metrics'!$C$3:$G$17,5,FALSE)/100))*AD118)</f>
        <v>0</v>
      </c>
      <c r="AG118" s="706">
        <f>IF($C118="other",$C104*AD118,(VLOOKUP($C118,'S3 - Screening Tool Metrics'!$C$3:$G$17,5,FALSE)/100)*AD118)</f>
        <v>0</v>
      </c>
      <c r="AH118" s="708">
        <f t="shared" si="93"/>
        <v>0</v>
      </c>
      <c r="AI118" s="707">
        <f t="shared" si="94"/>
        <v>298472.54666666669</v>
      </c>
      <c r="AJ118" s="706"/>
      <c r="AK118" s="706">
        <f t="shared" si="98"/>
        <v>2819</v>
      </c>
      <c r="AL118" s="706">
        <f>IF($C118="other",(1-$C104)*AJ118,(1-(VLOOKUP($C118,'S3 - Screening Tool Metrics'!$C$3:$G$17,5,FALSE)/100))*AJ118)</f>
        <v>0</v>
      </c>
      <c r="AM118" s="706">
        <f>IF($C118="other",$C104*AJ118,(VLOOKUP($C118,'S3 - Screening Tool Metrics'!$C$3:$G$17,5,FALSE)/100)*AJ118)</f>
        <v>0</v>
      </c>
      <c r="AN118" s="709">
        <f t="shared" si="95"/>
        <v>0</v>
      </c>
    </row>
    <row r="119" spans="2:40" ht="14" hidden="1" thickBot="1" x14ac:dyDescent="0.2">
      <c r="B119" s="700" t="s">
        <v>15</v>
      </c>
      <c r="C119" s="721" t="str">
        <f>$C106</f>
        <v>Other</v>
      </c>
      <c r="D119" s="552" t="s">
        <v>205</v>
      </c>
      <c r="E119" s="710">
        <f>VLOOKUP($B119&amp;"_"&amp;$D119,'App5 - CRUK Inci Rates'!C:H,6,FALSE)</f>
        <v>8.5</v>
      </c>
      <c r="F119" s="711">
        <f>VLOOKUP($B119&amp;"_"&amp;$D119,'App5 - CRUK Inci Rates'!C:H,3,FALSE)</f>
        <v>4.2</v>
      </c>
      <c r="G119" s="712">
        <f>VLOOKUP($B119&amp;"_"&amp;$D119,'App5 - CRUK Inci Rates'!C:J,8,FALSE)</f>
        <v>66041277.666666664</v>
      </c>
      <c r="H119" s="713">
        <f>VLOOKUP($B119&amp;"_"&amp;$D119,'App5 - CRUK Inci Rates'!C:J,7,FALSE)</f>
        <v>32583225.666666668</v>
      </c>
      <c r="I119" s="713">
        <f>VLOOKUP($B119&amp;"_"&amp;$D119,'App5 - CRUK Inci Rates'!C:J,4,FALSE)</f>
        <v>33458051.999999996</v>
      </c>
      <c r="J119" s="709">
        <f>VLOOKUP($B119&amp;"_"&amp;$D119,'App5 - CRUK Inci Rates'!C:K,9,FALSE)</f>
        <v>3803</v>
      </c>
      <c r="K119" s="706"/>
      <c r="L119" s="706"/>
      <c r="M119" s="706"/>
      <c r="N119" s="706"/>
      <c r="O119" s="706"/>
      <c r="P119" s="706"/>
      <c r="Q119" s="715"/>
      <c r="R119" s="716"/>
      <c r="S119" s="716"/>
      <c r="T119" s="716"/>
      <c r="U119" s="716"/>
      <c r="V119" s="717"/>
      <c r="W119" s="715"/>
      <c r="X119" s="716"/>
      <c r="Y119" s="716"/>
      <c r="Z119" s="716"/>
      <c r="AA119" s="716"/>
      <c r="AB119" s="717"/>
      <c r="AC119" s="716"/>
      <c r="AD119" s="716"/>
      <c r="AE119" s="716"/>
      <c r="AF119" s="716"/>
      <c r="AG119" s="716"/>
      <c r="AH119" s="717"/>
      <c r="AI119" s="715"/>
      <c r="AJ119" s="716"/>
      <c r="AK119" s="716"/>
      <c r="AL119" s="716"/>
      <c r="AM119" s="716"/>
      <c r="AN119" s="718"/>
    </row>
    <row r="120" spans="2:40" ht="21" customHeight="1" thickBot="1" x14ac:dyDescent="0.2">
      <c r="B120" s="686" t="s">
        <v>32</v>
      </c>
      <c r="C120" s="687">
        <v>0.8</v>
      </c>
      <c r="D120" s="688"/>
      <c r="E120" s="689"/>
      <c r="F120" s="690"/>
      <c r="G120" s="691"/>
      <c r="H120" s="692"/>
      <c r="I120" s="692"/>
      <c r="J120" s="693"/>
      <c r="K120" s="694"/>
      <c r="L120" s="694"/>
      <c r="M120" s="694"/>
      <c r="N120" s="694"/>
      <c r="O120" s="694"/>
      <c r="P120" s="694"/>
      <c r="Q120" s="695"/>
      <c r="R120" s="696"/>
      <c r="S120" s="696"/>
      <c r="T120" s="696"/>
      <c r="U120" s="696"/>
      <c r="V120" s="697"/>
      <c r="W120" s="695"/>
      <c r="X120" s="696"/>
      <c r="Y120" s="696"/>
      <c r="Z120" s="696"/>
      <c r="AA120" s="696"/>
      <c r="AB120" s="697"/>
      <c r="AC120" s="696"/>
      <c r="AD120" s="696"/>
      <c r="AE120" s="696"/>
      <c r="AF120" s="696"/>
      <c r="AG120" s="696"/>
      <c r="AH120" s="697"/>
      <c r="AI120" s="695"/>
      <c r="AJ120" s="696"/>
      <c r="AK120" s="696"/>
      <c r="AL120" s="696"/>
      <c r="AM120" s="696"/>
      <c r="AN120" s="699"/>
    </row>
    <row r="121" spans="2:40" x14ac:dyDescent="0.15">
      <c r="B121" s="700" t="s">
        <v>32</v>
      </c>
      <c r="C121" s="741" t="s">
        <v>180</v>
      </c>
      <c r="D121" s="593" t="s">
        <v>192</v>
      </c>
      <c r="E121" s="701">
        <f>VLOOKUP($B121&amp;"_"&amp;$D121,'App5 - CRUK Inci Rates'!C:H,6,FALSE)</f>
        <v>6</v>
      </c>
      <c r="F121" s="702">
        <f>VLOOKUP($B121&amp;"_"&amp;$D121,'App5 - CRUK Inci Rates'!C:H,3,FALSE)</f>
        <v>5.8</v>
      </c>
      <c r="G121" s="703">
        <f>VLOOKUP($B121&amp;"_"&amp;$D121,'App5 - CRUK Inci Rates'!C:J,8,FALSE)</f>
        <v>4075608</v>
      </c>
      <c r="H121" s="704">
        <f>VLOOKUP($B121&amp;"_"&amp;$D121,'App5 - CRUK Inci Rates'!C:J,7,FALSE)</f>
        <v>2021384.6666666667</v>
      </c>
      <c r="I121" s="704">
        <f>VLOOKUP($B121&amp;"_"&amp;$D121,'App5 - CRUK Inci Rates'!C:J,4,FALSE)</f>
        <v>2054223.3333333333</v>
      </c>
      <c r="J121" s="705">
        <f>VLOOKUP($B121&amp;"_"&amp;$D121,'App5 - CRUK Inci Rates'!C:K,9,FALSE)</f>
        <v>240</v>
      </c>
      <c r="K121" s="706">
        <f t="shared" si="69"/>
        <v>2037804</v>
      </c>
      <c r="L121" s="706">
        <f>VLOOKUP("*"&amp;$B121&amp;"*",'S4 - Summ PRS Characteristics'!$C$5:$Q$12,11,FALSE)*$J121</f>
        <v>137.59936629267395</v>
      </c>
      <c r="M121" s="706">
        <f t="shared" si="70"/>
        <v>102.40063370732605</v>
      </c>
      <c r="N121" s="706">
        <f>IF($C121="other",(1-$C$7)*L121,(1-(VLOOKUP($C121,'S3 - Screening Tool Metrics'!$C$3:$G$17,5,FALSE)/100))*L121)</f>
        <v>27.519873258534783</v>
      </c>
      <c r="O121" s="706">
        <f>IF($C121="other",$C$7*L121,(VLOOKUP($C121,'S3 - Screening Tool Metrics'!$C$3:$G$17,5,FALSE)/100)*L121)</f>
        <v>110.07949303413916</v>
      </c>
      <c r="P121" s="706">
        <f t="shared" si="71"/>
        <v>45.866455430891321</v>
      </c>
      <c r="Q121" s="707">
        <f t="shared" ref="Q121:Q134" si="100">$G121*Q$3</f>
        <v>815121.60000000009</v>
      </c>
      <c r="R121" s="706">
        <f>VLOOKUP("*"&amp;$B121&amp;"*",'S4 - Summ PRS Characteristics'!$C$5:$Q$12,12,FALSE)*$J121</f>
        <v>61.360157300901996</v>
      </c>
      <c r="S121" s="706">
        <f>$J121-R121</f>
        <v>178.63984269909801</v>
      </c>
      <c r="T121" s="706">
        <f>IF($C121="other",(1-$C120)*R121,(1-(VLOOKUP($C121,'S3 - Screening Tool Metrics'!$C$3:$G$17,5,FALSE)/100))*R121)</f>
        <v>12.272031460180397</v>
      </c>
      <c r="U121" s="706">
        <f>IF($C121="other",$C120*R121,(VLOOKUP($C121,'S3 - Screening Tool Metrics'!$C$3:$G$17,5,FALSE)/100)*R121)</f>
        <v>49.088125840721602</v>
      </c>
      <c r="V121" s="708">
        <f t="shared" ref="V121:V134" si="101">$U121/$J121*100</f>
        <v>20.453385766967333</v>
      </c>
      <c r="W121" s="707">
        <f t="shared" ref="W121:W134" si="102">$G121*W$3</f>
        <v>407560.80000000005</v>
      </c>
      <c r="X121" s="706">
        <f>VLOOKUP("*"&amp;$B121&amp;"*",'S4 - Summ PRS Characteristics'!$C$5:$Q$12,13,FALSE)*$J121</f>
        <v>32.733164846175612</v>
      </c>
      <c r="Y121" s="706">
        <f>$J121-X121</f>
        <v>207.26683515382439</v>
      </c>
      <c r="Z121" s="706">
        <f>IF($C121="other",(1-$C120)*X121,(1-(VLOOKUP($C121,'S3 - Screening Tool Metrics'!$C$3:$G$17,5,FALSE)/100))*X121)</f>
        <v>6.5466329692351213</v>
      </c>
      <c r="AA121" s="706">
        <f>IF($C121="other",$C120*X121,(VLOOKUP($C121,'S3 - Screening Tool Metrics'!$C$3:$G$17,5,FALSE)/100)*X121)</f>
        <v>26.186531876940492</v>
      </c>
      <c r="AB121" s="708">
        <f t="shared" ref="AB121:AB134" si="103">$AA121/$J121*100</f>
        <v>10.911054948725205</v>
      </c>
      <c r="AC121" s="706">
        <f t="shared" ref="AC121:AC134" si="104">$G121*AC$3</f>
        <v>203780.40000000002</v>
      </c>
      <c r="AD121" s="706">
        <f>VLOOKUP("*"&amp;$B121&amp;"*",'S4 - Summ PRS Characteristics'!$C$5:$Q$12,14,FALSE)*$J121</f>
        <v>17.315028782739564</v>
      </c>
      <c r="AE121" s="706">
        <f>$J121-AD121</f>
        <v>222.68497121726043</v>
      </c>
      <c r="AF121" s="706">
        <f>IF($C121="other",(1-$C120)*AD121,(1-(VLOOKUP($C121,'S3 - Screening Tool Metrics'!$C$3:$G$17,5,FALSE)/100))*AD121)</f>
        <v>3.4630057565479118</v>
      </c>
      <c r="AG121" s="706">
        <f>IF($C121="other",$C120*AD121,(VLOOKUP($C121,'S3 - Screening Tool Metrics'!$C$3:$G$17,5,FALSE)/100)*AD121)</f>
        <v>13.852023026191652</v>
      </c>
      <c r="AH121" s="708">
        <f t="shared" ref="AH121:AH134" si="105">$AG121/$J121*100</f>
        <v>5.7716762609131882</v>
      </c>
      <c r="AI121" s="707">
        <f t="shared" ref="AI121:AI134" si="106">$G121*AI$3</f>
        <v>40756.080000000002</v>
      </c>
      <c r="AJ121" s="706">
        <f>VLOOKUP("*"&amp;$B121&amp;"*",'S4 - Summ PRS Characteristics'!$C$5:$Q$12,15,FALSE)*$J121</f>
        <v>3.8681686887888902</v>
      </c>
      <c r="AK121" s="706">
        <f>$J121-AJ121</f>
        <v>236.1318313112111</v>
      </c>
      <c r="AL121" s="706">
        <f>IF($C121="other",(1-$C120)*AJ121,(1-(VLOOKUP($C121,'S3 - Screening Tool Metrics'!$C$3:$G$17,5,FALSE)/100))*AJ121)</f>
        <v>0.77363373775777788</v>
      </c>
      <c r="AM121" s="706">
        <f>IF($C121="other",$C120*AJ121,(VLOOKUP($C121,'S3 - Screening Tool Metrics'!$C$3:$G$17,5,FALSE)/100)*AJ121)</f>
        <v>3.0945349510311124</v>
      </c>
      <c r="AN121" s="709">
        <f t="shared" ref="AN121:AN134" si="107">$AM121/$J121*100</f>
        <v>1.2893895629296301</v>
      </c>
    </row>
    <row r="122" spans="2:40" x14ac:dyDescent="0.15">
      <c r="B122" s="700" t="s">
        <v>32</v>
      </c>
      <c r="C122" s="721" t="str">
        <f>$C121</f>
        <v>Other</v>
      </c>
      <c r="D122" s="552" t="s">
        <v>193</v>
      </c>
      <c r="E122" s="710">
        <f>VLOOKUP($B122&amp;"_"&amp;$D122,'App5 - CRUK Inci Rates'!C:H,6,FALSE)</f>
        <v>16.3</v>
      </c>
      <c r="F122" s="711">
        <f>VLOOKUP($B122&amp;"_"&amp;$D122,'App5 - CRUK Inci Rates'!C:H,3,FALSE)</f>
        <v>14.7</v>
      </c>
      <c r="G122" s="712">
        <f>VLOOKUP($B122&amp;"_"&amp;$D122,'App5 - CRUK Inci Rates'!C:J,8,FALSE)</f>
        <v>4567159.333333334</v>
      </c>
      <c r="H122" s="713">
        <f>VLOOKUP($B122&amp;"_"&amp;$D122,'App5 - CRUK Inci Rates'!C:J,7,FALSE)</f>
        <v>2251680</v>
      </c>
      <c r="I122" s="713">
        <f>VLOOKUP($B122&amp;"_"&amp;$D122,'App5 - CRUK Inci Rates'!C:J,4,FALSE)</f>
        <v>2315479.3333333335</v>
      </c>
      <c r="J122" s="709">
        <f>VLOOKUP($B122&amp;"_"&amp;$D122,'App5 - CRUK Inci Rates'!C:K,9,FALSE)</f>
        <v>706</v>
      </c>
      <c r="K122" s="706">
        <f t="shared" si="69"/>
        <v>2283579.666666667</v>
      </c>
      <c r="L122" s="706">
        <f>VLOOKUP("*"&amp;$B122&amp;"*",'S4 - Summ PRS Characteristics'!$C$5:$Q$12,11,FALSE)*$J122</f>
        <v>404.77146917761587</v>
      </c>
      <c r="M122" s="706">
        <f t="shared" si="70"/>
        <v>301.22853082238413</v>
      </c>
      <c r="N122" s="706">
        <f>IF($C122="other",(1-$C$7)*L122,(1-(VLOOKUP($C122,'S3 - Screening Tool Metrics'!$C$3:$G$17,5,FALSE)/100))*L122)</f>
        <v>80.95429383552316</v>
      </c>
      <c r="O122" s="706">
        <f>IF($C122="other",$C$7*L122,(VLOOKUP($C122,'S3 - Screening Tool Metrics'!$C$3:$G$17,5,FALSE)/100)*L122)</f>
        <v>323.8171753420927</v>
      </c>
      <c r="P122" s="706">
        <f t="shared" si="71"/>
        <v>45.866455430891321</v>
      </c>
      <c r="Q122" s="707">
        <f t="shared" si="100"/>
        <v>913431.86666666681</v>
      </c>
      <c r="R122" s="706">
        <f>VLOOKUP("*"&amp;$B122&amp;"*",'S4 - Summ PRS Characteristics'!$C$5:$Q$12,12,FALSE)*$J122</f>
        <v>180.50112939348671</v>
      </c>
      <c r="S122" s="706">
        <f t="shared" ref="S122:S134" si="108">$J122-R122</f>
        <v>525.49887060651326</v>
      </c>
      <c r="T122" s="706">
        <f>IF($C122="other",(1-$C120)*R122,(1-(VLOOKUP($C122,'S3 - Screening Tool Metrics'!$C$3:$G$17,5,FALSE)/100))*R122)</f>
        <v>36.10022587869733</v>
      </c>
      <c r="U122" s="706">
        <f>IF($C122="other",$C120*R122,(VLOOKUP($C122,'S3 - Screening Tool Metrics'!$C$3:$G$17,5,FALSE)/100)*R122)</f>
        <v>144.40090351478938</v>
      </c>
      <c r="V122" s="708">
        <f t="shared" si="101"/>
        <v>20.453385766967333</v>
      </c>
      <c r="W122" s="707">
        <f t="shared" si="102"/>
        <v>456715.93333333341</v>
      </c>
      <c r="X122" s="706">
        <f>VLOOKUP("*"&amp;$B122&amp;"*",'S4 - Summ PRS Characteristics'!$C$5:$Q$12,13,FALSE)*$J122</f>
        <v>96.290059922499921</v>
      </c>
      <c r="Y122" s="706">
        <f t="shared" ref="Y122:Y134" si="109">$J122-X122</f>
        <v>609.70994007750005</v>
      </c>
      <c r="Z122" s="706">
        <f>IF($C122="other",(1-$C120)*X122,(1-(VLOOKUP($C122,'S3 - Screening Tool Metrics'!$C$3:$G$17,5,FALSE)/100))*X122)</f>
        <v>19.25801198449998</v>
      </c>
      <c r="AA122" s="706">
        <f>IF($C122="other",$C120*X122,(VLOOKUP($C122,'S3 - Screening Tool Metrics'!$C$3:$G$17,5,FALSE)/100)*X122)</f>
        <v>77.032047937999948</v>
      </c>
      <c r="AB122" s="708">
        <f t="shared" si="103"/>
        <v>10.911054948725205</v>
      </c>
      <c r="AC122" s="706">
        <f t="shared" si="104"/>
        <v>228357.9666666667</v>
      </c>
      <c r="AD122" s="706">
        <f>VLOOKUP("*"&amp;$B122&amp;"*",'S4 - Summ PRS Characteristics'!$C$5:$Q$12,14,FALSE)*$J122</f>
        <v>50.935043002558885</v>
      </c>
      <c r="AE122" s="706">
        <f>$J122-AD122</f>
        <v>655.06495699744107</v>
      </c>
      <c r="AF122" s="706">
        <f>IF($C122="other",(1-$C120)*AD122,(1-(VLOOKUP($C122,'S3 - Screening Tool Metrics'!$C$3:$G$17,5,FALSE)/100))*AD122)</f>
        <v>10.187008600511774</v>
      </c>
      <c r="AG122" s="706">
        <f>IF($C122="other",$C120*AD122,(VLOOKUP($C122,'S3 - Screening Tool Metrics'!$C$3:$G$17,5,FALSE)/100)*AD122)</f>
        <v>40.748034402047111</v>
      </c>
      <c r="AH122" s="708">
        <f t="shared" si="105"/>
        <v>5.7716762609131882</v>
      </c>
      <c r="AI122" s="707">
        <f t="shared" si="106"/>
        <v>45671.593333333338</v>
      </c>
      <c r="AJ122" s="706">
        <f>VLOOKUP("*"&amp;$B122&amp;"*",'S4 - Summ PRS Characteristics'!$C$5:$Q$12,15,FALSE)*$J122</f>
        <v>11.378862892853986</v>
      </c>
      <c r="AK122" s="706">
        <f t="shared" ref="AK122:AK134" si="110">$J122-AJ122</f>
        <v>694.62113710714607</v>
      </c>
      <c r="AL122" s="706">
        <f>IF($C122="other",(1-$C120)*AJ122,(1-(VLOOKUP($C122,'S3 - Screening Tool Metrics'!$C$3:$G$17,5,FALSE)/100))*AJ122)</f>
        <v>2.2757725785707965</v>
      </c>
      <c r="AM122" s="706">
        <f>IF($C122="other",$C120*AJ122,(VLOOKUP($C122,'S3 - Screening Tool Metrics'!$C$3:$G$17,5,FALSE)/100)*AJ122)</f>
        <v>9.1030903142831896</v>
      </c>
      <c r="AN122" s="709">
        <f t="shared" si="107"/>
        <v>1.2893895629296304</v>
      </c>
    </row>
    <row r="123" spans="2:40" x14ac:dyDescent="0.15">
      <c r="B123" s="700" t="s">
        <v>32</v>
      </c>
      <c r="C123" s="721" t="str">
        <f>$C121</f>
        <v>Other</v>
      </c>
      <c r="D123" s="552" t="s">
        <v>194</v>
      </c>
      <c r="E123" s="710">
        <f>VLOOKUP($B123&amp;"_"&amp;$D123,'App5 - CRUK Inci Rates'!C:H,6,FALSE)</f>
        <v>33.4</v>
      </c>
      <c r="F123" s="711">
        <f>VLOOKUP($B123&amp;"_"&amp;$D123,'App5 - CRUK Inci Rates'!C:H,3,FALSE)</f>
        <v>31.5</v>
      </c>
      <c r="G123" s="712">
        <f>VLOOKUP($B123&amp;"_"&amp;$D123,'App5 - CRUK Inci Rates'!C:J,8,FALSE)</f>
        <v>4658110.666666666</v>
      </c>
      <c r="H123" s="713">
        <f>VLOOKUP($B123&amp;"_"&amp;$D123,'App5 - CRUK Inci Rates'!C:J,7,FALSE)</f>
        <v>2293472.6666666665</v>
      </c>
      <c r="I123" s="713">
        <f>VLOOKUP($B123&amp;"_"&amp;$D123,'App5 - CRUK Inci Rates'!C:J,4,FALSE)</f>
        <v>2364638</v>
      </c>
      <c r="J123" s="709">
        <f>VLOOKUP($B123&amp;"_"&amp;$D123,'App5 - CRUK Inci Rates'!C:K,9,FALSE)</f>
        <v>1512</v>
      </c>
      <c r="K123" s="706">
        <f t="shared" si="69"/>
        <v>2329055.333333333</v>
      </c>
      <c r="L123" s="706">
        <f>VLOOKUP("*"&amp;$B123&amp;"*",'S4 - Summ PRS Characteristics'!$C$5:$Q$12,11,FALSE)*$J123</f>
        <v>866.87600764384592</v>
      </c>
      <c r="M123" s="706">
        <f t="shared" si="70"/>
        <v>645.12399235615408</v>
      </c>
      <c r="N123" s="706">
        <f>IF($C123="other",(1-$C$7)*L123,(1-(VLOOKUP($C123,'S3 - Screening Tool Metrics'!$C$3:$G$17,5,FALSE)/100))*L123)</f>
        <v>173.37520152876914</v>
      </c>
      <c r="O123" s="706">
        <f>IF($C123="other",$C$7*L123,(VLOOKUP($C123,'S3 - Screening Tool Metrics'!$C$3:$G$17,5,FALSE)/100)*L123)</f>
        <v>693.50080611507678</v>
      </c>
      <c r="P123" s="706">
        <f t="shared" si="71"/>
        <v>45.866455430891321</v>
      </c>
      <c r="Q123" s="707">
        <f t="shared" si="100"/>
        <v>931622.1333333333</v>
      </c>
      <c r="R123" s="706">
        <f>VLOOKUP("*"&amp;$B123&amp;"*",'S4 - Summ PRS Characteristics'!$C$5:$Q$12,12,FALSE)*$J123</f>
        <v>386.56899099568255</v>
      </c>
      <c r="S123" s="706">
        <f t="shared" si="108"/>
        <v>1125.4310090043175</v>
      </c>
      <c r="T123" s="706">
        <f>IF($C123="other",(1-$C120)*R123,(1-(VLOOKUP($C123,'S3 - Screening Tool Metrics'!$C$3:$G$17,5,FALSE)/100))*R123)</f>
        <v>77.3137981991365</v>
      </c>
      <c r="U123" s="706">
        <f>IF($C123="other",$C120*R123,(VLOOKUP($C123,'S3 - Screening Tool Metrics'!$C$3:$G$17,5,FALSE)/100)*R123)</f>
        <v>309.25519279654605</v>
      </c>
      <c r="V123" s="708">
        <f t="shared" si="101"/>
        <v>20.453385766967333</v>
      </c>
      <c r="W123" s="707">
        <f t="shared" si="102"/>
        <v>465811.06666666665</v>
      </c>
      <c r="X123" s="706">
        <f>VLOOKUP("*"&amp;$B123&amp;"*",'S4 - Summ PRS Characteristics'!$C$5:$Q$12,13,FALSE)*$J123</f>
        <v>206.21893853090634</v>
      </c>
      <c r="Y123" s="706">
        <f t="shared" si="109"/>
        <v>1305.7810614690936</v>
      </c>
      <c r="Z123" s="706">
        <f>IF($C123="other",(1-$C120)*X123,(1-(VLOOKUP($C123,'S3 - Screening Tool Metrics'!$C$3:$G$17,5,FALSE)/100))*X123)</f>
        <v>41.243787706181259</v>
      </c>
      <c r="AA123" s="706">
        <f>IF($C123="other",$C120*X123,(VLOOKUP($C123,'S3 - Screening Tool Metrics'!$C$3:$G$17,5,FALSE)/100)*X123)</f>
        <v>164.97515082472509</v>
      </c>
      <c r="AB123" s="708">
        <f t="shared" si="103"/>
        <v>10.911054948725205</v>
      </c>
      <c r="AC123" s="706">
        <f t="shared" si="104"/>
        <v>232905.53333333333</v>
      </c>
      <c r="AD123" s="706">
        <f>VLOOKUP("*"&amp;$B123&amp;"*",'S4 - Summ PRS Characteristics'!$C$5:$Q$12,14,FALSE)*$J123</f>
        <v>109.08468133125925</v>
      </c>
      <c r="AE123" s="706">
        <f t="shared" ref="AE123:AE134" si="111">$J123-AD123</f>
        <v>1402.9153186687408</v>
      </c>
      <c r="AF123" s="706">
        <f>IF($C123="other",(1-$C120)*AD123,(1-(VLOOKUP($C123,'S3 - Screening Tool Metrics'!$C$3:$G$17,5,FALSE)/100))*AD123)</f>
        <v>21.816936266251844</v>
      </c>
      <c r="AG123" s="706">
        <f>IF($C123="other",$C120*AD123,(VLOOKUP($C123,'S3 - Screening Tool Metrics'!$C$3:$G$17,5,FALSE)/100)*AD123)</f>
        <v>87.267745065007404</v>
      </c>
      <c r="AH123" s="708">
        <f t="shared" si="105"/>
        <v>5.7716762609131882</v>
      </c>
      <c r="AI123" s="707">
        <f t="shared" si="106"/>
        <v>46581.106666666659</v>
      </c>
      <c r="AJ123" s="706">
        <f>VLOOKUP("*"&amp;$B123&amp;"*",'S4 - Summ PRS Characteristics'!$C$5:$Q$12,15,FALSE)*$J123</f>
        <v>24.369462739370007</v>
      </c>
      <c r="AK123" s="706">
        <f t="shared" si="110"/>
        <v>1487.63053726063</v>
      </c>
      <c r="AL123" s="706">
        <f>IF($C123="other",(1-$C120)*AJ123,(1-(VLOOKUP($C123,'S3 - Screening Tool Metrics'!$C$3:$G$17,5,FALSE)/100))*AJ123)</f>
        <v>4.8738925478740001</v>
      </c>
      <c r="AM123" s="706">
        <f>IF($C123="other",$C120*AJ123,(VLOOKUP($C123,'S3 - Screening Tool Metrics'!$C$3:$G$17,5,FALSE)/100)*AJ123)</f>
        <v>19.495570191496007</v>
      </c>
      <c r="AN123" s="709">
        <f t="shared" si="107"/>
        <v>1.2893895629296301</v>
      </c>
    </row>
    <row r="124" spans="2:40" x14ac:dyDescent="0.15">
      <c r="B124" s="700" t="s">
        <v>32</v>
      </c>
      <c r="C124" s="721" t="str">
        <f>$C121</f>
        <v>Other</v>
      </c>
      <c r="D124" s="552" t="s">
        <v>195</v>
      </c>
      <c r="E124" s="710">
        <f>VLOOKUP($B124&amp;"_"&amp;$D124,'App5 - CRUK Inci Rates'!C:H,6,FALSE)</f>
        <v>71.400000000000006</v>
      </c>
      <c r="F124" s="711">
        <f>VLOOKUP($B124&amp;"_"&amp;$D124,'App5 - CRUK Inci Rates'!C:H,3,FALSE)</f>
        <v>67.099999999999994</v>
      </c>
      <c r="G124" s="712">
        <f>VLOOKUP($B124&amp;"_"&amp;$D124,'App5 - CRUK Inci Rates'!C:J,8,FALSE)</f>
        <v>4181606</v>
      </c>
      <c r="H124" s="713">
        <f>VLOOKUP($B124&amp;"_"&amp;$D124,'App5 - CRUK Inci Rates'!C:J,7,FALSE)</f>
        <v>2061918.6666666667</v>
      </c>
      <c r="I124" s="713">
        <f>VLOOKUP($B124&amp;"_"&amp;$D124,'App5 - CRUK Inci Rates'!C:J,4,FALSE)</f>
        <v>2119687.3333333335</v>
      </c>
      <c r="J124" s="709">
        <f>VLOOKUP($B124&amp;"_"&amp;$D124,'App5 - CRUK Inci Rates'!C:K,9,FALSE)</f>
        <v>2896</v>
      </c>
      <c r="K124" s="706">
        <f t="shared" si="69"/>
        <v>2090803</v>
      </c>
      <c r="L124" s="706">
        <f>VLOOKUP("*"&amp;$B124&amp;"*",'S4 - Summ PRS Characteristics'!$C$5:$Q$12,11,FALSE)*$J124</f>
        <v>1660.3656865982657</v>
      </c>
      <c r="M124" s="706">
        <f t="shared" si="70"/>
        <v>1235.6343134017343</v>
      </c>
      <c r="N124" s="706">
        <f>IF($C124="other",(1-$C$7)*L124,(1-(VLOOKUP($C124,'S3 - Screening Tool Metrics'!$C$3:$G$17,5,FALSE)/100))*L124)</f>
        <v>332.07313731965309</v>
      </c>
      <c r="O124" s="706">
        <f>IF($C124="other",$C$7*L124,(VLOOKUP($C124,'S3 - Screening Tool Metrics'!$C$3:$G$17,5,FALSE)/100)*L124)</f>
        <v>1328.2925492786126</v>
      </c>
      <c r="P124" s="706">
        <f t="shared" si="71"/>
        <v>45.866455430891321</v>
      </c>
      <c r="Q124" s="707">
        <f t="shared" si="100"/>
        <v>836321.20000000007</v>
      </c>
      <c r="R124" s="706">
        <f>VLOOKUP("*"&amp;$B124&amp;"*",'S4 - Summ PRS Characteristics'!$C$5:$Q$12,12,FALSE)*$J124</f>
        <v>740.41256476421745</v>
      </c>
      <c r="S124" s="706">
        <f t="shared" si="108"/>
        <v>2155.5874352357823</v>
      </c>
      <c r="T124" s="706">
        <f>IF($C124="other",(1-$C120)*R124,(1-(VLOOKUP($C124,'S3 - Screening Tool Metrics'!$C$3:$G$17,5,FALSE)/100))*R124)</f>
        <v>148.08251295284344</v>
      </c>
      <c r="U124" s="706">
        <f>IF($C124="other",$C120*R124,(VLOOKUP($C124,'S3 - Screening Tool Metrics'!$C$3:$G$17,5,FALSE)/100)*R124)</f>
        <v>592.33005181137401</v>
      </c>
      <c r="V124" s="708">
        <f t="shared" si="101"/>
        <v>20.453385766967337</v>
      </c>
      <c r="W124" s="707">
        <f t="shared" si="102"/>
        <v>418160.60000000003</v>
      </c>
      <c r="X124" s="706">
        <f>VLOOKUP("*"&amp;$B124&amp;"*",'S4 - Summ PRS Characteristics'!$C$5:$Q$12,13,FALSE)*$J124</f>
        <v>394.98018914385233</v>
      </c>
      <c r="Y124" s="706">
        <f t="shared" si="109"/>
        <v>2501.0198108561476</v>
      </c>
      <c r="Z124" s="706">
        <f>IF($C124="other",(1-$C120)*X124,(1-(VLOOKUP($C124,'S3 - Screening Tool Metrics'!$C$3:$G$17,5,FALSE)/100))*X124)</f>
        <v>78.996037828770454</v>
      </c>
      <c r="AA124" s="706">
        <f>IF($C124="other",$C120*X124,(VLOOKUP($C124,'S3 - Screening Tool Metrics'!$C$3:$G$17,5,FALSE)/100)*X124)</f>
        <v>315.98415131508187</v>
      </c>
      <c r="AB124" s="708">
        <f t="shared" si="103"/>
        <v>10.911054948725203</v>
      </c>
      <c r="AC124" s="706">
        <f t="shared" si="104"/>
        <v>209080.30000000002</v>
      </c>
      <c r="AD124" s="706">
        <f>VLOOKUP("*"&amp;$B124&amp;"*",'S4 - Summ PRS Characteristics'!$C$5:$Q$12,14,FALSE)*$J124</f>
        <v>208.9346806450574</v>
      </c>
      <c r="AE124" s="706">
        <f t="shared" si="111"/>
        <v>2687.0653193549424</v>
      </c>
      <c r="AF124" s="706">
        <f>IF($C124="other",(1-$C120)*AD124,(1-(VLOOKUP($C124,'S3 - Screening Tool Metrics'!$C$3:$G$17,5,FALSE)/100))*AD124)</f>
        <v>41.786936129011472</v>
      </c>
      <c r="AG124" s="706">
        <f>IF($C124="other",$C120*AD124,(VLOOKUP($C124,'S3 - Screening Tool Metrics'!$C$3:$G$17,5,FALSE)/100)*AD124)</f>
        <v>167.14774451604592</v>
      </c>
      <c r="AH124" s="708">
        <f t="shared" si="105"/>
        <v>5.7716762609131873</v>
      </c>
      <c r="AI124" s="707">
        <f t="shared" si="106"/>
        <v>41816.06</v>
      </c>
      <c r="AJ124" s="706">
        <f>VLOOKUP("*"&amp;$B124&amp;"*",'S4 - Summ PRS Characteristics'!$C$5:$Q$12,15,FALSE)*$J124</f>
        <v>46.67590217805261</v>
      </c>
      <c r="AK124" s="706">
        <f t="shared" si="110"/>
        <v>2849.3240978219474</v>
      </c>
      <c r="AL124" s="706">
        <f>IF($C124="other",(1-$C120)*AJ124,(1-(VLOOKUP($C124,'S3 - Screening Tool Metrics'!$C$3:$G$17,5,FALSE)/100))*AJ124)</f>
        <v>9.3351804356105195</v>
      </c>
      <c r="AM124" s="706">
        <f>IF($C124="other",$C120*AJ124,(VLOOKUP($C124,'S3 - Screening Tool Metrics'!$C$3:$G$17,5,FALSE)/100)*AJ124)</f>
        <v>37.340721742442092</v>
      </c>
      <c r="AN124" s="709">
        <f t="shared" si="107"/>
        <v>1.2893895629296304</v>
      </c>
    </row>
    <row r="125" spans="2:40" x14ac:dyDescent="0.15">
      <c r="B125" s="700" t="s">
        <v>32</v>
      </c>
      <c r="C125" s="721" t="str">
        <f>$C121</f>
        <v>Other</v>
      </c>
      <c r="D125" s="552" t="s">
        <v>196</v>
      </c>
      <c r="E125" s="710">
        <f>VLOOKUP($B125&amp;"_"&amp;$D125,'App5 - CRUK Inci Rates'!C:H,6,FALSE)</f>
        <v>137</v>
      </c>
      <c r="F125" s="711">
        <f>VLOOKUP($B125&amp;"_"&amp;$D125,'App5 - CRUK Inci Rates'!C:H,3,FALSE)</f>
        <v>124.9</v>
      </c>
      <c r="G125" s="712">
        <f>VLOOKUP($B125&amp;"_"&amp;$D125,'App5 - CRUK Inci Rates'!C:J,8,FALSE)</f>
        <v>3602002</v>
      </c>
      <c r="H125" s="713">
        <f>VLOOKUP($B125&amp;"_"&amp;$D125,'App5 - CRUK Inci Rates'!C:J,7,FALSE)</f>
        <v>1764828</v>
      </c>
      <c r="I125" s="713">
        <f>VLOOKUP($B125&amp;"_"&amp;$D125,'App5 - CRUK Inci Rates'!C:J,4,FALSE)</f>
        <v>1837174</v>
      </c>
      <c r="J125" s="709">
        <f>VLOOKUP($B125&amp;"_"&amp;$D125,'App5 - CRUK Inci Rates'!C:K,9,FALSE)</f>
        <v>4711</v>
      </c>
      <c r="K125" s="706">
        <f t="shared" si="69"/>
        <v>1801001</v>
      </c>
      <c r="L125" s="706">
        <f>VLOOKUP("*"&amp;$B125&amp;"*",'S4 - Summ PRS Characteristics'!$C$5:$Q$12,11,FALSE)*$J125</f>
        <v>2700.9608941866127</v>
      </c>
      <c r="M125" s="706">
        <f t="shared" si="70"/>
        <v>2010.0391058133873</v>
      </c>
      <c r="N125" s="706">
        <f>IF($C125="other",(1-$C$7)*L125,(1-(VLOOKUP($C125,'S3 - Screening Tool Metrics'!$C$3:$G$17,5,FALSE)/100))*L125)</f>
        <v>540.19217883732244</v>
      </c>
      <c r="O125" s="706">
        <f>IF($C125="other",$C$7*L125,(VLOOKUP($C125,'S3 - Screening Tool Metrics'!$C$3:$G$17,5,FALSE)/100)*L125)</f>
        <v>2160.7687153492902</v>
      </c>
      <c r="P125" s="706">
        <f t="shared" si="71"/>
        <v>45.866455430891321</v>
      </c>
      <c r="Q125" s="707">
        <f t="shared" si="100"/>
        <v>720400.4</v>
      </c>
      <c r="R125" s="706">
        <f>VLOOKUP("*"&amp;$B125&amp;"*",'S4 - Summ PRS Characteristics'!$C$5:$Q$12,12,FALSE)*$J125</f>
        <v>1204.4487543522887</v>
      </c>
      <c r="S125" s="706">
        <f t="shared" si="108"/>
        <v>3506.5512456477113</v>
      </c>
      <c r="T125" s="706">
        <f>IF($C125="other",(1-$C120)*R125,(1-(VLOOKUP($C125,'S3 - Screening Tool Metrics'!$C$3:$G$17,5,FALSE)/100))*R125)</f>
        <v>240.88975087045768</v>
      </c>
      <c r="U125" s="706">
        <f>IF($C125="other",$C120*R125,(VLOOKUP($C125,'S3 - Screening Tool Metrics'!$C$3:$G$17,5,FALSE)/100)*R125)</f>
        <v>963.55900348183104</v>
      </c>
      <c r="V125" s="708">
        <f t="shared" si="101"/>
        <v>20.453385766967333</v>
      </c>
      <c r="W125" s="707">
        <f t="shared" si="102"/>
        <v>360200.2</v>
      </c>
      <c r="X125" s="706">
        <f>VLOOKUP("*"&amp;$B125&amp;"*",'S4 - Summ PRS Characteristics'!$C$5:$Q$12,13,FALSE)*$J125</f>
        <v>642.52474829305538</v>
      </c>
      <c r="Y125" s="706">
        <f t="shared" si="109"/>
        <v>4068.4752517069446</v>
      </c>
      <c r="Z125" s="706">
        <f>IF($C125="other",(1-$C120)*X125,(1-(VLOOKUP($C125,'S3 - Screening Tool Metrics'!$C$3:$G$17,5,FALSE)/100))*X125)</f>
        <v>128.50494965861105</v>
      </c>
      <c r="AA125" s="706">
        <f>IF($C125="other",$C120*X125,(VLOOKUP($C125,'S3 - Screening Tool Metrics'!$C$3:$G$17,5,FALSE)/100)*X125)</f>
        <v>514.01979863444433</v>
      </c>
      <c r="AB125" s="708">
        <f t="shared" si="103"/>
        <v>10.911054948725203</v>
      </c>
      <c r="AC125" s="706">
        <f t="shared" si="104"/>
        <v>180100.1</v>
      </c>
      <c r="AD125" s="706">
        <f>VLOOKUP("*"&amp;$B125&amp;"*",'S4 - Summ PRS Characteristics'!$C$5:$Q$12,14,FALSE)*$J125</f>
        <v>339.87958581452534</v>
      </c>
      <c r="AE125" s="706">
        <f t="shared" si="111"/>
        <v>4371.1204141854751</v>
      </c>
      <c r="AF125" s="706">
        <f>IF($C125="other",(1-$C120)*AD125,(1-(VLOOKUP($C125,'S3 - Screening Tool Metrics'!$C$3:$G$17,5,FALSE)/100))*AD125)</f>
        <v>67.975917162905048</v>
      </c>
      <c r="AG125" s="706">
        <f>IF($C125="other",$C120*AD125,(VLOOKUP($C125,'S3 - Screening Tool Metrics'!$C$3:$G$17,5,FALSE)/100)*AD125)</f>
        <v>271.90366865162031</v>
      </c>
      <c r="AH125" s="708">
        <f t="shared" si="105"/>
        <v>5.7716762609131882</v>
      </c>
      <c r="AI125" s="707">
        <f t="shared" si="106"/>
        <v>36020.020000000004</v>
      </c>
      <c r="AJ125" s="706">
        <f>VLOOKUP("*"&amp;$B125&amp;"*",'S4 - Summ PRS Characteristics'!$C$5:$Q$12,15,FALSE)*$J125</f>
        <v>75.928927887018588</v>
      </c>
      <c r="AK125" s="706">
        <f t="shared" si="110"/>
        <v>4635.0710721129817</v>
      </c>
      <c r="AL125" s="706">
        <f>IF($C125="other",(1-$C120)*AJ125,(1-(VLOOKUP($C125,'S3 - Screening Tool Metrics'!$C$3:$G$17,5,FALSE)/100))*AJ125)</f>
        <v>15.185785577403715</v>
      </c>
      <c r="AM125" s="706">
        <f>IF($C125="other",$C120*AJ125,(VLOOKUP($C125,'S3 - Screening Tool Metrics'!$C$3:$G$17,5,FALSE)/100)*AJ125)</f>
        <v>60.743142309614875</v>
      </c>
      <c r="AN125" s="709">
        <f t="shared" si="107"/>
        <v>1.2893895629296301</v>
      </c>
    </row>
    <row r="126" spans="2:40" x14ac:dyDescent="0.15">
      <c r="B126" s="700" t="s">
        <v>32</v>
      </c>
      <c r="C126" s="721" t="str">
        <f>$C121</f>
        <v>Other</v>
      </c>
      <c r="D126" s="552" t="s">
        <v>197</v>
      </c>
      <c r="E126" s="710">
        <f>VLOOKUP($B126&amp;"_"&amp;$D126,'App5 - CRUK Inci Rates'!C:H,6,FALSE)</f>
        <v>229.5</v>
      </c>
      <c r="F126" s="711">
        <f>VLOOKUP($B126&amp;"_"&amp;$D126,'App5 - CRUK Inci Rates'!C:H,3,FALSE)</f>
        <v>197.8</v>
      </c>
      <c r="G126" s="712">
        <f>VLOOKUP($B126&amp;"_"&amp;$D126,'App5 - CRUK Inci Rates'!C:J,8,FALSE)</f>
        <v>3502183.333333333</v>
      </c>
      <c r="H126" s="713">
        <f>VLOOKUP($B126&amp;"_"&amp;$D126,'App5 - CRUK Inci Rates'!C:J,7,FALSE)</f>
        <v>1696993.3333333333</v>
      </c>
      <c r="I126" s="713">
        <f>VLOOKUP($B126&amp;"_"&amp;$D126,'App5 - CRUK Inci Rates'!C:J,4,FALSE)</f>
        <v>1805190</v>
      </c>
      <c r="J126" s="709">
        <f>VLOOKUP($B126&amp;"_"&amp;$D126,'App5 - CRUK Inci Rates'!C:K,9,FALSE)</f>
        <v>7466</v>
      </c>
      <c r="K126" s="706">
        <f t="shared" si="69"/>
        <v>1751091.6666666665</v>
      </c>
      <c r="L126" s="706">
        <f>VLOOKUP("*"&amp;$B126&amp;"*",'S4 - Summ PRS Characteristics'!$C$5:$Q$12,11,FALSE)*$J126</f>
        <v>4280.4869530879323</v>
      </c>
      <c r="M126" s="706">
        <f t="shared" si="70"/>
        <v>3185.5130469120677</v>
      </c>
      <c r="N126" s="706">
        <f>IF($C126="other",(1-$C$7)*L126,(1-(VLOOKUP($C126,'S3 - Screening Tool Metrics'!$C$3:$G$17,5,FALSE)/100))*L126)</f>
        <v>856.09739061758626</v>
      </c>
      <c r="O126" s="706">
        <f>IF($C126="other",$C$7*L126,(VLOOKUP($C126,'S3 - Screening Tool Metrics'!$C$3:$G$17,5,FALSE)/100)*L126)</f>
        <v>3424.3895624703459</v>
      </c>
      <c r="P126" s="706">
        <f t="shared" si="71"/>
        <v>45.866455430891321</v>
      </c>
      <c r="Q126" s="707">
        <f t="shared" si="100"/>
        <v>700436.66666666663</v>
      </c>
      <c r="R126" s="706">
        <f>VLOOKUP("*"&amp;$B126&amp;"*",'S4 - Summ PRS Characteristics'!$C$5:$Q$12,12,FALSE)*$J126</f>
        <v>1908.8122267022261</v>
      </c>
      <c r="S126" s="706">
        <f t="shared" si="108"/>
        <v>5557.1877732977737</v>
      </c>
      <c r="T126" s="706">
        <f>IF($C126="other",(1-$C120)*R126,(1-(VLOOKUP($C126,'S3 - Screening Tool Metrics'!$C$3:$G$17,5,FALSE)/100))*R126)</f>
        <v>381.76244534044514</v>
      </c>
      <c r="U126" s="706">
        <f>IF($C126="other",$C120*R126,(VLOOKUP($C126,'S3 - Screening Tool Metrics'!$C$3:$G$17,5,FALSE)/100)*R126)</f>
        <v>1527.049781361781</v>
      </c>
      <c r="V126" s="708">
        <f t="shared" si="101"/>
        <v>20.453385766967333</v>
      </c>
      <c r="W126" s="707">
        <f t="shared" si="102"/>
        <v>350218.33333333331</v>
      </c>
      <c r="X126" s="706">
        <f>VLOOKUP("*"&amp;$B126&amp;"*",'S4 - Summ PRS Characteristics'!$C$5:$Q$12,13,FALSE)*$J126</f>
        <v>1018.2742030897796</v>
      </c>
      <c r="Y126" s="706">
        <f t="shared" si="109"/>
        <v>6447.7257969102202</v>
      </c>
      <c r="Z126" s="706">
        <f>IF($C126="other",(1-$C120)*X126,(1-(VLOOKUP($C126,'S3 - Screening Tool Metrics'!$C$3:$G$17,5,FALSE)/100))*X126)</f>
        <v>203.65484061795587</v>
      </c>
      <c r="AA126" s="706">
        <f>IF($C126="other",$C120*X126,(VLOOKUP($C126,'S3 - Screening Tool Metrics'!$C$3:$G$17,5,FALSE)/100)*X126)</f>
        <v>814.61936247182371</v>
      </c>
      <c r="AB126" s="708">
        <f t="shared" si="103"/>
        <v>10.911054948725203</v>
      </c>
      <c r="AC126" s="706">
        <f t="shared" si="104"/>
        <v>175109.16666666666</v>
      </c>
      <c r="AD126" s="706">
        <f>VLOOKUP("*"&amp;$B126&amp;"*",'S4 - Summ PRS Characteristics'!$C$5:$Q$12,14,FALSE)*$J126</f>
        <v>538.64168704972326</v>
      </c>
      <c r="AE126" s="706">
        <f t="shared" si="111"/>
        <v>6927.3583129502767</v>
      </c>
      <c r="AF126" s="706">
        <f>IF($C126="other",(1-$C120)*AD126,(1-(VLOOKUP($C126,'S3 - Screening Tool Metrics'!$C$3:$G$17,5,FALSE)/100))*AD126)</f>
        <v>107.72833740994463</v>
      </c>
      <c r="AG126" s="706">
        <f>IF($C126="other",$C120*AD126,(VLOOKUP($C126,'S3 - Screening Tool Metrics'!$C$3:$G$17,5,FALSE)/100)*AD126)</f>
        <v>430.91334963977863</v>
      </c>
      <c r="AH126" s="708">
        <f t="shared" si="105"/>
        <v>5.7716762609131882</v>
      </c>
      <c r="AI126" s="707">
        <f t="shared" si="106"/>
        <v>35021.833333333328</v>
      </c>
      <c r="AJ126" s="706">
        <f>VLOOKUP("*"&amp;$B126&amp;"*",'S4 - Summ PRS Characteristics'!$C$5:$Q$12,15,FALSE)*$J126</f>
        <v>120.33228096040773</v>
      </c>
      <c r="AK126" s="706">
        <f t="shared" si="110"/>
        <v>7345.6677190395922</v>
      </c>
      <c r="AL126" s="706">
        <f>IF($C126="other",(1-$C120)*AJ126,(1-(VLOOKUP($C126,'S3 - Screening Tool Metrics'!$C$3:$G$17,5,FALSE)/100))*AJ126)</f>
        <v>24.066456192081539</v>
      </c>
      <c r="AM126" s="706">
        <f>IF($C126="other",$C120*AJ126,(VLOOKUP($C126,'S3 - Screening Tool Metrics'!$C$3:$G$17,5,FALSE)/100)*AJ126)</f>
        <v>96.265824768326183</v>
      </c>
      <c r="AN126" s="709">
        <f t="shared" si="107"/>
        <v>1.2893895629296301</v>
      </c>
    </row>
    <row r="127" spans="2:40" x14ac:dyDescent="0.15">
      <c r="B127" s="700" t="s">
        <v>32</v>
      </c>
      <c r="C127" s="721" t="str">
        <f>$C121</f>
        <v>Other</v>
      </c>
      <c r="D127" s="552" t="s">
        <v>198</v>
      </c>
      <c r="E127" s="710">
        <f>VLOOKUP($B127&amp;"_"&amp;$D127,'App5 - CRUK Inci Rates'!C:H,6,FALSE)</f>
        <v>335</v>
      </c>
      <c r="F127" s="711">
        <f>VLOOKUP($B127&amp;"_"&amp;$D127,'App5 - CRUK Inci Rates'!C:H,3,FALSE)</f>
        <v>278.10000000000002</v>
      </c>
      <c r="G127" s="712">
        <f>VLOOKUP($B127&amp;"_"&amp;$D127,'App5 - CRUK Inci Rates'!C:J,8,FALSE)</f>
        <v>3071574.666666667</v>
      </c>
      <c r="H127" s="713">
        <f>VLOOKUP($B127&amp;"_"&amp;$D127,'App5 - CRUK Inci Rates'!C:J,7,FALSE)</f>
        <v>1467965</v>
      </c>
      <c r="I127" s="713">
        <f>VLOOKUP($B127&amp;"_"&amp;$D127,'App5 - CRUK Inci Rates'!C:J,4,FALSE)</f>
        <v>1603609.6666666667</v>
      </c>
      <c r="J127" s="709">
        <f>VLOOKUP($B127&amp;"_"&amp;$D127,'App5 - CRUK Inci Rates'!C:K,9,FALSE)</f>
        <v>9378</v>
      </c>
      <c r="K127" s="706">
        <f t="shared" si="69"/>
        <v>1535787.3333333335</v>
      </c>
      <c r="L127" s="706">
        <f>VLOOKUP("*"&amp;$B127&amp;"*",'S4 - Summ PRS Characteristics'!$C$5:$Q$12,11,FALSE)*$J127</f>
        <v>5376.6952378862343</v>
      </c>
      <c r="M127" s="706">
        <f t="shared" si="70"/>
        <v>4001.3047621137657</v>
      </c>
      <c r="N127" s="706">
        <f>IF($C127="other",(1-$C$7)*L127,(1-(VLOOKUP($C127,'S3 - Screening Tool Metrics'!$C$3:$G$17,5,FALSE)/100))*L127)</f>
        <v>1075.3390475772467</v>
      </c>
      <c r="O127" s="706">
        <f>IF($C127="other",$C$7*L127,(VLOOKUP($C127,'S3 - Screening Tool Metrics'!$C$3:$G$17,5,FALSE)/100)*L127)</f>
        <v>4301.3561903089876</v>
      </c>
      <c r="P127" s="706">
        <f t="shared" si="71"/>
        <v>45.866455430891321</v>
      </c>
      <c r="Q127" s="707">
        <f t="shared" si="100"/>
        <v>614314.93333333347</v>
      </c>
      <c r="R127" s="706">
        <f>VLOOKUP("*"&amp;$B127&amp;"*",'S4 - Summ PRS Characteristics'!$C$5:$Q$12,12,FALSE)*$J127</f>
        <v>2397.6481465327456</v>
      </c>
      <c r="S127" s="706">
        <f t="shared" si="108"/>
        <v>6980.3518534672548</v>
      </c>
      <c r="T127" s="706">
        <f>IF($C127="other",(1-$C120)*R127,(1-(VLOOKUP($C127,'S3 - Screening Tool Metrics'!$C$3:$G$17,5,FALSE)/100))*R127)</f>
        <v>479.529629306549</v>
      </c>
      <c r="U127" s="706">
        <f>IF($C127="other",$C120*R127,(VLOOKUP($C127,'S3 - Screening Tool Metrics'!$C$3:$G$17,5,FALSE)/100)*R127)</f>
        <v>1918.1185172261967</v>
      </c>
      <c r="V127" s="708">
        <f t="shared" si="101"/>
        <v>20.453385766967337</v>
      </c>
      <c r="W127" s="707">
        <f t="shared" si="102"/>
        <v>307157.46666666673</v>
      </c>
      <c r="X127" s="706">
        <f>VLOOKUP("*"&amp;$B127&amp;"*",'S4 - Summ PRS Characteristics'!$C$5:$Q$12,13,FALSE)*$J127</f>
        <v>1279.0484163643118</v>
      </c>
      <c r="Y127" s="706">
        <f t="shared" si="109"/>
        <v>8098.9515836356877</v>
      </c>
      <c r="Z127" s="706">
        <f>IF($C127="other",(1-$C120)*X127,(1-(VLOOKUP($C127,'S3 - Screening Tool Metrics'!$C$3:$G$17,5,FALSE)/100))*X127)</f>
        <v>255.80968327286232</v>
      </c>
      <c r="AA127" s="706">
        <f>IF($C127="other",$C120*X127,(VLOOKUP($C127,'S3 - Screening Tool Metrics'!$C$3:$G$17,5,FALSE)/100)*X127)</f>
        <v>1023.2387330914495</v>
      </c>
      <c r="AB127" s="708">
        <f t="shared" si="103"/>
        <v>10.911054948725203</v>
      </c>
      <c r="AC127" s="706">
        <f t="shared" si="104"/>
        <v>153578.73333333337</v>
      </c>
      <c r="AD127" s="706">
        <f>VLOOKUP("*"&amp;$B127&amp;"*",'S4 - Summ PRS Characteristics'!$C$5:$Q$12,14,FALSE)*$J127</f>
        <v>676.58474968554845</v>
      </c>
      <c r="AE127" s="706">
        <f t="shared" si="111"/>
        <v>8701.4152503144524</v>
      </c>
      <c r="AF127" s="706">
        <f>IF($C127="other",(1-$C120)*AD127,(1-(VLOOKUP($C127,'S3 - Screening Tool Metrics'!$C$3:$G$17,5,FALSE)/100))*AD127)</f>
        <v>135.31694993710965</v>
      </c>
      <c r="AG127" s="706">
        <f>IF($C127="other",$C120*AD127,(VLOOKUP($C127,'S3 - Screening Tool Metrics'!$C$3:$G$17,5,FALSE)/100)*AD127)</f>
        <v>541.26779974843873</v>
      </c>
      <c r="AH127" s="708">
        <f t="shared" si="105"/>
        <v>5.7716762609131873</v>
      </c>
      <c r="AI127" s="707">
        <f t="shared" si="106"/>
        <v>30715.74666666667</v>
      </c>
      <c r="AJ127" s="706">
        <f>VLOOKUP("*"&amp;$B127&amp;"*",'S4 - Summ PRS Characteristics'!$C$5:$Q$12,15,FALSE)*$J127</f>
        <v>151.14869151442588</v>
      </c>
      <c r="AK127" s="706">
        <f t="shared" si="110"/>
        <v>9226.8513084855749</v>
      </c>
      <c r="AL127" s="706">
        <f>IF($C127="other",(1-$C120)*AJ127,(1-(VLOOKUP($C127,'S3 - Screening Tool Metrics'!$C$3:$G$17,5,FALSE)/100))*AJ127)</f>
        <v>30.22973830288517</v>
      </c>
      <c r="AM127" s="706">
        <f>IF($C127="other",$C120*AJ127,(VLOOKUP($C127,'S3 - Screening Tool Metrics'!$C$3:$G$17,5,FALSE)/100)*AJ127)</f>
        <v>120.91895321154071</v>
      </c>
      <c r="AN127" s="709">
        <f t="shared" si="107"/>
        <v>1.2893895629296301</v>
      </c>
    </row>
    <row r="128" spans="2:40" x14ac:dyDescent="0.15">
      <c r="B128" s="700" t="s">
        <v>32</v>
      </c>
      <c r="C128" s="721" t="str">
        <f>$C121</f>
        <v>Other</v>
      </c>
      <c r="D128" s="552" t="s">
        <v>199</v>
      </c>
      <c r="E128" s="710">
        <f>VLOOKUP($B128&amp;"_"&amp;$D128,'App5 - CRUK Inci Rates'!C:H,6,FALSE)</f>
        <v>462.2</v>
      </c>
      <c r="F128" s="711">
        <f>VLOOKUP($B128&amp;"_"&amp;$D128,'App5 - CRUK Inci Rates'!C:H,3,FALSE)</f>
        <v>340.5</v>
      </c>
      <c r="G128" s="712">
        <f>VLOOKUP($B128&amp;"_"&amp;$D128,'App5 - CRUK Inci Rates'!C:J,8,FALSE)</f>
        <v>2189010.6666666665</v>
      </c>
      <c r="H128" s="713">
        <f>VLOOKUP($B128&amp;"_"&amp;$D128,'App5 - CRUK Inci Rates'!C:J,7,FALSE)</f>
        <v>1007365.3333333334</v>
      </c>
      <c r="I128" s="713">
        <f>VLOOKUP($B128&amp;"_"&amp;$D128,'App5 - CRUK Inci Rates'!C:J,4,FALSE)</f>
        <v>1181645.3333333333</v>
      </c>
      <c r="J128" s="709">
        <f>VLOOKUP($B128&amp;"_"&amp;$D128,'App5 - CRUK Inci Rates'!C:K,9,FALSE)</f>
        <v>8680</v>
      </c>
      <c r="K128" s="706">
        <f t="shared" si="69"/>
        <v>1094505.3333333333</v>
      </c>
      <c r="L128" s="706">
        <f>VLOOKUP("*"&amp;$B128&amp;"*",'S4 - Summ PRS Characteristics'!$C$5:$Q$12,11,FALSE)*$J128</f>
        <v>4976.5104142517075</v>
      </c>
      <c r="M128" s="706">
        <f t="shared" si="70"/>
        <v>3703.4895857482925</v>
      </c>
      <c r="N128" s="706">
        <f>IF($C128="other",(1-$C$7)*L128,(1-(VLOOKUP($C128,'S3 - Screening Tool Metrics'!$C$3:$G$17,5,FALSE)/100))*L128)</f>
        <v>995.30208285034132</v>
      </c>
      <c r="O128" s="706">
        <f>IF($C128="other",$C$7*L128,(VLOOKUP($C128,'S3 - Screening Tool Metrics'!$C$3:$G$17,5,FALSE)/100)*L128)</f>
        <v>3981.2083314013662</v>
      </c>
      <c r="P128" s="706">
        <f t="shared" si="71"/>
        <v>45.866455430891321</v>
      </c>
      <c r="Q128" s="707">
        <f t="shared" si="100"/>
        <v>437802.1333333333</v>
      </c>
      <c r="R128" s="706">
        <f>VLOOKUP("*"&amp;$B128&amp;"*",'S4 - Summ PRS Characteristics'!$C$5:$Q$12,12,FALSE)*$J128</f>
        <v>2219.1923557159553</v>
      </c>
      <c r="S128" s="706">
        <f t="shared" si="108"/>
        <v>6460.8076442840447</v>
      </c>
      <c r="T128" s="706">
        <f>IF($C128="other",(1-$C120)*R128,(1-(VLOOKUP($C128,'S3 - Screening Tool Metrics'!$C$3:$G$17,5,FALSE)/100))*R128)</f>
        <v>443.83847114319093</v>
      </c>
      <c r="U128" s="706">
        <f>IF($C128="other",$C120*R128,(VLOOKUP($C128,'S3 - Screening Tool Metrics'!$C$3:$G$17,5,FALSE)/100)*R128)</f>
        <v>1775.3538845727644</v>
      </c>
      <c r="V128" s="708">
        <f t="shared" si="101"/>
        <v>20.453385766967333</v>
      </c>
      <c r="W128" s="707">
        <f t="shared" si="102"/>
        <v>218901.06666666665</v>
      </c>
      <c r="X128" s="706">
        <f>VLOOKUP("*"&amp;$B128&amp;"*",'S4 - Summ PRS Characteristics'!$C$5:$Q$12,13,FALSE)*$J128</f>
        <v>1183.8494619366845</v>
      </c>
      <c r="Y128" s="706">
        <f t="shared" si="109"/>
        <v>7496.1505380633153</v>
      </c>
      <c r="Z128" s="706">
        <f>IF($C128="other",(1-$C120)*X128,(1-(VLOOKUP($C128,'S3 - Screening Tool Metrics'!$C$3:$G$17,5,FALSE)/100))*X128)</f>
        <v>236.76989238733685</v>
      </c>
      <c r="AA128" s="706">
        <f>IF($C128="other",$C120*X128,(VLOOKUP($C128,'S3 - Screening Tool Metrics'!$C$3:$G$17,5,FALSE)/100)*X128)</f>
        <v>947.07956954934764</v>
      </c>
      <c r="AB128" s="708">
        <f t="shared" si="103"/>
        <v>10.911054948725203</v>
      </c>
      <c r="AC128" s="706">
        <f t="shared" si="104"/>
        <v>109450.53333333333</v>
      </c>
      <c r="AD128" s="706">
        <f>VLOOKUP("*"&amp;$B128&amp;"*",'S4 - Summ PRS Characteristics'!$C$5:$Q$12,14,FALSE)*$J128</f>
        <v>626.22687430908093</v>
      </c>
      <c r="AE128" s="706">
        <f t="shared" si="111"/>
        <v>8053.7731256909192</v>
      </c>
      <c r="AF128" s="706">
        <f>IF($C128="other",(1-$C120)*AD128,(1-(VLOOKUP($C128,'S3 - Screening Tool Metrics'!$C$3:$G$17,5,FALSE)/100))*AD128)</f>
        <v>125.24537486181616</v>
      </c>
      <c r="AG128" s="706">
        <f>IF($C128="other",$C120*AD128,(VLOOKUP($C128,'S3 - Screening Tool Metrics'!$C$3:$G$17,5,FALSE)/100)*AD128)</f>
        <v>500.98149944726475</v>
      </c>
      <c r="AH128" s="708">
        <f t="shared" si="105"/>
        <v>5.7716762609131882</v>
      </c>
      <c r="AI128" s="707">
        <f t="shared" si="106"/>
        <v>21890.106666666667</v>
      </c>
      <c r="AJ128" s="706">
        <f>VLOOKUP("*"&amp;$B128&amp;"*",'S4 - Summ PRS Characteristics'!$C$5:$Q$12,15,FALSE)*$J128</f>
        <v>139.89876757786487</v>
      </c>
      <c r="AK128" s="706">
        <f t="shared" si="110"/>
        <v>8540.1012324221356</v>
      </c>
      <c r="AL128" s="706">
        <f>IF($C128="other",(1-$C120)*AJ128,(1-(VLOOKUP($C128,'S3 - Screening Tool Metrics'!$C$3:$G$17,5,FALSE)/100))*AJ128)</f>
        <v>27.97975351557297</v>
      </c>
      <c r="AM128" s="706">
        <f>IF($C128="other",$C120*AJ128,(VLOOKUP($C128,'S3 - Screening Tool Metrics'!$C$3:$G$17,5,FALSE)/100)*AJ128)</f>
        <v>111.91901406229191</v>
      </c>
      <c r="AN128" s="709">
        <f t="shared" si="107"/>
        <v>1.2893895629296304</v>
      </c>
    </row>
    <row r="129" spans="2:40" x14ac:dyDescent="0.15">
      <c r="B129" s="700" t="s">
        <v>32</v>
      </c>
      <c r="C129" s="721" t="str">
        <f>$C121</f>
        <v>Other</v>
      </c>
      <c r="D129" s="552" t="s">
        <v>200</v>
      </c>
      <c r="E129" s="710">
        <f>VLOOKUP($B129&amp;"_"&amp;$D129,'App5 - CRUK Inci Rates'!C:H,6,FALSE)</f>
        <v>74.762553006779655</v>
      </c>
      <c r="F129" s="711">
        <f>VLOOKUP($B129&amp;"_"&amp;$D129,'App5 - CRUK Inci Rates'!C:H,3,FALSE)</f>
        <v>67.955614708629497</v>
      </c>
      <c r="G129" s="712">
        <f>VLOOKUP($B129&amp;"_"&amp;$D129,'App5 - CRUK Inci Rates'!C:J,8,FALSE)</f>
        <v>24586669.333333336</v>
      </c>
      <c r="H129" s="713">
        <f>VLOOKUP($B129&amp;"_"&amp;$D129,'App5 - CRUK Inci Rates'!C:J,7,FALSE)</f>
        <v>12090277.333333334</v>
      </c>
      <c r="I129" s="713">
        <f>VLOOKUP($B129&amp;"_"&amp;$D129,'App5 - CRUK Inci Rates'!C:J,4,FALSE)</f>
        <v>12496392</v>
      </c>
      <c r="J129" s="709">
        <f>VLOOKUP($B129&amp;"_"&amp;$D129,'App5 - CRUK Inci Rates'!C:K,9,FALSE)</f>
        <v>17531</v>
      </c>
      <c r="K129" s="706">
        <f t="shared" si="69"/>
        <v>12293334.666666668</v>
      </c>
      <c r="L129" s="706">
        <f>VLOOKUP("*"&amp;$B129&amp;"*",'S4 - Summ PRS Characteristics'!$C$5:$Q$12,11,FALSE)*$J129</f>
        <v>10051.060376986947</v>
      </c>
      <c r="M129" s="706">
        <f t="shared" si="70"/>
        <v>7479.9396230130533</v>
      </c>
      <c r="N129" s="706">
        <f>IF($C129="other",(1-$C$7)*L129,(1-(VLOOKUP($C129,'S3 - Screening Tool Metrics'!$C$3:$G$17,5,FALSE)/100))*L129)</f>
        <v>2010.2120753973888</v>
      </c>
      <c r="O129" s="706">
        <f>IF($C129="other",$C$7*L129,(VLOOKUP($C129,'S3 - Screening Tool Metrics'!$C$3:$G$17,5,FALSE)/100)*L129)</f>
        <v>8040.8483015895581</v>
      </c>
      <c r="P129" s="706">
        <f t="shared" si="71"/>
        <v>45.866455430891321</v>
      </c>
      <c r="Q129" s="707">
        <f t="shared" si="100"/>
        <v>4917333.8666666672</v>
      </c>
      <c r="R129" s="706">
        <f>VLOOKUP("*"&amp;$B129&amp;"*",'S4 - Summ PRS Characteristics'!$C$5:$Q$12,12,FALSE)*$J129</f>
        <v>4482.1038235088035</v>
      </c>
      <c r="S129" s="706">
        <f t="shared" si="108"/>
        <v>13048.896176491196</v>
      </c>
      <c r="T129" s="706">
        <f>IF($C129="other",(1-$C120)*R129,(1-(VLOOKUP($C129,'S3 - Screening Tool Metrics'!$C$3:$G$17,5,FALSE)/100))*R129)</f>
        <v>896.4207647017605</v>
      </c>
      <c r="U129" s="706">
        <f>IF($C129="other",$C120*R129,(VLOOKUP($C129,'S3 - Screening Tool Metrics'!$C$3:$G$17,5,FALSE)/100)*R129)</f>
        <v>3585.6830588070429</v>
      </c>
      <c r="V129" s="708">
        <f t="shared" si="101"/>
        <v>20.453385766967333</v>
      </c>
      <c r="W129" s="707">
        <f t="shared" si="102"/>
        <v>2458666.9333333336</v>
      </c>
      <c r="X129" s="706">
        <f>VLOOKUP("*"&amp;$B129&amp;"*",'S4 - Summ PRS Characteristics'!$C$5:$Q$12,13,FALSE)*$J129</f>
        <v>2391.0213038262691</v>
      </c>
      <c r="Y129" s="706">
        <f t="shared" si="109"/>
        <v>15139.97869617373</v>
      </c>
      <c r="Z129" s="706">
        <f>IF($C129="other",(1-$C120)*X129,(1-(VLOOKUP($C129,'S3 - Screening Tool Metrics'!$C$3:$G$17,5,FALSE)/100))*X129)</f>
        <v>478.20426076525371</v>
      </c>
      <c r="AA129" s="706">
        <f>IF($C129="other",$C120*X129,(VLOOKUP($C129,'S3 - Screening Tool Metrics'!$C$3:$G$17,5,FALSE)/100)*X129)</f>
        <v>1912.8170430610153</v>
      </c>
      <c r="AB129" s="708">
        <f t="shared" si="103"/>
        <v>10.911054948725203</v>
      </c>
      <c r="AC129" s="706">
        <f t="shared" si="104"/>
        <v>1229333.4666666668</v>
      </c>
      <c r="AD129" s="706">
        <f>VLOOKUP("*"&amp;$B129&amp;"*",'S4 - Summ PRS Characteristics'!$C$5:$Q$12,14,FALSE)*$J129</f>
        <v>1264.7907066258638</v>
      </c>
      <c r="AE129" s="706">
        <f t="shared" si="111"/>
        <v>16266.209293374137</v>
      </c>
      <c r="AF129" s="706">
        <f>IF($C129="other",(1-$C120)*AD129,(1-(VLOOKUP($C129,'S3 - Screening Tool Metrics'!$C$3:$G$17,5,FALSE)/100))*AD129)</f>
        <v>252.9581413251727</v>
      </c>
      <c r="AG129" s="706">
        <f>IF($C129="other",$C120*AD129,(VLOOKUP($C129,'S3 - Screening Tool Metrics'!$C$3:$G$17,5,FALSE)/100)*AD129)</f>
        <v>1011.832565300691</v>
      </c>
      <c r="AH129" s="708">
        <f t="shared" si="105"/>
        <v>5.7716762609131882</v>
      </c>
      <c r="AI129" s="707">
        <f t="shared" si="106"/>
        <v>245866.69333333336</v>
      </c>
      <c r="AJ129" s="706">
        <f>VLOOKUP("*"&amp;$B129&amp;"*",'S4 - Summ PRS Characteristics'!$C$5:$Q$12,15,FALSE)*$J129</f>
        <v>282.55360534649179</v>
      </c>
      <c r="AK129" s="706">
        <f t="shared" si="110"/>
        <v>17248.446394653507</v>
      </c>
      <c r="AL129" s="706">
        <f>IF($C129="other",(1-$C120)*AJ129,(1-(VLOOKUP($C129,'S3 - Screening Tool Metrics'!$C$3:$G$17,5,FALSE)/100))*AJ129)</f>
        <v>56.510721069298349</v>
      </c>
      <c r="AM129" s="706">
        <f>IF($C129="other",$C120*AJ129,(VLOOKUP($C129,'S3 - Screening Tool Metrics'!$C$3:$G$17,5,FALSE)/100)*AJ129)</f>
        <v>226.04288427719345</v>
      </c>
      <c r="AN129" s="709">
        <f t="shared" si="107"/>
        <v>1.2893895629296301</v>
      </c>
    </row>
    <row r="130" spans="2:40" x14ac:dyDescent="0.15">
      <c r="B130" s="700" t="s">
        <v>32</v>
      </c>
      <c r="C130" s="721" t="str">
        <f>$C121</f>
        <v>Other</v>
      </c>
      <c r="D130" s="552" t="s">
        <v>201</v>
      </c>
      <c r="E130" s="710">
        <f>VLOOKUP($B130&amp;"_"&amp;$D130,'App5 - CRUK Inci Rates'!C:H,6,FALSE)</f>
        <v>11.420374791114012</v>
      </c>
      <c r="F130" s="711">
        <f>VLOOKUP($B130&amp;"_"&amp;$D130,'App5 - CRUK Inci Rates'!C:H,3,FALSE)</f>
        <v>10.481262340656587</v>
      </c>
      <c r="G130" s="712">
        <f>VLOOKUP($B130&amp;"_"&amp;$D130,'App5 - CRUK Inci Rates'!C:J,8,FALSE)</f>
        <v>8642767.333333334</v>
      </c>
      <c r="H130" s="713">
        <f>VLOOKUP($B130&amp;"_"&amp;$D130,'App5 - CRUK Inci Rates'!C:J,7,FALSE)</f>
        <v>4273064.666666667</v>
      </c>
      <c r="I130" s="713">
        <f>VLOOKUP($B130&amp;"_"&amp;$D130,'App5 - CRUK Inci Rates'!C:J,4,FALSE)</f>
        <v>4369702.666666667</v>
      </c>
      <c r="J130" s="709">
        <f>VLOOKUP($B130&amp;"_"&amp;$D130,'App5 - CRUK Inci Rates'!C:K,9,FALSE)</f>
        <v>946</v>
      </c>
      <c r="K130" s="706">
        <f t="shared" si="69"/>
        <v>4321383.666666667</v>
      </c>
      <c r="L130" s="706">
        <f>VLOOKUP("*"&amp;$B130&amp;"*",'S4 - Summ PRS Characteristics'!$C$5:$Q$12,11,FALSE)*$J130</f>
        <v>542.37083547028988</v>
      </c>
      <c r="M130" s="706">
        <f t="shared" si="70"/>
        <v>403.62916452971012</v>
      </c>
      <c r="N130" s="706">
        <f>IF($C130="other",(1-$C$7)*L130,(1-(VLOOKUP($C130,'S3 - Screening Tool Metrics'!$C$3:$G$17,5,FALSE)/100))*L130)</f>
        <v>108.47416709405795</v>
      </c>
      <c r="O130" s="706">
        <f>IF($C130="other",$C$7*L130,(VLOOKUP($C130,'S3 - Screening Tool Metrics'!$C$3:$G$17,5,FALSE)/100)*L130)</f>
        <v>433.8966683762319</v>
      </c>
      <c r="P130" s="706">
        <f t="shared" si="71"/>
        <v>45.866455430891321</v>
      </c>
      <c r="Q130" s="707">
        <f t="shared" si="100"/>
        <v>1728553.4666666668</v>
      </c>
      <c r="R130" s="706">
        <f>VLOOKUP("*"&amp;$B130&amp;"*",'S4 - Summ PRS Characteristics'!$C$5:$Q$12,12,FALSE)*$J130</f>
        <v>241.8612866943887</v>
      </c>
      <c r="S130" s="706">
        <f t="shared" si="108"/>
        <v>704.1387133056113</v>
      </c>
      <c r="T130" s="706">
        <f>IF($C130="other",(1-$C120)*R130,(1-(VLOOKUP($C130,'S3 - Screening Tool Metrics'!$C$3:$G$17,5,FALSE)/100))*R130)</f>
        <v>48.372257338877731</v>
      </c>
      <c r="U130" s="706">
        <f>IF($C130="other",$C120*R130,(VLOOKUP($C130,'S3 - Screening Tool Metrics'!$C$3:$G$17,5,FALSE)/100)*R130)</f>
        <v>193.48902935551098</v>
      </c>
      <c r="V130" s="708">
        <f t="shared" si="101"/>
        <v>20.453385766967333</v>
      </c>
      <c r="W130" s="707">
        <f t="shared" si="102"/>
        <v>864276.7333333334</v>
      </c>
      <c r="X130" s="706">
        <f>VLOOKUP("*"&amp;$B130&amp;"*",'S4 - Summ PRS Characteristics'!$C$5:$Q$12,13,FALSE)*$J130</f>
        <v>129.02322476867553</v>
      </c>
      <c r="Y130" s="706">
        <f t="shared" si="109"/>
        <v>816.9767752313245</v>
      </c>
      <c r="Z130" s="706">
        <f>IF($C130="other",(1-$C120)*X130,(1-(VLOOKUP($C130,'S3 - Screening Tool Metrics'!$C$3:$G$17,5,FALSE)/100))*X130)</f>
        <v>25.804644953735099</v>
      </c>
      <c r="AA130" s="706">
        <f>IF($C130="other",$C120*X130,(VLOOKUP($C130,'S3 - Screening Tool Metrics'!$C$3:$G$17,5,FALSE)/100)*X130)</f>
        <v>103.21857981494043</v>
      </c>
      <c r="AB130" s="708">
        <f t="shared" si="103"/>
        <v>10.911054948725203</v>
      </c>
      <c r="AC130" s="706">
        <f t="shared" si="104"/>
        <v>432138.3666666667</v>
      </c>
      <c r="AD130" s="706">
        <f>VLOOKUP("*"&amp;$B130&amp;"*",'S4 - Summ PRS Characteristics'!$C$5:$Q$12,14,FALSE)*$J130</f>
        <v>68.250071785298445</v>
      </c>
      <c r="AE130" s="706">
        <f t="shared" si="111"/>
        <v>877.74992821470153</v>
      </c>
      <c r="AF130" s="706">
        <f>IF($C130="other",(1-$C120)*AD130,(1-(VLOOKUP($C130,'S3 - Screening Tool Metrics'!$C$3:$G$17,5,FALSE)/100))*AD130)</f>
        <v>13.650014357059685</v>
      </c>
      <c r="AG130" s="706">
        <f>IF($C130="other",$C120*AD130,(VLOOKUP($C130,'S3 - Screening Tool Metrics'!$C$3:$G$17,5,FALSE)/100)*AD130)</f>
        <v>54.600057428238756</v>
      </c>
      <c r="AH130" s="708">
        <f t="shared" si="105"/>
        <v>5.7716762609131873</v>
      </c>
      <c r="AI130" s="707">
        <f t="shared" si="106"/>
        <v>86427.67333333334</v>
      </c>
      <c r="AJ130" s="706">
        <f>VLOOKUP("*"&amp;$B130&amp;"*",'S4 - Summ PRS Characteristics'!$C$5:$Q$12,15,FALSE)*$J130</f>
        <v>15.247031581642876</v>
      </c>
      <c r="AK130" s="706">
        <f t="shared" si="110"/>
        <v>930.75296841835711</v>
      </c>
      <c r="AL130" s="706">
        <f>IF($C130="other",(1-$C120)*AJ130,(1-(VLOOKUP($C130,'S3 - Screening Tool Metrics'!$C$3:$G$17,5,FALSE)/100))*AJ130)</f>
        <v>3.0494063163285743</v>
      </c>
      <c r="AM130" s="706">
        <f>IF($C130="other",$C120*AJ130,(VLOOKUP($C130,'S3 - Screening Tool Metrics'!$C$3:$G$17,5,FALSE)/100)*AJ130)</f>
        <v>12.197625265314301</v>
      </c>
      <c r="AN130" s="709">
        <f t="shared" si="107"/>
        <v>1.2893895629296301</v>
      </c>
    </row>
    <row r="131" spans="2:40" x14ac:dyDescent="0.15">
      <c r="B131" s="700" t="s">
        <v>32</v>
      </c>
      <c r="C131" s="721" t="str">
        <f>$C121</f>
        <v>Other</v>
      </c>
      <c r="D131" s="552" t="s">
        <v>202</v>
      </c>
      <c r="E131" s="710">
        <f>VLOOKUP($B131&amp;"_"&amp;$D131,'App5 - CRUK Inci Rates'!C:H,6,FALSE)</f>
        <v>51.407550519379285</v>
      </c>
      <c r="F131" s="711">
        <f>VLOOKUP($B131&amp;"_"&amp;$D131,'App5 - CRUK Inci Rates'!C:H,3,FALSE)</f>
        <v>48.368479955661847</v>
      </c>
      <c r="G131" s="712">
        <f>VLOOKUP($B131&amp;"_"&amp;$D131,'App5 - CRUK Inci Rates'!C:J,8,FALSE)</f>
        <v>8839716.6666666679</v>
      </c>
      <c r="H131" s="713">
        <f>VLOOKUP($B131&amp;"_"&amp;$D131,'App5 - CRUK Inci Rates'!C:J,7,FALSE)</f>
        <v>4355391.333333333</v>
      </c>
      <c r="I131" s="713">
        <f>VLOOKUP($B131&amp;"_"&amp;$D131,'App5 - CRUK Inci Rates'!C:J,4,FALSE)</f>
        <v>4484325.333333334</v>
      </c>
      <c r="J131" s="709">
        <f>VLOOKUP($B131&amp;"_"&amp;$D131,'App5 - CRUK Inci Rates'!C:K,9,FALSE)</f>
        <v>4408</v>
      </c>
      <c r="K131" s="706">
        <f t="shared" si="69"/>
        <v>4419858.333333334</v>
      </c>
      <c r="L131" s="706">
        <f>VLOOKUP("*"&amp;$B131&amp;"*",'S4 - Summ PRS Characteristics'!$C$5:$Q$12,11,FALSE)*$J131</f>
        <v>2527.2416942421114</v>
      </c>
      <c r="M131" s="706">
        <f t="shared" si="70"/>
        <v>1880.7583057578886</v>
      </c>
      <c r="N131" s="706">
        <f>IF($C131="other",(1-$C$7)*L131,(1-(VLOOKUP($C131,'S3 - Screening Tool Metrics'!$C$3:$G$17,5,FALSE)/100))*L131)</f>
        <v>505.44833884842217</v>
      </c>
      <c r="O131" s="706">
        <f>IF($C131="other",$C$7*L131,(VLOOKUP($C131,'S3 - Screening Tool Metrics'!$C$3:$G$17,5,FALSE)/100)*L131)</f>
        <v>2021.7933553936891</v>
      </c>
      <c r="P131" s="706">
        <f t="shared" si="71"/>
        <v>45.866455430891314</v>
      </c>
      <c r="Q131" s="707">
        <f t="shared" si="100"/>
        <v>1767943.3333333337</v>
      </c>
      <c r="R131" s="706">
        <f>VLOOKUP("*"&amp;$B131&amp;"*",'S4 - Summ PRS Characteristics'!$C$5:$Q$12,12,FALSE)*$J131</f>
        <v>1126.9815557598999</v>
      </c>
      <c r="S131" s="706">
        <f t="shared" si="108"/>
        <v>3281.0184442401001</v>
      </c>
      <c r="T131" s="706">
        <f>IF($C131="other",(1-$C120)*R131,(1-(VLOOKUP($C131,'S3 - Screening Tool Metrics'!$C$3:$G$17,5,FALSE)/100))*R131)</f>
        <v>225.39631115197994</v>
      </c>
      <c r="U131" s="706">
        <f>IF($C131="other",$C120*R131,(VLOOKUP($C131,'S3 - Screening Tool Metrics'!$C$3:$G$17,5,FALSE)/100)*R131)</f>
        <v>901.58524460792</v>
      </c>
      <c r="V131" s="708">
        <f t="shared" si="101"/>
        <v>20.453385766967333</v>
      </c>
      <c r="W131" s="707">
        <f t="shared" si="102"/>
        <v>883971.66666666686</v>
      </c>
      <c r="X131" s="706">
        <f>VLOOKUP("*"&amp;$B131&amp;"*",'S4 - Summ PRS Characteristics'!$C$5:$Q$12,13,FALSE)*$J131</f>
        <v>601.19912767475864</v>
      </c>
      <c r="Y131" s="706">
        <f t="shared" si="109"/>
        <v>3806.8008723252415</v>
      </c>
      <c r="Z131" s="706">
        <f>IF($C131="other",(1-$C120)*X131,(1-(VLOOKUP($C131,'S3 - Screening Tool Metrics'!$C$3:$G$17,5,FALSE)/100))*X131)</f>
        <v>120.23982553495171</v>
      </c>
      <c r="AA131" s="706">
        <f>IF($C131="other",$C120*X131,(VLOOKUP($C131,'S3 - Screening Tool Metrics'!$C$3:$G$17,5,FALSE)/100)*X131)</f>
        <v>480.95930213980694</v>
      </c>
      <c r="AB131" s="708">
        <f t="shared" si="103"/>
        <v>10.911054948725203</v>
      </c>
      <c r="AC131" s="706">
        <f t="shared" si="104"/>
        <v>441985.83333333343</v>
      </c>
      <c r="AD131" s="706">
        <f>VLOOKUP("*"&amp;$B131&amp;"*",'S4 - Summ PRS Characteristics'!$C$5:$Q$12,14,FALSE)*$J131</f>
        <v>318.01936197631665</v>
      </c>
      <c r="AE131" s="706">
        <f t="shared" si="111"/>
        <v>4089.9806380236832</v>
      </c>
      <c r="AF131" s="706">
        <f>IF($C131="other",(1-$C120)*AD131,(1-(VLOOKUP($C131,'S3 - Screening Tool Metrics'!$C$3:$G$17,5,FALSE)/100))*AD131)</f>
        <v>63.603872395263316</v>
      </c>
      <c r="AG131" s="706">
        <f>IF($C131="other",$C120*AD131,(VLOOKUP($C131,'S3 - Screening Tool Metrics'!$C$3:$G$17,5,FALSE)/100)*AD131)</f>
        <v>254.41548958105332</v>
      </c>
      <c r="AH131" s="708">
        <f t="shared" si="105"/>
        <v>5.7716762609131882</v>
      </c>
      <c r="AI131" s="707">
        <f t="shared" si="106"/>
        <v>88397.166666666686</v>
      </c>
      <c r="AJ131" s="706">
        <f>VLOOKUP("*"&amp;$B131&amp;"*",'S4 - Summ PRS Characteristics'!$C$5:$Q$12,15,FALSE)*$J131</f>
        <v>71.045364917422617</v>
      </c>
      <c r="AK131" s="706">
        <f t="shared" si="110"/>
        <v>4336.9546350825776</v>
      </c>
      <c r="AL131" s="706">
        <f>IF($C131="other",(1-$C120)*AJ131,(1-(VLOOKUP($C131,'S3 - Screening Tool Metrics'!$C$3:$G$17,5,FALSE)/100))*AJ131)</f>
        <v>14.20907298348452</v>
      </c>
      <c r="AM131" s="706">
        <f>IF($C131="other",$C120*AJ131,(VLOOKUP($C131,'S3 - Screening Tool Metrics'!$C$3:$G$17,5,FALSE)/100)*AJ131)</f>
        <v>56.836291933938099</v>
      </c>
      <c r="AN131" s="709">
        <f t="shared" si="107"/>
        <v>1.2893895629296301</v>
      </c>
    </row>
    <row r="132" spans="2:40" x14ac:dyDescent="0.15">
      <c r="B132" s="700" t="s">
        <v>32</v>
      </c>
      <c r="C132" s="721" t="str">
        <f>$C121</f>
        <v>Other</v>
      </c>
      <c r="D132" s="552" t="s">
        <v>203</v>
      </c>
      <c r="E132" s="710">
        <f>VLOOKUP($B132&amp;"_"&amp;$D132,'App5 - CRUK Inci Rates'!C:H,6,FALSE)</f>
        <v>109.38681553928132</v>
      </c>
      <c r="F132" s="711">
        <f>VLOOKUP($B132&amp;"_"&amp;$D132,'App5 - CRUK Inci Rates'!C:H,3,FALSE)</f>
        <v>98.859445346912068</v>
      </c>
      <c r="G132" s="712">
        <f>VLOOKUP($B132&amp;"_"&amp;$D132,'App5 - CRUK Inci Rates'!C:J,8,FALSE)</f>
        <v>15943902</v>
      </c>
      <c r="H132" s="713">
        <f>VLOOKUP($B132&amp;"_"&amp;$D132,'App5 - CRUK Inci Rates'!C:J,7,FALSE)</f>
        <v>7817212.666666666</v>
      </c>
      <c r="I132" s="713">
        <f>VLOOKUP($B132&amp;"_"&amp;$D132,'App5 - CRUK Inci Rates'!C:J,4,FALSE)</f>
        <v>8126689.333333334</v>
      </c>
      <c r="J132" s="709">
        <f>VLOOKUP($B132&amp;"_"&amp;$D132,'App5 - CRUK Inci Rates'!C:K,9,FALSE)</f>
        <v>16585</v>
      </c>
      <c r="K132" s="706">
        <f t="shared" si="69"/>
        <v>7971951</v>
      </c>
      <c r="L132" s="706">
        <f>VLOOKUP("*"&amp;$B132&amp;"*",'S4 - Summ PRS Characteristics'!$C$5:$Q$12,11,FALSE)*$J132</f>
        <v>9508.6895415166564</v>
      </c>
      <c r="M132" s="706">
        <f t="shared" si="70"/>
        <v>7076.3104584833436</v>
      </c>
      <c r="N132" s="706">
        <f>IF($C132="other",(1-$C$7)*L132,(1-(VLOOKUP($C132,'S3 - Screening Tool Metrics'!$C$3:$G$17,5,FALSE)/100))*L132)</f>
        <v>1901.7379083033309</v>
      </c>
      <c r="O132" s="706">
        <f>IF($C132="other",$C$7*L132,(VLOOKUP($C132,'S3 - Screening Tool Metrics'!$C$3:$G$17,5,FALSE)/100)*L132)</f>
        <v>7606.9516332133253</v>
      </c>
      <c r="P132" s="706">
        <f t="shared" si="71"/>
        <v>45.866455430891321</v>
      </c>
      <c r="Q132" s="707">
        <f t="shared" si="100"/>
        <v>3188780.4000000004</v>
      </c>
      <c r="R132" s="706">
        <f>VLOOKUP("*"&amp;$B132&amp;"*",'S4 - Summ PRS Characteristics'!$C$5:$Q$12,12,FALSE)*$J132</f>
        <v>4240.242536814415</v>
      </c>
      <c r="S132" s="706">
        <f t="shared" si="108"/>
        <v>12344.757463185586</v>
      </c>
      <c r="T132" s="706">
        <f>IF($C132="other",(1-$C120)*R132,(1-(VLOOKUP($C132,'S3 - Screening Tool Metrics'!$C$3:$G$17,5,FALSE)/100))*R132)</f>
        <v>848.04850736288279</v>
      </c>
      <c r="U132" s="706">
        <f>IF($C132="other",$C120*R132,(VLOOKUP($C132,'S3 - Screening Tool Metrics'!$C$3:$G$17,5,FALSE)/100)*R132)</f>
        <v>3392.1940294515321</v>
      </c>
      <c r="V132" s="708">
        <f t="shared" si="101"/>
        <v>20.453385766967333</v>
      </c>
      <c r="W132" s="707">
        <f t="shared" si="102"/>
        <v>1594390.2000000002</v>
      </c>
      <c r="X132" s="706">
        <f>VLOOKUP("*"&amp;$B132&amp;"*",'S4 - Summ PRS Characteristics'!$C$5:$Q$12,13,FALSE)*$J132</f>
        <v>2261.9980790575937</v>
      </c>
      <c r="Y132" s="706">
        <f t="shared" si="109"/>
        <v>14323.001920942406</v>
      </c>
      <c r="Z132" s="706">
        <f>IF($C132="other",(1-$C120)*X132,(1-(VLOOKUP($C132,'S3 - Screening Tool Metrics'!$C$3:$G$17,5,FALSE)/100))*X132)</f>
        <v>452.39961581151863</v>
      </c>
      <c r="AA132" s="706">
        <f>IF($C132="other",$C120*X132,(VLOOKUP($C132,'S3 - Screening Tool Metrics'!$C$3:$G$17,5,FALSE)/100)*X132)</f>
        <v>1809.598463246075</v>
      </c>
      <c r="AB132" s="708">
        <f t="shared" si="103"/>
        <v>10.911054948725203</v>
      </c>
      <c r="AC132" s="706">
        <f t="shared" si="104"/>
        <v>797195.10000000009</v>
      </c>
      <c r="AD132" s="706">
        <f>VLOOKUP("*"&amp;$B132&amp;"*",'S4 - Summ PRS Characteristics'!$C$5:$Q$12,14,FALSE)*$J132</f>
        <v>1196.5406348405652</v>
      </c>
      <c r="AE132" s="706">
        <f t="shared" si="111"/>
        <v>15388.459365159435</v>
      </c>
      <c r="AF132" s="706">
        <f>IF($C132="other",(1-$C120)*AD132,(1-(VLOOKUP($C132,'S3 - Screening Tool Metrics'!$C$3:$G$17,5,FALSE)/100))*AD132)</f>
        <v>239.30812696811299</v>
      </c>
      <c r="AG132" s="706">
        <f>IF($C132="other",$C120*AD132,(VLOOKUP($C132,'S3 - Screening Tool Metrics'!$C$3:$G$17,5,FALSE)/100)*AD132)</f>
        <v>957.23250787245217</v>
      </c>
      <c r="AH132" s="708">
        <f t="shared" si="105"/>
        <v>5.7716762609131873</v>
      </c>
      <c r="AI132" s="707">
        <f t="shared" si="106"/>
        <v>159439.01999999999</v>
      </c>
      <c r="AJ132" s="706">
        <f>VLOOKUP("*"&amp;$B132&amp;"*",'S4 - Summ PRS Characteristics'!$C$5:$Q$12,15,FALSE)*$J132</f>
        <v>267.30657376484896</v>
      </c>
      <c r="AK132" s="706">
        <f t="shared" si="110"/>
        <v>16317.693426235151</v>
      </c>
      <c r="AL132" s="706">
        <f>IF($C132="other",(1-$C120)*AJ132,(1-(VLOOKUP($C132,'S3 - Screening Tool Metrics'!$C$3:$G$17,5,FALSE)/100))*AJ132)</f>
        <v>53.461314752969784</v>
      </c>
      <c r="AM132" s="706">
        <f>IF($C132="other",$C120*AJ132,(VLOOKUP($C132,'S3 - Screening Tool Metrics'!$C$3:$G$17,5,FALSE)/100)*AJ132)</f>
        <v>213.84525901187919</v>
      </c>
      <c r="AN132" s="709">
        <f t="shared" si="107"/>
        <v>1.2893895629296304</v>
      </c>
    </row>
    <row r="133" spans="2:40" x14ac:dyDescent="0.15">
      <c r="B133" s="700" t="s">
        <v>32</v>
      </c>
      <c r="C133" s="721" t="str">
        <f>$C122</f>
        <v>Other</v>
      </c>
      <c r="D133" s="552" t="s">
        <v>292</v>
      </c>
      <c r="E133" s="710">
        <f>VLOOKUP($B133&amp;"_"&amp;$D133,'App5 - CRUK Inci Rates'!C:H,6,FALSE)</f>
        <v>227.79891947987741</v>
      </c>
      <c r="F133" s="711">
        <f>VLOOKUP($B133&amp;"_"&amp;$D133,'App5 - CRUK Inci Rates'!C:H,3,FALSE)</f>
        <v>196.8176101532089</v>
      </c>
      <c r="G133" s="712">
        <f>VLOOKUP($B133&amp;"_"&amp;$D133,'App5 - CRUK Inci Rates'!C:J,8,FALSE)</f>
        <v>8881256.9603638444</v>
      </c>
      <c r="H133" s="713">
        <f>VLOOKUP($B133&amp;"_"&amp;$D133,'App5 - CRUK Inci Rates'!C:J,7,FALSE)</f>
        <v>4929786.333333333</v>
      </c>
      <c r="I133" s="713">
        <f>VLOOKUP($B133&amp;"_"&amp;$D133,'App5 - CRUK Inci Rates'!C:J,4,FALSE)</f>
        <v>5245973.666666667</v>
      </c>
      <c r="J133" s="709">
        <f>VLOOKUP($B133&amp;"_"&amp;$D133,'App5 - CRUK Inci Rates'!C:K,9,FALSE)</f>
        <v>21555</v>
      </c>
      <c r="K133" s="706">
        <f t="shared" si="69"/>
        <v>4440628.4801819222</v>
      </c>
      <c r="L133" s="706">
        <f>VLOOKUP("*"&amp;$B133&amp;"*",'S4 - Summ PRS Characteristics'!$C$5:$Q$12,11,FALSE)*$J133</f>
        <v>12358.14308516078</v>
      </c>
      <c r="M133" s="706">
        <f t="shared" si="70"/>
        <v>9196.8569148392198</v>
      </c>
      <c r="N133" s="706">
        <f>IF($C133="other",(1-$C$7)*L133,(1-(VLOOKUP($C133,'S3 - Screening Tool Metrics'!$C$3:$G$17,5,FALSE)/100))*L133)</f>
        <v>2471.6286170321555</v>
      </c>
      <c r="O133" s="706">
        <f>IF($C133="other",$C$7*L133,(VLOOKUP($C133,'S3 - Screening Tool Metrics'!$C$3:$G$17,5,FALSE)/100)*L133)</f>
        <v>9886.5144681286256</v>
      </c>
      <c r="P133" s="706">
        <f t="shared" si="71"/>
        <v>45.866455430891328</v>
      </c>
      <c r="Q133" s="707">
        <f t="shared" si="100"/>
        <v>1776251.3920727689</v>
      </c>
      <c r="R133" s="706">
        <f>VLOOKUP("*"&amp;$B133&amp;"*",'S4 - Summ PRS Characteristics'!$C$5:$Q$12,12,FALSE)*$J133</f>
        <v>5510.9091275872606</v>
      </c>
      <c r="S133" s="706">
        <f t="shared" si="108"/>
        <v>16044.09087241274</v>
      </c>
      <c r="T133" s="706">
        <f>IF($C133="other",(1-$C120)*R133,(1-(VLOOKUP($C133,'S3 - Screening Tool Metrics'!$C$3:$G$17,5,FALSE)/100))*R133)</f>
        <v>1102.1818255174519</v>
      </c>
      <c r="U133" s="706">
        <f>IF($C133="other",$C120*R133,(VLOOKUP($C133,'S3 - Screening Tool Metrics'!$C$3:$G$17,5,FALSE)/100)*R133)</f>
        <v>4408.7273020698085</v>
      </c>
      <c r="V133" s="708">
        <f t="shared" si="101"/>
        <v>20.453385766967333</v>
      </c>
      <c r="W133" s="707">
        <f t="shared" si="102"/>
        <v>888125.69603638444</v>
      </c>
      <c r="X133" s="706">
        <f>VLOOKUP("*"&amp;$B133&amp;"*",'S4 - Summ PRS Characteristics'!$C$5:$Q$12,13,FALSE)*$J133</f>
        <v>2939.847367747147</v>
      </c>
      <c r="Y133" s="706">
        <f t="shared" si="109"/>
        <v>18615.152632252852</v>
      </c>
      <c r="Z133" s="706">
        <f>IF($C133="other",(1-$C120)*X133,(1-(VLOOKUP($C133,'S3 - Screening Tool Metrics'!$C$3:$G$17,5,FALSE)/100))*X133)</f>
        <v>587.96947354942927</v>
      </c>
      <c r="AA133" s="706">
        <f>IF($C133="other",$C120*X133,(VLOOKUP($C133,'S3 - Screening Tool Metrics'!$C$3:$G$17,5,FALSE)/100)*X133)</f>
        <v>2351.8778941977175</v>
      </c>
      <c r="AB133" s="708">
        <f t="shared" si="103"/>
        <v>10.911054948725203</v>
      </c>
      <c r="AC133" s="706">
        <f t="shared" si="104"/>
        <v>444062.84801819222</v>
      </c>
      <c r="AD133" s="706">
        <f>VLOOKUP("*"&amp;$B133&amp;"*",'S4 - Summ PRS Characteristics'!$C$5:$Q$12,14,FALSE)*$J133</f>
        <v>1555.106022549797</v>
      </c>
      <c r="AE133" s="706">
        <f t="shared" si="111"/>
        <v>19999.893977450203</v>
      </c>
      <c r="AF133" s="706">
        <f>IF($C133="other",(1-$C120)*AD133,(1-(VLOOKUP($C133,'S3 - Screening Tool Metrics'!$C$3:$G$17,5,FALSE)/100))*AD133)</f>
        <v>311.02120450995932</v>
      </c>
      <c r="AG133" s="706">
        <f>IF($C133="other",$C120*AD133,(VLOOKUP($C133,'S3 - Screening Tool Metrics'!$C$3:$G$17,5,FALSE)/100)*AD133)</f>
        <v>1244.0848180398377</v>
      </c>
      <c r="AH133" s="708">
        <f t="shared" si="105"/>
        <v>5.7716762609131882</v>
      </c>
      <c r="AI133" s="707">
        <f t="shared" si="106"/>
        <v>88812.569603638447</v>
      </c>
      <c r="AJ133" s="706">
        <f>VLOOKUP("*"&amp;$B133&amp;"*",'S4 - Summ PRS Characteristics'!$C$5:$Q$12,15,FALSE)*$J133</f>
        <v>347.40990036185218</v>
      </c>
      <c r="AK133" s="706">
        <f t="shared" si="110"/>
        <v>21207.590099638146</v>
      </c>
      <c r="AL133" s="706">
        <f>IF($C133="other",(1-$C120)*AJ133,(1-(VLOOKUP($C133,'S3 - Screening Tool Metrics'!$C$3:$G$17,5,FALSE)/100))*AJ133)</f>
        <v>69.481980072370419</v>
      </c>
      <c r="AM133" s="706">
        <f>IF($C133="other",$C120*AJ133,(VLOOKUP($C133,'S3 - Screening Tool Metrics'!$C$3:$G$17,5,FALSE)/100)*AJ133)</f>
        <v>277.92792028948173</v>
      </c>
      <c r="AN133" s="709">
        <f t="shared" si="107"/>
        <v>1.2893895629296299</v>
      </c>
    </row>
    <row r="134" spans="2:40" x14ac:dyDescent="0.15">
      <c r="B134" s="700" t="s">
        <v>32</v>
      </c>
      <c r="C134" s="721" t="str">
        <f>$C121</f>
        <v>Other</v>
      </c>
      <c r="D134" s="552" t="s">
        <v>204</v>
      </c>
      <c r="E134" s="710">
        <f>VLOOKUP($B134&amp;"_"&amp;$D134,'App5 - CRUK Inci Rates'!C:H,6,FALSE)</f>
        <v>127.78732220417946</v>
      </c>
      <c r="F134" s="711">
        <f>VLOOKUP($B134&amp;"_"&amp;$D134,'App5 - CRUK Inci Rates'!C:H,3,FALSE)</f>
        <v>111.08750254471916</v>
      </c>
      <c r="G134" s="712">
        <f>VLOOKUP($B134&amp;"_"&amp;$D134,'App5 - CRUK Inci Rates'!C:J,8,FALSE)</f>
        <v>29847254.666666668</v>
      </c>
      <c r="H134" s="713">
        <f>VLOOKUP($B134&amp;"_"&amp;$D134,'App5 - CRUK Inci Rates'!C:J,7,FALSE)</f>
        <v>14565607.666666668</v>
      </c>
      <c r="I134" s="713">
        <f>VLOOKUP($B134&amp;"_"&amp;$D134,'App5 - CRUK Inci Rates'!C:J,4,FALSE)</f>
        <v>15281647</v>
      </c>
      <c r="J134" s="709">
        <f>VLOOKUP($B134&amp;"_"&amp;$D134,'App5 - CRUK Inci Rates'!C:K,9,FALSE)</f>
        <v>35589</v>
      </c>
      <c r="K134" s="706">
        <f t="shared" si="69"/>
        <v>14923627.333333334</v>
      </c>
      <c r="L134" s="706">
        <f>VLOOKUP("*"&amp;$B134&amp;"*",'S4 - Summ PRS Characteristics'!$C$5:$Q$12,11,FALSE)*$J134</f>
        <v>20404.26602912489</v>
      </c>
      <c r="M134" s="706">
        <f t="shared" si="70"/>
        <v>15184.73397087511</v>
      </c>
      <c r="N134" s="706">
        <f>IF($C134="other",(1-$C$7)*L134,(1-(VLOOKUP($C134,'S3 - Screening Tool Metrics'!$C$3:$G$17,5,FALSE)/100))*L134)</f>
        <v>4080.8532058249771</v>
      </c>
      <c r="O134" s="706">
        <f>IF($C134="other",$C$7*L134,(VLOOKUP($C134,'S3 - Screening Tool Metrics'!$C$3:$G$17,5,FALSE)/100)*L134)</f>
        <v>16323.412823299914</v>
      </c>
      <c r="P134" s="706">
        <f t="shared" si="71"/>
        <v>45.866455430891321</v>
      </c>
      <c r="Q134" s="707">
        <f t="shared" si="100"/>
        <v>5969450.9333333336</v>
      </c>
      <c r="R134" s="706">
        <f>VLOOKUP("*"&amp;$B134&amp;"*",'S4 - Summ PRS Characteristics'!$C$5:$Q$12,12,FALSE)*$J134</f>
        <v>9098.944325757504</v>
      </c>
      <c r="S134" s="706">
        <f t="shared" si="108"/>
        <v>26490.055674242496</v>
      </c>
      <c r="T134" s="706">
        <f>IF($C134="other",(1-$C120)*R134,(1-(VLOOKUP($C134,'S3 - Screening Tool Metrics'!$C$3:$G$17,5,FALSE)/100))*R134)</f>
        <v>1819.7888651515004</v>
      </c>
      <c r="U134" s="706">
        <f>IF($C134="other",$C120*R134,(VLOOKUP($C134,'S3 - Screening Tool Metrics'!$C$3:$G$17,5,FALSE)/100)*R134)</f>
        <v>7279.1554606060035</v>
      </c>
      <c r="V134" s="708">
        <f t="shared" si="101"/>
        <v>20.45338576696733</v>
      </c>
      <c r="W134" s="707">
        <f t="shared" si="102"/>
        <v>2984725.4666666668</v>
      </c>
      <c r="X134" s="706">
        <f>VLOOKUP("*"&amp;$B134&amp;"*",'S4 - Summ PRS Characteristics'!$C$5:$Q$12,13,FALSE)*$J134</f>
        <v>4853.9191821272652</v>
      </c>
      <c r="Y134" s="706">
        <f t="shared" si="109"/>
        <v>30735.080817872735</v>
      </c>
      <c r="Z134" s="706">
        <f>IF($C134="other",(1-$C120)*X134,(1-(VLOOKUP($C134,'S3 - Screening Tool Metrics'!$C$3:$G$17,5,FALSE)/100))*X134)</f>
        <v>970.78383642545282</v>
      </c>
      <c r="AA134" s="706">
        <f>IF($C134="other",$C120*X134,(VLOOKUP($C134,'S3 - Screening Tool Metrics'!$C$3:$G$17,5,FALSE)/100)*X134)</f>
        <v>3883.1353457018122</v>
      </c>
      <c r="AB134" s="708">
        <f t="shared" si="103"/>
        <v>10.911054948725202</v>
      </c>
      <c r="AC134" s="706">
        <f t="shared" si="104"/>
        <v>1492362.7333333334</v>
      </c>
      <c r="AD134" s="706">
        <f>VLOOKUP("*"&amp;$B134&amp;"*",'S4 - Summ PRS Characteristics'!$C$5:$Q$12,14,FALSE)*$J134</f>
        <v>2567.6023306204929</v>
      </c>
      <c r="AE134" s="706">
        <f t="shared" si="111"/>
        <v>33021.397669379505</v>
      </c>
      <c r="AF134" s="706">
        <f>IF($C134="other",(1-$C120)*AD134,(1-(VLOOKUP($C134,'S3 - Screening Tool Metrics'!$C$3:$G$17,5,FALSE)/100))*AD134)</f>
        <v>513.52046612409845</v>
      </c>
      <c r="AG134" s="706">
        <f>IF($C134="other",$C120*AD134,(VLOOKUP($C134,'S3 - Screening Tool Metrics'!$C$3:$G$17,5,FALSE)/100)*AD134)</f>
        <v>2054.0818644963942</v>
      </c>
      <c r="AH134" s="708">
        <f t="shared" si="105"/>
        <v>5.7716762609131873</v>
      </c>
      <c r="AI134" s="707">
        <f t="shared" si="106"/>
        <v>298472.54666666669</v>
      </c>
      <c r="AJ134" s="706">
        <f>VLOOKUP("*"&amp;$B134&amp;"*",'S4 - Summ PRS Characteristics'!$C$5:$Q$12,15,FALSE)*$J134</f>
        <v>573.6010644387826</v>
      </c>
      <c r="AK134" s="706">
        <f t="shared" si="110"/>
        <v>35015.398935561214</v>
      </c>
      <c r="AL134" s="706">
        <f>IF($C134="other",(1-$C120)*AJ134,(1-(VLOOKUP($C134,'S3 - Screening Tool Metrics'!$C$3:$G$17,5,FALSE)/100))*AJ134)</f>
        <v>114.72021288775649</v>
      </c>
      <c r="AM134" s="706">
        <f>IF($C134="other",$C120*AJ134,(VLOOKUP($C134,'S3 - Screening Tool Metrics'!$C$3:$G$17,5,FALSE)/100)*AJ134)</f>
        <v>458.88085155102613</v>
      </c>
      <c r="AN134" s="709">
        <f t="shared" si="107"/>
        <v>1.2893895629296304</v>
      </c>
    </row>
    <row r="135" spans="2:40" ht="14" thickBot="1" x14ac:dyDescent="0.2">
      <c r="B135" s="700" t="s">
        <v>32</v>
      </c>
      <c r="C135" s="721" t="str">
        <f>$C122</f>
        <v>Other</v>
      </c>
      <c r="D135" s="552" t="s">
        <v>205</v>
      </c>
      <c r="E135" s="710">
        <f>VLOOKUP($B135&amp;"_"&amp;$D135,'App5 - CRUK Inci Rates'!C:H,6,FALSE)</f>
        <v>90.6</v>
      </c>
      <c r="F135" s="711">
        <f>VLOOKUP($B135&amp;"_"&amp;$D135,'App5 - CRUK Inci Rates'!C:H,3,FALSE)</f>
        <v>70.099999999999994</v>
      </c>
      <c r="G135" s="712">
        <f>VLOOKUP($B135&amp;"_"&amp;$D135,'App5 - CRUK Inci Rates'!C:J,8,FALSE)</f>
        <v>66041277.666666664</v>
      </c>
      <c r="H135" s="713">
        <f>VLOOKUP($B135&amp;"_"&amp;$D135,'App5 - CRUK Inci Rates'!C:J,7,FALSE)</f>
        <v>32583225.666666668</v>
      </c>
      <c r="I135" s="713">
        <f>VLOOKUP($B135&amp;"_"&amp;$D135,'App5 - CRUK Inci Rates'!C:J,4,FALSE)</f>
        <v>33458051.999999996</v>
      </c>
      <c r="J135" s="709">
        <f>VLOOKUP($B135&amp;"_"&amp;$D135,'App5 - CRUK Inci Rates'!C:K,9,FALSE)</f>
        <v>48549</v>
      </c>
      <c r="K135" s="716"/>
      <c r="L135" s="716"/>
      <c r="M135" s="716"/>
      <c r="N135" s="716"/>
      <c r="O135" s="716"/>
      <c r="P135" s="716"/>
      <c r="Q135" s="715"/>
      <c r="R135" s="716"/>
      <c r="S135" s="716"/>
      <c r="T135" s="716"/>
      <c r="U135" s="716"/>
      <c r="V135" s="717"/>
      <c r="W135" s="715"/>
      <c r="X135" s="716"/>
      <c r="Y135" s="716"/>
      <c r="Z135" s="716"/>
      <c r="AA135" s="716"/>
      <c r="AB135" s="717"/>
      <c r="AC135" s="716"/>
      <c r="AD135" s="716"/>
      <c r="AE135" s="716"/>
      <c r="AF135" s="716"/>
      <c r="AG135" s="716"/>
      <c r="AH135" s="717"/>
      <c r="AI135" s="715"/>
      <c r="AJ135" s="716"/>
      <c r="AK135" s="716"/>
      <c r="AL135" s="716"/>
      <c r="AM135" s="716"/>
      <c r="AN135" s="718"/>
    </row>
    <row r="136" spans="2:40" ht="21" customHeight="1" thickBot="1" x14ac:dyDescent="0.2">
      <c r="B136" s="686" t="s">
        <v>17</v>
      </c>
      <c r="C136" s="687">
        <v>0.8</v>
      </c>
      <c r="D136" s="688"/>
      <c r="E136" s="689"/>
      <c r="F136" s="690"/>
      <c r="G136" s="691"/>
      <c r="H136" s="692"/>
      <c r="I136" s="692"/>
      <c r="J136" s="693"/>
      <c r="K136" s="694"/>
      <c r="L136" s="694"/>
      <c r="M136" s="694"/>
      <c r="N136" s="694"/>
      <c r="O136" s="694"/>
      <c r="P136" s="694"/>
      <c r="Q136" s="695"/>
      <c r="R136" s="696"/>
      <c r="S136" s="696"/>
      <c r="T136" s="696"/>
      <c r="U136" s="696"/>
      <c r="V136" s="697"/>
      <c r="W136" s="695"/>
      <c r="X136" s="696"/>
      <c r="Y136" s="696"/>
      <c r="Z136" s="696"/>
      <c r="AA136" s="696"/>
      <c r="AB136" s="697"/>
      <c r="AC136" s="696"/>
      <c r="AD136" s="696"/>
      <c r="AE136" s="696"/>
      <c r="AF136" s="696"/>
      <c r="AG136" s="696"/>
      <c r="AH136" s="697"/>
      <c r="AI136" s="695"/>
      <c r="AJ136" s="696"/>
      <c r="AK136" s="696"/>
      <c r="AL136" s="696"/>
      <c r="AM136" s="696"/>
      <c r="AN136" s="699"/>
    </row>
    <row r="137" spans="2:40" x14ac:dyDescent="0.15">
      <c r="B137" s="728" t="s">
        <v>17</v>
      </c>
      <c r="C137" s="749" t="s">
        <v>180</v>
      </c>
      <c r="D137" s="593" t="s">
        <v>192</v>
      </c>
      <c r="E137" s="701">
        <f>VLOOKUP($B137&amp;"_"&amp;$D137,'App5 - CRUK Inci Rates'!C:H,6,FALSE)</f>
        <v>12.3</v>
      </c>
      <c r="F137" s="702">
        <f>VLOOKUP($B137&amp;"_"&amp;$D137,'App5 - CRUK Inci Rates'!C:H,3,FALSE)</f>
        <v>0</v>
      </c>
      <c r="G137" s="703">
        <f>VLOOKUP($B137&amp;"_"&amp;$D137,'App5 - CRUK Inci Rates'!C:J,8,FALSE)</f>
        <v>2021384.6666666667</v>
      </c>
      <c r="H137" s="704">
        <f>VLOOKUP($B137&amp;"_"&amp;$D137,'App5 - CRUK Inci Rates'!C:J,7,FALSE)</f>
        <v>2021384.6666666667</v>
      </c>
      <c r="I137" s="704">
        <f>VLOOKUP($B137&amp;"_"&amp;$D137,'App5 - CRUK Inci Rates'!C:J,4,FALSE)</f>
        <v>0</v>
      </c>
      <c r="J137" s="705">
        <f>VLOOKUP($B137&amp;"_"&amp;$D137,'App5 - CRUK Inci Rates'!C:K,9,FALSE)</f>
        <v>248</v>
      </c>
      <c r="K137" s="729">
        <f t="shared" si="69"/>
        <v>1010692.3333333334</v>
      </c>
      <c r="L137" s="729">
        <f>VLOOKUP("*"&amp;$B137&amp;"*",'S4 - Summ PRS Characteristics'!$C$5:$Q$12,11,FALSE)*$J137</f>
        <v>192.08311269021036</v>
      </c>
      <c r="M137" s="729">
        <f t="shared" si="70"/>
        <v>55.916887309789644</v>
      </c>
      <c r="N137" s="729">
        <f>IF($C137="other",(1-$C$7)*L137,(1-(VLOOKUP($C137,'S3 - Screening Tool Metrics'!$C$3:$G$17,5,FALSE)/100))*L137)</f>
        <v>38.416622538042063</v>
      </c>
      <c r="O137" s="729">
        <f>IF($C137="other",$C$7*L137,(VLOOKUP($C137,'S3 - Screening Tool Metrics'!$C$3:$G$17,5,FALSE)/100)*L137)</f>
        <v>153.66649015216831</v>
      </c>
      <c r="P137" s="729">
        <f t="shared" si="71"/>
        <v>61.962294416196897</v>
      </c>
      <c r="Q137" s="730">
        <f t="shared" ref="Q137:Q151" si="112">$G137*Q$3</f>
        <v>404276.93333333335</v>
      </c>
      <c r="R137" s="729">
        <f>VLOOKUP("*"&amp;$B137&amp;"*",'S4 - Summ PRS Characteristics'!$C$5:$Q$12,12,FALSE)*$J137</f>
        <v>115.32670560439037</v>
      </c>
      <c r="S137" s="729">
        <f>$J137-R137</f>
        <v>132.67329439560962</v>
      </c>
      <c r="T137" s="729">
        <f>IF($C137="other",(1-$C136)*R137,(1-(VLOOKUP($C137,'S3 - Screening Tool Metrics'!$C$3:$G$17,5,FALSE)/100))*R137)</f>
        <v>23.06534112087807</v>
      </c>
      <c r="U137" s="729">
        <f>IF($C137="other",$C136*R137,(VLOOKUP($C137,'S3 - Screening Tool Metrics'!$C$3:$G$17,5,FALSE)/100)*R137)</f>
        <v>92.261364483512295</v>
      </c>
      <c r="V137" s="743">
        <f t="shared" ref="V137:V151" si="113">$U137/$J137*100</f>
        <v>37.202163098190447</v>
      </c>
      <c r="W137" s="730">
        <f t="shared" ref="W137:W151" si="114">$G137*W$3</f>
        <v>202138.46666666667</v>
      </c>
      <c r="X137" s="729">
        <f>VLOOKUP("*"&amp;$B137&amp;"*",'S4 - Summ PRS Characteristics'!$C$5:$Q$12,13,FALSE)*$J137</f>
        <v>74.115125171975635</v>
      </c>
      <c r="Y137" s="729">
        <f>$J137-X137</f>
        <v>173.88487482802435</v>
      </c>
      <c r="Z137" s="729">
        <f>IF($C137="other",(1-$C136)*X137,(1-(VLOOKUP($C137,'S3 - Screening Tool Metrics'!$C$3:$G$17,5,FALSE)/100))*X137)</f>
        <v>14.823025034395124</v>
      </c>
      <c r="AA137" s="729">
        <f>IF($C137="other",$C136*X137,(VLOOKUP($C137,'S3 - Screening Tool Metrics'!$C$3:$G$17,5,FALSE)/100)*X137)</f>
        <v>59.292100137580512</v>
      </c>
      <c r="AB137" s="743">
        <f t="shared" ref="AB137:AB151" si="115">$AA137/$J137*100</f>
        <v>23.908104894185691</v>
      </c>
      <c r="AC137" s="729">
        <f t="shared" ref="AC137:AC151" si="116">$G137*AC$3</f>
        <v>101069.23333333334</v>
      </c>
      <c r="AD137" s="729">
        <f>VLOOKUP("*"&amp;$B137&amp;"*",'S4 - Summ PRS Characteristics'!$C$5:$Q$12,14,FALSE)*$J137</f>
        <v>46.242605535816395</v>
      </c>
      <c r="AE137" s="729">
        <f>$J137-AD137</f>
        <v>201.75739446418362</v>
      </c>
      <c r="AF137" s="729">
        <f>IF($C137="other",(1-$C136)*AD137,(1-(VLOOKUP($C137,'S3 - Screening Tool Metrics'!$C$3:$G$17,5,FALSE)/100))*AD137)</f>
        <v>9.2485211071632776</v>
      </c>
      <c r="AG137" s="729">
        <f>IF($C137="other",$C136*AD137,(VLOOKUP($C137,'S3 - Screening Tool Metrics'!$C$3:$G$17,5,FALSE)/100)*AD137)</f>
        <v>36.994084428653117</v>
      </c>
      <c r="AH137" s="743">
        <f t="shared" ref="AH137:AH151" si="117">$AG137/$J137*100</f>
        <v>14.916969527682708</v>
      </c>
      <c r="AI137" s="730">
        <f t="shared" ref="AI137:AI151" si="118">$G137*AI$3</f>
        <v>20213.846666666668</v>
      </c>
      <c r="AJ137" s="729">
        <f>VLOOKUP("*"&amp;$B137&amp;"*",'S4 - Summ PRS Characteristics'!$C$5:$Q$12,15,FALSE)*$J137</f>
        <v>14.363396393738878</v>
      </c>
      <c r="AK137" s="729">
        <f>$J137-AJ137</f>
        <v>233.63660360626113</v>
      </c>
      <c r="AL137" s="729">
        <f>IF($C137="other",(1-$C136)*AJ137,(1-(VLOOKUP($C137,'S3 - Screening Tool Metrics'!$C$3:$G$17,5,FALSE)/100))*AJ137)</f>
        <v>2.8726792787477748</v>
      </c>
      <c r="AM137" s="729">
        <f>IF($C137="other",$C136*AJ137,(VLOOKUP($C137,'S3 - Screening Tool Metrics'!$C$3:$G$17,5,FALSE)/100)*AJ137)</f>
        <v>11.490717114991103</v>
      </c>
      <c r="AN137" s="705">
        <f t="shared" ref="AN137:AN151" si="119">$AM137/$J137*100</f>
        <v>4.633353675399638</v>
      </c>
    </row>
    <row r="138" spans="2:40" x14ac:dyDescent="0.15">
      <c r="B138" s="700" t="s">
        <v>17</v>
      </c>
      <c r="C138" s="721" t="str">
        <f>$C137</f>
        <v>Other</v>
      </c>
      <c r="D138" s="552" t="s">
        <v>193</v>
      </c>
      <c r="E138" s="710">
        <f>VLOOKUP($B138&amp;"_"&amp;$D138,'App5 - CRUK Inci Rates'!C:H,6,FALSE)</f>
        <v>9.4</v>
      </c>
      <c r="F138" s="711">
        <f>VLOOKUP($B138&amp;"_"&amp;$D138,'App5 - CRUK Inci Rates'!C:H,3,FALSE)</f>
        <v>0</v>
      </c>
      <c r="G138" s="712">
        <f>VLOOKUP($B138&amp;"_"&amp;$D138,'App5 - CRUK Inci Rates'!C:J,8,FALSE)</f>
        <v>2251680</v>
      </c>
      <c r="H138" s="713">
        <f>VLOOKUP($B138&amp;"_"&amp;$D138,'App5 - CRUK Inci Rates'!C:J,7,FALSE)</f>
        <v>2251680</v>
      </c>
      <c r="I138" s="713">
        <f>VLOOKUP($B138&amp;"_"&amp;$D138,'App5 - CRUK Inci Rates'!C:J,4,FALSE)</f>
        <v>0</v>
      </c>
      <c r="J138" s="709">
        <f>VLOOKUP($B138&amp;"_"&amp;$D138,'App5 - CRUK Inci Rates'!C:K,9,FALSE)</f>
        <v>211</v>
      </c>
      <c r="K138" s="706">
        <f t="shared" ref="K138:K151" si="120">$G138*$K$3</f>
        <v>1125840</v>
      </c>
      <c r="L138" s="706">
        <f>VLOOKUP("*"&amp;$B138&amp;"*",'S4 - Summ PRS Characteristics'!$C$5:$Q$12,11,FALSE)*$J138</f>
        <v>163.4255515227193</v>
      </c>
      <c r="M138" s="706">
        <f t="shared" ref="M138:M151" si="121">$J138-$L138</f>
        <v>47.574448477280697</v>
      </c>
      <c r="N138" s="706">
        <f>IF($C138="other",(1-$C$7)*L138,(1-(VLOOKUP($C138,'S3 - Screening Tool Metrics'!$C$3:$G$17,5,FALSE)/100))*L138)</f>
        <v>32.685110304543855</v>
      </c>
      <c r="O138" s="706">
        <f>IF($C138="other",$C$7*L138,(VLOOKUP($C138,'S3 - Screening Tool Metrics'!$C$3:$G$17,5,FALSE)/100)*L138)</f>
        <v>130.74044121817545</v>
      </c>
      <c r="P138" s="706">
        <f t="shared" ref="P138:P151" si="122">O138/J138*100</f>
        <v>61.962294416196897</v>
      </c>
      <c r="Q138" s="707">
        <f t="shared" si="112"/>
        <v>450336</v>
      </c>
      <c r="R138" s="706">
        <f>VLOOKUP("*"&amp;$B138&amp;"*",'S4 - Summ PRS Characteristics'!$C$5:$Q$12,12,FALSE)*$J138</f>
        <v>98.120705171477297</v>
      </c>
      <c r="S138" s="706">
        <f t="shared" ref="S138:S151" si="123">$J138-R138</f>
        <v>112.8792948285227</v>
      </c>
      <c r="T138" s="706">
        <f>IF($C138="other",(1-$C136)*R138,(1-(VLOOKUP($C138,'S3 - Screening Tool Metrics'!$C$3:$G$17,5,FALSE)/100))*R138)</f>
        <v>19.624141034295455</v>
      </c>
      <c r="U138" s="706">
        <f>IF($C138="other",$C136*R138,(VLOOKUP($C138,'S3 - Screening Tool Metrics'!$C$3:$G$17,5,FALSE)/100)*R138)</f>
        <v>78.496564137181849</v>
      </c>
      <c r="V138" s="708">
        <f t="shared" si="113"/>
        <v>37.202163098190447</v>
      </c>
      <c r="W138" s="707">
        <f t="shared" si="114"/>
        <v>225168</v>
      </c>
      <c r="X138" s="706">
        <f>VLOOKUP("*"&amp;$B138&amp;"*",'S4 - Summ PRS Characteristics'!$C$5:$Q$12,13,FALSE)*$J138</f>
        <v>63.057626658414755</v>
      </c>
      <c r="Y138" s="706">
        <f t="shared" ref="Y138:Y151" si="124">$J138-X138</f>
        <v>147.94237334158524</v>
      </c>
      <c r="Z138" s="706">
        <f>IF($C138="other",(1-$C136)*X138,(1-(VLOOKUP($C138,'S3 - Screening Tool Metrics'!$C$3:$G$17,5,FALSE)/100))*X138)</f>
        <v>12.611525331682948</v>
      </c>
      <c r="AA138" s="706">
        <f>IF($C138="other",$C136*X138,(VLOOKUP($C138,'S3 - Screening Tool Metrics'!$C$3:$G$17,5,FALSE)/100)*X138)</f>
        <v>50.446101326731807</v>
      </c>
      <c r="AB138" s="708">
        <f t="shared" si="115"/>
        <v>23.908104894185691</v>
      </c>
      <c r="AC138" s="706">
        <f t="shared" si="116"/>
        <v>112584</v>
      </c>
      <c r="AD138" s="706">
        <f>VLOOKUP("*"&amp;$B138&amp;"*",'S4 - Summ PRS Characteristics'!$C$5:$Q$12,14,FALSE)*$J138</f>
        <v>39.343507129263145</v>
      </c>
      <c r="AE138" s="706">
        <f>$J138-AD138</f>
        <v>171.65649287073686</v>
      </c>
      <c r="AF138" s="706">
        <f>IF($C138="other",(1-$C136)*AD138,(1-(VLOOKUP($C138,'S3 - Screening Tool Metrics'!$C$3:$G$17,5,FALSE)/100))*AD138)</f>
        <v>7.8687014258526276</v>
      </c>
      <c r="AG138" s="706">
        <f>IF($C138="other",$C136*AD138,(VLOOKUP($C138,'S3 - Screening Tool Metrics'!$C$3:$G$17,5,FALSE)/100)*AD138)</f>
        <v>31.474805703410517</v>
      </c>
      <c r="AH138" s="708">
        <f t="shared" si="117"/>
        <v>14.91696952768271</v>
      </c>
      <c r="AI138" s="707">
        <f t="shared" si="118"/>
        <v>22516.799999999999</v>
      </c>
      <c r="AJ138" s="706">
        <f>VLOOKUP("*"&amp;$B138&amp;"*",'S4 - Summ PRS Characteristics'!$C$5:$Q$12,15,FALSE)*$J138</f>
        <v>12.220470318866544</v>
      </c>
      <c r="AK138" s="706">
        <f t="shared" ref="AK138:AK151" si="125">$J138-AJ138</f>
        <v>198.77952968113345</v>
      </c>
      <c r="AL138" s="706">
        <f>IF($C138="other",(1-$C136)*AJ138,(1-(VLOOKUP($C138,'S3 - Screening Tool Metrics'!$C$3:$G$17,5,FALSE)/100))*AJ138)</f>
        <v>2.4440940637733082</v>
      </c>
      <c r="AM138" s="706">
        <f>IF($C138="other",$C136*AJ138,(VLOOKUP($C138,'S3 - Screening Tool Metrics'!$C$3:$G$17,5,FALSE)/100)*AJ138)</f>
        <v>9.7763762550932363</v>
      </c>
      <c r="AN138" s="709">
        <f t="shared" si="119"/>
        <v>4.633353675399638</v>
      </c>
    </row>
    <row r="139" spans="2:40" x14ac:dyDescent="0.15">
      <c r="B139" s="700" t="s">
        <v>17</v>
      </c>
      <c r="C139" s="721" t="str">
        <f>$C137</f>
        <v>Other</v>
      </c>
      <c r="D139" s="552" t="s">
        <v>194</v>
      </c>
      <c r="E139" s="710">
        <f>VLOOKUP($B139&amp;"_"&amp;$D139,'App5 - CRUK Inci Rates'!C:H,6,FALSE)</f>
        <v>7</v>
      </c>
      <c r="F139" s="711">
        <f>VLOOKUP($B139&amp;"_"&amp;$D139,'App5 - CRUK Inci Rates'!C:H,3,FALSE)</f>
        <v>0</v>
      </c>
      <c r="G139" s="712">
        <f>VLOOKUP($B139&amp;"_"&amp;$D139,'App5 - CRUK Inci Rates'!C:J,8,FALSE)</f>
        <v>2293472.6666666665</v>
      </c>
      <c r="H139" s="713">
        <f>VLOOKUP($B139&amp;"_"&amp;$D139,'App5 - CRUK Inci Rates'!C:J,7,FALSE)</f>
        <v>2293472.6666666665</v>
      </c>
      <c r="I139" s="713">
        <f>VLOOKUP($B139&amp;"_"&amp;$D139,'App5 - CRUK Inci Rates'!C:J,4,FALSE)</f>
        <v>0</v>
      </c>
      <c r="J139" s="709">
        <f>VLOOKUP($B139&amp;"_"&amp;$D139,'App5 - CRUK Inci Rates'!C:K,9,FALSE)</f>
        <v>160</v>
      </c>
      <c r="K139" s="706">
        <f t="shared" si="120"/>
        <v>1146736.3333333333</v>
      </c>
      <c r="L139" s="706">
        <f>VLOOKUP("*"&amp;$B139&amp;"*",'S4 - Summ PRS Characteristics'!$C$5:$Q$12,11,FALSE)*$J139</f>
        <v>123.92458883239378</v>
      </c>
      <c r="M139" s="706">
        <f t="shared" si="121"/>
        <v>36.075411167606219</v>
      </c>
      <c r="N139" s="706">
        <f>IF($C139="other",(1-$C$7)*L139,(1-(VLOOKUP($C139,'S3 - Screening Tool Metrics'!$C$3:$G$17,5,FALSE)/100))*L139)</f>
        <v>24.784917766478749</v>
      </c>
      <c r="O139" s="706">
        <f>IF($C139="other",$C$7*L139,(VLOOKUP($C139,'S3 - Screening Tool Metrics'!$C$3:$G$17,5,FALSE)/100)*L139)</f>
        <v>99.139671065915024</v>
      </c>
      <c r="P139" s="706">
        <f t="shared" si="122"/>
        <v>61.962294416196897</v>
      </c>
      <c r="Q139" s="707">
        <f t="shared" si="112"/>
        <v>458694.53333333333</v>
      </c>
      <c r="R139" s="706">
        <f>VLOOKUP("*"&amp;$B139&amp;"*",'S4 - Summ PRS Characteristics'!$C$5:$Q$12,12,FALSE)*$J139</f>
        <v>74.404326196380893</v>
      </c>
      <c r="S139" s="706">
        <f t="shared" si="123"/>
        <v>85.595673803619107</v>
      </c>
      <c r="T139" s="706">
        <f>IF($C139="other",(1-$C136)*R139,(1-(VLOOKUP($C139,'S3 - Screening Tool Metrics'!$C$3:$G$17,5,FALSE)/100))*R139)</f>
        <v>14.880865239276176</v>
      </c>
      <c r="U139" s="706">
        <f>IF($C139="other",$C136*R139,(VLOOKUP($C139,'S3 - Screening Tool Metrics'!$C$3:$G$17,5,FALSE)/100)*R139)</f>
        <v>59.523460957104717</v>
      </c>
      <c r="V139" s="708">
        <f t="shared" si="113"/>
        <v>37.202163098190447</v>
      </c>
      <c r="W139" s="707">
        <f t="shared" si="114"/>
        <v>229347.26666666666</v>
      </c>
      <c r="X139" s="706">
        <f>VLOOKUP("*"&amp;$B139&amp;"*",'S4 - Summ PRS Characteristics'!$C$5:$Q$12,13,FALSE)*$J139</f>
        <v>47.816209788371381</v>
      </c>
      <c r="Y139" s="706">
        <f t="shared" si="124"/>
        <v>112.18379021162862</v>
      </c>
      <c r="Z139" s="706">
        <f>IF($C139="other",(1-$C136)*X139,(1-(VLOOKUP($C139,'S3 - Screening Tool Metrics'!$C$3:$G$17,5,FALSE)/100))*X139)</f>
        <v>9.5632419576742738</v>
      </c>
      <c r="AA139" s="706">
        <f>IF($C139="other",$C136*X139,(VLOOKUP($C139,'S3 - Screening Tool Metrics'!$C$3:$G$17,5,FALSE)/100)*X139)</f>
        <v>38.252967830697109</v>
      </c>
      <c r="AB139" s="708">
        <f t="shared" si="115"/>
        <v>23.908104894185694</v>
      </c>
      <c r="AC139" s="706">
        <f t="shared" si="116"/>
        <v>114673.63333333333</v>
      </c>
      <c r="AD139" s="706">
        <f>VLOOKUP("*"&amp;$B139&amp;"*",'S4 - Summ PRS Characteristics'!$C$5:$Q$12,14,FALSE)*$J139</f>
        <v>29.833939055365416</v>
      </c>
      <c r="AE139" s="706">
        <f t="shared" ref="AE139:AE151" si="126">$J139-AD139</f>
        <v>130.16606094463458</v>
      </c>
      <c r="AF139" s="706">
        <f>IF($C139="other",(1-$C136)*AD139,(1-(VLOOKUP($C139,'S3 - Screening Tool Metrics'!$C$3:$G$17,5,FALSE)/100))*AD139)</f>
        <v>5.9667878110730816</v>
      </c>
      <c r="AG139" s="706">
        <f>IF($C139="other",$C136*AD139,(VLOOKUP($C139,'S3 - Screening Tool Metrics'!$C$3:$G$17,5,FALSE)/100)*AD139)</f>
        <v>23.867151244292334</v>
      </c>
      <c r="AH139" s="708">
        <f t="shared" si="117"/>
        <v>14.916969527682708</v>
      </c>
      <c r="AI139" s="707">
        <f t="shared" si="118"/>
        <v>22934.726666666666</v>
      </c>
      <c r="AJ139" s="706">
        <f>VLOOKUP("*"&amp;$B139&amp;"*",'S4 - Summ PRS Characteristics'!$C$5:$Q$12,15,FALSE)*$J139</f>
        <v>9.2667073507992761</v>
      </c>
      <c r="AK139" s="706">
        <f t="shared" si="125"/>
        <v>150.73329264920073</v>
      </c>
      <c r="AL139" s="706">
        <f>IF($C139="other",(1-$C136)*AJ139,(1-(VLOOKUP($C139,'S3 - Screening Tool Metrics'!$C$3:$G$17,5,FALSE)/100))*AJ139)</f>
        <v>1.8533414701598547</v>
      </c>
      <c r="AM139" s="706">
        <f>IF($C139="other",$C136*AJ139,(VLOOKUP($C139,'S3 - Screening Tool Metrics'!$C$3:$G$17,5,FALSE)/100)*AJ139)</f>
        <v>7.4133658806394216</v>
      </c>
      <c r="AN139" s="709">
        <f t="shared" si="119"/>
        <v>4.6333536753996389</v>
      </c>
    </row>
    <row r="140" spans="2:40" x14ac:dyDescent="0.15">
      <c r="B140" s="700" t="s">
        <v>17</v>
      </c>
      <c r="C140" s="721" t="str">
        <f>$C137</f>
        <v>Other</v>
      </c>
      <c r="D140" s="552" t="s">
        <v>195</v>
      </c>
      <c r="E140" s="710">
        <f>VLOOKUP($B140&amp;"_"&amp;$D140,'App5 - CRUK Inci Rates'!C:H,6,FALSE)</f>
        <v>5.2</v>
      </c>
      <c r="F140" s="711">
        <f>VLOOKUP($B140&amp;"_"&amp;$D140,'App5 - CRUK Inci Rates'!C:H,3,FALSE)</f>
        <v>0</v>
      </c>
      <c r="G140" s="712">
        <f>VLOOKUP($B140&amp;"_"&amp;$D140,'App5 - CRUK Inci Rates'!C:J,8,FALSE)</f>
        <v>2061918.6666666667</v>
      </c>
      <c r="H140" s="713">
        <f>VLOOKUP($B140&amp;"_"&amp;$D140,'App5 - CRUK Inci Rates'!C:J,7,FALSE)</f>
        <v>2061918.6666666667</v>
      </c>
      <c r="I140" s="713">
        <f>VLOOKUP($B140&amp;"_"&amp;$D140,'App5 - CRUK Inci Rates'!C:J,4,FALSE)</f>
        <v>0</v>
      </c>
      <c r="J140" s="709">
        <f>VLOOKUP($B140&amp;"_"&amp;$D140,'App5 - CRUK Inci Rates'!C:K,9,FALSE)</f>
        <v>108</v>
      </c>
      <c r="K140" s="706">
        <f t="shared" si="120"/>
        <v>1030959.3333333334</v>
      </c>
      <c r="L140" s="706">
        <f>VLOOKUP("*"&amp;$B140&amp;"*",'S4 - Summ PRS Characteristics'!$C$5:$Q$12,11,FALSE)*$J140</f>
        <v>83.649097461865807</v>
      </c>
      <c r="M140" s="706">
        <f t="shared" si="121"/>
        <v>24.350902538134193</v>
      </c>
      <c r="N140" s="706">
        <f>IF($C140="other",(1-$C$7)*L140,(1-(VLOOKUP($C140,'S3 - Screening Tool Metrics'!$C$3:$G$17,5,FALSE)/100))*L140)</f>
        <v>16.729819492373156</v>
      </c>
      <c r="O140" s="706">
        <f>IF($C140="other",$C$7*L140,(VLOOKUP($C140,'S3 - Screening Tool Metrics'!$C$3:$G$17,5,FALSE)/100)*L140)</f>
        <v>66.919277969492654</v>
      </c>
      <c r="P140" s="706">
        <f t="shared" si="122"/>
        <v>61.962294416196904</v>
      </c>
      <c r="Q140" s="707">
        <f t="shared" si="112"/>
        <v>412383.7333333334</v>
      </c>
      <c r="R140" s="706">
        <f>VLOOKUP("*"&amp;$B140&amp;"*",'S4 - Summ PRS Characteristics'!$C$5:$Q$12,12,FALSE)*$J140</f>
        <v>50.222920182557097</v>
      </c>
      <c r="S140" s="706">
        <f t="shared" si="123"/>
        <v>57.777079817442903</v>
      </c>
      <c r="T140" s="706">
        <f>IF($C140="other",(1-$C136)*R140,(1-(VLOOKUP($C140,'S3 - Screening Tool Metrics'!$C$3:$G$17,5,FALSE)/100))*R140)</f>
        <v>10.044584036511417</v>
      </c>
      <c r="U140" s="706">
        <f>IF($C140="other",$C136*R140,(VLOOKUP($C140,'S3 - Screening Tool Metrics'!$C$3:$G$17,5,FALSE)/100)*R140)</f>
        <v>40.17833614604568</v>
      </c>
      <c r="V140" s="708">
        <f t="shared" si="113"/>
        <v>37.202163098190447</v>
      </c>
      <c r="W140" s="707">
        <f t="shared" si="114"/>
        <v>206191.8666666667</v>
      </c>
      <c r="X140" s="706">
        <f>VLOOKUP("*"&amp;$B140&amp;"*",'S4 - Summ PRS Characteristics'!$C$5:$Q$12,13,FALSE)*$J140</f>
        <v>32.275941607150678</v>
      </c>
      <c r="Y140" s="706">
        <f t="shared" si="124"/>
        <v>75.724058392849315</v>
      </c>
      <c r="Z140" s="706">
        <f>IF($C140="other",(1-$C136)*X140,(1-(VLOOKUP($C140,'S3 - Screening Tool Metrics'!$C$3:$G$17,5,FALSE)/100))*X140)</f>
        <v>6.4551883214301338</v>
      </c>
      <c r="AA140" s="706">
        <f>IF($C140="other",$C136*X140,(VLOOKUP($C140,'S3 - Screening Tool Metrics'!$C$3:$G$17,5,FALSE)/100)*X140)</f>
        <v>25.820753285720542</v>
      </c>
      <c r="AB140" s="708">
        <f t="shared" si="115"/>
        <v>23.908104894185687</v>
      </c>
      <c r="AC140" s="706">
        <f t="shared" si="116"/>
        <v>103095.93333333335</v>
      </c>
      <c r="AD140" s="706">
        <f>VLOOKUP("*"&amp;$B140&amp;"*",'S4 - Summ PRS Characteristics'!$C$5:$Q$12,14,FALSE)*$J140</f>
        <v>20.137908862371656</v>
      </c>
      <c r="AE140" s="706">
        <f t="shared" si="126"/>
        <v>87.86209113762834</v>
      </c>
      <c r="AF140" s="706">
        <f>IF($C140="other",(1-$C136)*AD140,(1-(VLOOKUP($C140,'S3 - Screening Tool Metrics'!$C$3:$G$17,5,FALSE)/100))*AD140)</f>
        <v>4.0275817724743304</v>
      </c>
      <c r="AG140" s="706">
        <f>IF($C140="other",$C136*AD140,(VLOOKUP($C140,'S3 - Screening Tool Metrics'!$C$3:$G$17,5,FALSE)/100)*AD140)</f>
        <v>16.110327089897325</v>
      </c>
      <c r="AH140" s="708">
        <f t="shared" si="117"/>
        <v>14.916969527682708</v>
      </c>
      <c r="AI140" s="707">
        <f t="shared" si="118"/>
        <v>20619.186666666668</v>
      </c>
      <c r="AJ140" s="706">
        <f>VLOOKUP("*"&amp;$B140&amp;"*",'S4 - Summ PRS Characteristics'!$C$5:$Q$12,15,FALSE)*$J140</f>
        <v>6.2550274617895116</v>
      </c>
      <c r="AK140" s="706">
        <f t="shared" si="125"/>
        <v>101.74497253821049</v>
      </c>
      <c r="AL140" s="706">
        <f>IF($C140="other",(1-$C136)*AJ140,(1-(VLOOKUP($C140,'S3 - Screening Tool Metrics'!$C$3:$G$17,5,FALSE)/100))*AJ140)</f>
        <v>1.2510054923579021</v>
      </c>
      <c r="AM140" s="706">
        <f>IF($C140="other",$C136*AJ140,(VLOOKUP($C140,'S3 - Screening Tool Metrics'!$C$3:$G$17,5,FALSE)/100)*AJ140)</f>
        <v>5.0040219694316095</v>
      </c>
      <c r="AN140" s="709">
        <f t="shared" si="119"/>
        <v>4.633353675399638</v>
      </c>
    </row>
    <row r="141" spans="2:40" x14ac:dyDescent="0.15">
      <c r="B141" s="700" t="s">
        <v>17</v>
      </c>
      <c r="C141" s="721" t="str">
        <f>$C137</f>
        <v>Other</v>
      </c>
      <c r="D141" s="552" t="s">
        <v>196</v>
      </c>
      <c r="E141" s="710">
        <f>VLOOKUP($B141&amp;"_"&amp;$D141,'App5 - CRUK Inci Rates'!C:H,6,FALSE)</f>
        <v>3</v>
      </c>
      <c r="F141" s="711">
        <f>VLOOKUP($B141&amp;"_"&amp;$D141,'App5 - CRUK Inci Rates'!C:H,3,FALSE)</f>
        <v>0</v>
      </c>
      <c r="G141" s="712">
        <f>VLOOKUP($B141&amp;"_"&amp;$D141,'App5 - CRUK Inci Rates'!C:J,8,FALSE)</f>
        <v>1764828</v>
      </c>
      <c r="H141" s="713">
        <f>VLOOKUP($B141&amp;"_"&amp;$D141,'App5 - CRUK Inci Rates'!C:J,7,FALSE)</f>
        <v>1764828</v>
      </c>
      <c r="I141" s="713">
        <f>VLOOKUP($B141&amp;"_"&amp;$D141,'App5 - CRUK Inci Rates'!C:J,4,FALSE)</f>
        <v>0</v>
      </c>
      <c r="J141" s="709">
        <f>VLOOKUP($B141&amp;"_"&amp;$D141,'App5 - CRUK Inci Rates'!C:K,9,FALSE)</f>
        <v>52</v>
      </c>
      <c r="K141" s="706">
        <f t="shared" si="120"/>
        <v>882414</v>
      </c>
      <c r="L141" s="706">
        <f>VLOOKUP("*"&amp;$B141&amp;"*",'S4 - Summ PRS Characteristics'!$C$5:$Q$12,11,FALSE)*$J141</f>
        <v>40.27549137052798</v>
      </c>
      <c r="M141" s="706">
        <f t="shared" si="121"/>
        <v>11.72450862947202</v>
      </c>
      <c r="N141" s="706">
        <f>IF($C141="other",(1-$C$7)*L141,(1-(VLOOKUP($C141,'S3 - Screening Tool Metrics'!$C$3:$G$17,5,FALSE)/100))*L141)</f>
        <v>8.0550982741055943</v>
      </c>
      <c r="O141" s="706">
        <f>IF($C141="other",$C$7*L141,(VLOOKUP($C141,'S3 - Screening Tool Metrics'!$C$3:$G$17,5,FALSE)/100)*L141)</f>
        <v>32.220393096422384</v>
      </c>
      <c r="P141" s="706">
        <f t="shared" si="122"/>
        <v>61.962294416196897</v>
      </c>
      <c r="Q141" s="707">
        <f t="shared" si="112"/>
        <v>352965.60000000003</v>
      </c>
      <c r="R141" s="706">
        <f>VLOOKUP("*"&amp;$B141&amp;"*",'S4 - Summ PRS Characteristics'!$C$5:$Q$12,12,FALSE)*$J141</f>
        <v>24.181406013823789</v>
      </c>
      <c r="S141" s="706">
        <f t="shared" si="123"/>
        <v>27.818593986176211</v>
      </c>
      <c r="T141" s="706">
        <f>IF($C141="other",(1-$C136)*R141,(1-(VLOOKUP($C141,'S3 - Screening Tool Metrics'!$C$3:$G$17,5,FALSE)/100))*R141)</f>
        <v>4.8362812027647566</v>
      </c>
      <c r="U141" s="706">
        <f>IF($C141="other",$C136*R141,(VLOOKUP($C141,'S3 - Screening Tool Metrics'!$C$3:$G$17,5,FALSE)/100)*R141)</f>
        <v>19.345124811059033</v>
      </c>
      <c r="V141" s="708">
        <f t="shared" si="113"/>
        <v>37.202163098190447</v>
      </c>
      <c r="W141" s="707">
        <f t="shared" si="114"/>
        <v>176482.80000000002</v>
      </c>
      <c r="X141" s="706">
        <f>VLOOKUP("*"&amp;$B141&amp;"*",'S4 - Summ PRS Characteristics'!$C$5:$Q$12,13,FALSE)*$J141</f>
        <v>15.540268181220698</v>
      </c>
      <c r="Y141" s="706">
        <f t="shared" si="124"/>
        <v>36.459731818779304</v>
      </c>
      <c r="Z141" s="706">
        <f>IF($C141="other",(1-$C136)*X141,(1-(VLOOKUP($C141,'S3 - Screening Tool Metrics'!$C$3:$G$17,5,FALSE)/100))*X141)</f>
        <v>3.1080536362441391</v>
      </c>
      <c r="AA141" s="706">
        <f>IF($C141="other",$C136*X141,(VLOOKUP($C141,'S3 - Screening Tool Metrics'!$C$3:$G$17,5,FALSE)/100)*X141)</f>
        <v>12.43221454497656</v>
      </c>
      <c r="AB141" s="708">
        <f t="shared" si="115"/>
        <v>23.908104894185691</v>
      </c>
      <c r="AC141" s="706">
        <f t="shared" si="116"/>
        <v>88241.400000000009</v>
      </c>
      <c r="AD141" s="706">
        <f>VLOOKUP("*"&amp;$B141&amp;"*",'S4 - Summ PRS Characteristics'!$C$5:$Q$12,14,FALSE)*$J141</f>
        <v>9.69603019299376</v>
      </c>
      <c r="AE141" s="706">
        <f t="shared" si="126"/>
        <v>42.30396980700624</v>
      </c>
      <c r="AF141" s="706">
        <f>IF($C141="other",(1-$C136)*AD141,(1-(VLOOKUP($C141,'S3 - Screening Tool Metrics'!$C$3:$G$17,5,FALSE)/100))*AD141)</f>
        <v>1.9392060385987515</v>
      </c>
      <c r="AG141" s="706">
        <f>IF($C141="other",$C136*AD141,(VLOOKUP($C141,'S3 - Screening Tool Metrics'!$C$3:$G$17,5,FALSE)/100)*AD141)</f>
        <v>7.7568241543950087</v>
      </c>
      <c r="AH141" s="708">
        <f t="shared" si="117"/>
        <v>14.916969527682708</v>
      </c>
      <c r="AI141" s="707">
        <f t="shared" si="118"/>
        <v>17648.28</v>
      </c>
      <c r="AJ141" s="706">
        <f>VLOOKUP("*"&amp;$B141&amp;"*",'S4 - Summ PRS Characteristics'!$C$5:$Q$12,15,FALSE)*$J141</f>
        <v>3.0116798890097645</v>
      </c>
      <c r="AK141" s="706">
        <f t="shared" si="125"/>
        <v>48.988320110990237</v>
      </c>
      <c r="AL141" s="706">
        <f>IF($C141="other",(1-$C136)*AJ141,(1-(VLOOKUP($C141,'S3 - Screening Tool Metrics'!$C$3:$G$17,5,FALSE)/100))*AJ141)</f>
        <v>0.6023359778019528</v>
      </c>
      <c r="AM141" s="706">
        <f>IF($C141="other",$C136*AJ141,(VLOOKUP($C141,'S3 - Screening Tool Metrics'!$C$3:$G$17,5,FALSE)/100)*AJ141)</f>
        <v>2.4093439112078117</v>
      </c>
      <c r="AN141" s="709">
        <f t="shared" si="119"/>
        <v>4.633353675399638</v>
      </c>
    </row>
    <row r="142" spans="2:40" x14ac:dyDescent="0.15">
      <c r="B142" s="700" t="s">
        <v>17</v>
      </c>
      <c r="C142" s="721" t="str">
        <f>$C137</f>
        <v>Other</v>
      </c>
      <c r="D142" s="552" t="s">
        <v>197</v>
      </c>
      <c r="E142" s="710">
        <f>VLOOKUP($B142&amp;"_"&amp;$D142,'App5 - CRUK Inci Rates'!C:H,6,FALSE)</f>
        <v>2.4</v>
      </c>
      <c r="F142" s="711">
        <f>VLOOKUP($B142&amp;"_"&amp;$D142,'App5 - CRUK Inci Rates'!C:H,3,FALSE)</f>
        <v>0</v>
      </c>
      <c r="G142" s="712">
        <f>VLOOKUP($B142&amp;"_"&amp;$D142,'App5 - CRUK Inci Rates'!C:J,8,FALSE)</f>
        <v>1696993.3333333333</v>
      </c>
      <c r="H142" s="713">
        <f>VLOOKUP($B142&amp;"_"&amp;$D142,'App5 - CRUK Inci Rates'!C:J,7,FALSE)</f>
        <v>1696993.3333333333</v>
      </c>
      <c r="I142" s="713">
        <f>VLOOKUP($B142&amp;"_"&amp;$D142,'App5 - CRUK Inci Rates'!C:J,4,FALSE)</f>
        <v>0</v>
      </c>
      <c r="J142" s="709">
        <f>VLOOKUP($B142&amp;"_"&amp;$D142,'App5 - CRUK Inci Rates'!C:K,9,FALSE)</f>
        <v>41</v>
      </c>
      <c r="K142" s="706">
        <f t="shared" si="120"/>
        <v>848496.66666666663</v>
      </c>
      <c r="L142" s="706">
        <f>VLOOKUP("*"&amp;$B142&amp;"*",'S4 - Summ PRS Characteristics'!$C$5:$Q$12,11,FALSE)*$J142</f>
        <v>31.755675888300907</v>
      </c>
      <c r="M142" s="706">
        <f t="shared" si="121"/>
        <v>9.2443241116990933</v>
      </c>
      <c r="N142" s="706">
        <f>IF($C142="other",(1-$C$7)*L142,(1-(VLOOKUP($C142,'S3 - Screening Tool Metrics'!$C$3:$G$17,5,FALSE)/100))*L142)</f>
        <v>6.3511351776601801</v>
      </c>
      <c r="O142" s="706">
        <f>IF($C142="other",$C$7*L142,(VLOOKUP($C142,'S3 - Screening Tool Metrics'!$C$3:$G$17,5,FALSE)/100)*L142)</f>
        <v>25.404540710640727</v>
      </c>
      <c r="P142" s="706">
        <f t="shared" si="122"/>
        <v>61.962294416196897</v>
      </c>
      <c r="Q142" s="707">
        <f t="shared" si="112"/>
        <v>339398.66666666669</v>
      </c>
      <c r="R142" s="706">
        <f>VLOOKUP("*"&amp;$B142&amp;"*",'S4 - Summ PRS Characteristics'!$C$5:$Q$12,12,FALSE)*$J142</f>
        <v>19.066108587822601</v>
      </c>
      <c r="S142" s="706">
        <f t="shared" si="123"/>
        <v>21.933891412177399</v>
      </c>
      <c r="T142" s="706">
        <f>IF($C142="other",(1-$C136)*R142,(1-(VLOOKUP($C142,'S3 - Screening Tool Metrics'!$C$3:$G$17,5,FALSE)/100))*R142)</f>
        <v>3.8132217175645193</v>
      </c>
      <c r="U142" s="706">
        <f>IF($C142="other",$C136*R142,(VLOOKUP($C142,'S3 - Screening Tool Metrics'!$C$3:$G$17,5,FALSE)/100)*R142)</f>
        <v>15.252886870258081</v>
      </c>
      <c r="V142" s="708">
        <f t="shared" si="113"/>
        <v>37.202163098190447</v>
      </c>
      <c r="W142" s="707">
        <f t="shared" si="114"/>
        <v>169699.33333333334</v>
      </c>
      <c r="X142" s="706">
        <f>VLOOKUP("*"&amp;$B142&amp;"*",'S4 - Summ PRS Characteristics'!$C$5:$Q$12,13,FALSE)*$J142</f>
        <v>12.252903758270165</v>
      </c>
      <c r="Y142" s="706">
        <f t="shared" si="124"/>
        <v>28.747096241729835</v>
      </c>
      <c r="Z142" s="706">
        <f>IF($C142="other",(1-$C136)*X142,(1-(VLOOKUP($C142,'S3 - Screening Tool Metrics'!$C$3:$G$17,5,FALSE)/100))*X142)</f>
        <v>2.4505807516540323</v>
      </c>
      <c r="AA142" s="706">
        <f>IF($C142="other",$C136*X142,(VLOOKUP($C142,'S3 - Screening Tool Metrics'!$C$3:$G$17,5,FALSE)/100)*X142)</f>
        <v>9.8023230066161329</v>
      </c>
      <c r="AB142" s="708">
        <f t="shared" si="115"/>
        <v>23.908104894185691</v>
      </c>
      <c r="AC142" s="706">
        <f t="shared" si="116"/>
        <v>84849.666666666672</v>
      </c>
      <c r="AD142" s="706">
        <f>VLOOKUP("*"&amp;$B142&amp;"*",'S4 - Summ PRS Characteristics'!$C$5:$Q$12,14,FALSE)*$J142</f>
        <v>7.6449468829373881</v>
      </c>
      <c r="AE142" s="706">
        <f t="shared" si="126"/>
        <v>33.35505311706261</v>
      </c>
      <c r="AF142" s="706">
        <f>IF($C142="other",(1-$C136)*AD142,(1-(VLOOKUP($C142,'S3 - Screening Tool Metrics'!$C$3:$G$17,5,FALSE)/100))*AD142)</f>
        <v>1.5289893765874774</v>
      </c>
      <c r="AG142" s="706">
        <f>IF($C142="other",$C136*AD142,(VLOOKUP($C142,'S3 - Screening Tool Metrics'!$C$3:$G$17,5,FALSE)/100)*AD142)</f>
        <v>6.1159575063499112</v>
      </c>
      <c r="AH142" s="708">
        <f t="shared" si="117"/>
        <v>14.91696952768271</v>
      </c>
      <c r="AI142" s="707">
        <f t="shared" si="118"/>
        <v>16969.933333333334</v>
      </c>
      <c r="AJ142" s="706">
        <f>VLOOKUP("*"&amp;$B142&amp;"*",'S4 - Summ PRS Characteristics'!$C$5:$Q$12,15,FALSE)*$J142</f>
        <v>2.3745937586423143</v>
      </c>
      <c r="AK142" s="706">
        <f t="shared" si="125"/>
        <v>38.625406241357688</v>
      </c>
      <c r="AL142" s="706">
        <f>IF($C142="other",(1-$C136)*AJ142,(1-(VLOOKUP($C142,'S3 - Screening Tool Metrics'!$C$3:$G$17,5,FALSE)/100))*AJ142)</f>
        <v>0.47491875172846276</v>
      </c>
      <c r="AM142" s="706">
        <f>IF($C142="other",$C136*AJ142,(VLOOKUP($C142,'S3 - Screening Tool Metrics'!$C$3:$G$17,5,FALSE)/100)*AJ142)</f>
        <v>1.8996750069138515</v>
      </c>
      <c r="AN142" s="709">
        <f t="shared" si="119"/>
        <v>4.633353675399638</v>
      </c>
    </row>
    <row r="143" spans="2:40" x14ac:dyDescent="0.15">
      <c r="B143" s="700" t="s">
        <v>17</v>
      </c>
      <c r="C143" s="721" t="str">
        <f>$C137</f>
        <v>Other</v>
      </c>
      <c r="D143" s="552" t="s">
        <v>198</v>
      </c>
      <c r="E143" s="710">
        <f>VLOOKUP($B143&amp;"_"&amp;$D143,'App5 - CRUK Inci Rates'!C:H,6,FALSE)</f>
        <v>2.4</v>
      </c>
      <c r="F143" s="711">
        <f>VLOOKUP($B143&amp;"_"&amp;$D143,'App5 - CRUK Inci Rates'!C:H,3,FALSE)</f>
        <v>0</v>
      </c>
      <c r="G143" s="712">
        <f>VLOOKUP($B143&amp;"_"&amp;$D143,'App5 - CRUK Inci Rates'!C:J,8,FALSE)</f>
        <v>1467965</v>
      </c>
      <c r="H143" s="713">
        <f>VLOOKUP($B143&amp;"_"&amp;$D143,'App5 - CRUK Inci Rates'!C:J,7,FALSE)</f>
        <v>1467965</v>
      </c>
      <c r="I143" s="713">
        <f>VLOOKUP($B143&amp;"_"&amp;$D143,'App5 - CRUK Inci Rates'!C:J,4,FALSE)</f>
        <v>0</v>
      </c>
      <c r="J143" s="709">
        <f>VLOOKUP($B143&amp;"_"&amp;$D143,'App5 - CRUK Inci Rates'!C:K,9,FALSE)</f>
        <v>35</v>
      </c>
      <c r="K143" s="706">
        <f t="shared" si="120"/>
        <v>733982.5</v>
      </c>
      <c r="L143" s="706">
        <f>VLOOKUP("*"&amp;$B143&amp;"*",'S4 - Summ PRS Characteristics'!$C$5:$Q$12,11,FALSE)*$J143</f>
        <v>27.108503807086141</v>
      </c>
      <c r="M143" s="706">
        <f t="shared" si="121"/>
        <v>7.8914961929138592</v>
      </c>
      <c r="N143" s="706">
        <f>IF($C143="other",(1-$C$7)*L143,(1-(VLOOKUP($C143,'S3 - Screening Tool Metrics'!$C$3:$G$17,5,FALSE)/100))*L143)</f>
        <v>5.4217007614172266</v>
      </c>
      <c r="O143" s="706">
        <f>IF($C143="other",$C$7*L143,(VLOOKUP($C143,'S3 - Screening Tool Metrics'!$C$3:$G$17,5,FALSE)/100)*L143)</f>
        <v>21.686803045668913</v>
      </c>
      <c r="P143" s="706">
        <f t="shared" si="122"/>
        <v>61.962294416196897</v>
      </c>
      <c r="Q143" s="707">
        <f t="shared" si="112"/>
        <v>293593</v>
      </c>
      <c r="R143" s="706">
        <f>VLOOKUP("*"&amp;$B143&amp;"*",'S4 - Summ PRS Characteristics'!$C$5:$Q$12,12,FALSE)*$J143</f>
        <v>16.27594635545832</v>
      </c>
      <c r="S143" s="706">
        <f t="shared" si="123"/>
        <v>18.72405364454168</v>
      </c>
      <c r="T143" s="706">
        <f>IF($C143="other",(1-$C136)*R143,(1-(VLOOKUP($C143,'S3 - Screening Tool Metrics'!$C$3:$G$17,5,FALSE)/100))*R143)</f>
        <v>3.2551892710916634</v>
      </c>
      <c r="U143" s="706">
        <f>IF($C143="other",$C136*R143,(VLOOKUP($C143,'S3 - Screening Tool Metrics'!$C$3:$G$17,5,FALSE)/100)*R143)</f>
        <v>13.020757084366657</v>
      </c>
      <c r="V143" s="708">
        <f t="shared" si="113"/>
        <v>37.202163098190447</v>
      </c>
      <c r="W143" s="707">
        <f t="shared" si="114"/>
        <v>146796.5</v>
      </c>
      <c r="X143" s="706">
        <f>VLOOKUP("*"&amp;$B143&amp;"*",'S4 - Summ PRS Characteristics'!$C$5:$Q$12,13,FALSE)*$J143</f>
        <v>10.459795891206239</v>
      </c>
      <c r="Y143" s="706">
        <f t="shared" si="124"/>
        <v>24.540204108793759</v>
      </c>
      <c r="Z143" s="706">
        <f>IF($C143="other",(1-$C136)*X143,(1-(VLOOKUP($C143,'S3 - Screening Tool Metrics'!$C$3:$G$17,5,FALSE)/100))*X143)</f>
        <v>2.0919591782412472</v>
      </c>
      <c r="AA143" s="706">
        <f>IF($C143="other",$C136*X143,(VLOOKUP($C143,'S3 - Screening Tool Metrics'!$C$3:$G$17,5,FALSE)/100)*X143)</f>
        <v>8.3678367129649924</v>
      </c>
      <c r="AB143" s="708">
        <f t="shared" si="115"/>
        <v>23.908104894185691</v>
      </c>
      <c r="AC143" s="706">
        <f t="shared" si="116"/>
        <v>73398.25</v>
      </c>
      <c r="AD143" s="706">
        <f>VLOOKUP("*"&amp;$B143&amp;"*",'S4 - Summ PRS Characteristics'!$C$5:$Q$12,14,FALSE)*$J143</f>
        <v>6.5261741683611847</v>
      </c>
      <c r="AE143" s="706">
        <f t="shared" si="126"/>
        <v>28.473825831638816</v>
      </c>
      <c r="AF143" s="706">
        <f>IF($C143="other",(1-$C136)*AD143,(1-(VLOOKUP($C143,'S3 - Screening Tool Metrics'!$C$3:$G$17,5,FALSE)/100))*AD143)</f>
        <v>1.3052348336722366</v>
      </c>
      <c r="AG143" s="706">
        <f>IF($C143="other",$C136*AD143,(VLOOKUP($C143,'S3 - Screening Tool Metrics'!$C$3:$G$17,5,FALSE)/100)*AD143)</f>
        <v>5.2209393346889481</v>
      </c>
      <c r="AH143" s="708">
        <f t="shared" si="117"/>
        <v>14.916969527682708</v>
      </c>
      <c r="AI143" s="707">
        <f t="shared" si="118"/>
        <v>14679.65</v>
      </c>
      <c r="AJ143" s="706">
        <f>VLOOKUP("*"&amp;$B143&amp;"*",'S4 - Summ PRS Characteristics'!$C$5:$Q$12,15,FALSE)*$J143</f>
        <v>2.0270922329873415</v>
      </c>
      <c r="AK143" s="706">
        <f t="shared" si="125"/>
        <v>32.972907767012657</v>
      </c>
      <c r="AL143" s="706">
        <f>IF($C143="other",(1-$C136)*AJ143,(1-(VLOOKUP($C143,'S3 - Screening Tool Metrics'!$C$3:$G$17,5,FALSE)/100))*AJ143)</f>
        <v>0.40541844659746823</v>
      </c>
      <c r="AM143" s="706">
        <f>IF($C143="other",$C136*AJ143,(VLOOKUP($C143,'S3 - Screening Tool Metrics'!$C$3:$G$17,5,FALSE)/100)*AJ143)</f>
        <v>1.6216737863898734</v>
      </c>
      <c r="AN143" s="709">
        <f t="shared" si="119"/>
        <v>4.633353675399638</v>
      </c>
    </row>
    <row r="144" spans="2:40" x14ac:dyDescent="0.15">
      <c r="B144" s="700" t="s">
        <v>17</v>
      </c>
      <c r="C144" s="721" t="str">
        <f>$C137</f>
        <v>Other</v>
      </c>
      <c r="D144" s="552" t="s">
        <v>199</v>
      </c>
      <c r="E144" s="710">
        <f>VLOOKUP($B144&amp;"_"&amp;$D144,'App5 - CRUK Inci Rates'!C:H,6,FALSE)</f>
        <v>1.4</v>
      </c>
      <c r="F144" s="711">
        <f>VLOOKUP($B144&amp;"_"&amp;$D144,'App5 - CRUK Inci Rates'!C:H,3,FALSE)</f>
        <v>0</v>
      </c>
      <c r="G144" s="712">
        <f>VLOOKUP($B144&amp;"_"&amp;$D144,'App5 - CRUK Inci Rates'!C:J,8,FALSE)</f>
        <v>1007365.3333333334</v>
      </c>
      <c r="H144" s="713">
        <f>VLOOKUP($B144&amp;"_"&amp;$D144,'App5 - CRUK Inci Rates'!C:J,7,FALSE)</f>
        <v>1007365.3333333334</v>
      </c>
      <c r="I144" s="713">
        <f>VLOOKUP($B144&amp;"_"&amp;$D144,'App5 - CRUK Inci Rates'!C:J,4,FALSE)</f>
        <v>0</v>
      </c>
      <c r="J144" s="709">
        <f>VLOOKUP($B144&amp;"_"&amp;$D144,'App5 - CRUK Inci Rates'!C:K,9,FALSE)</f>
        <v>14</v>
      </c>
      <c r="K144" s="706">
        <f t="shared" si="120"/>
        <v>503682.66666666669</v>
      </c>
      <c r="L144" s="706">
        <f>VLOOKUP("*"&amp;$B144&amp;"*",'S4 - Summ PRS Characteristics'!$C$5:$Q$12,11,FALSE)*$J144</f>
        <v>10.843401522834455</v>
      </c>
      <c r="M144" s="706">
        <f t="shared" si="121"/>
        <v>3.1565984771655451</v>
      </c>
      <c r="N144" s="706">
        <f>IF($C144="other",(1-$C$7)*L144,(1-(VLOOKUP($C144,'S3 - Screening Tool Metrics'!$C$3:$G$17,5,FALSE)/100))*L144)</f>
        <v>2.1686803045668905</v>
      </c>
      <c r="O144" s="706">
        <f>IF($C144="other",$C$7*L144,(VLOOKUP($C144,'S3 - Screening Tool Metrics'!$C$3:$G$17,5,FALSE)/100)*L144)</f>
        <v>8.6747212182675639</v>
      </c>
      <c r="P144" s="706">
        <f t="shared" si="122"/>
        <v>61.962294416196883</v>
      </c>
      <c r="Q144" s="707">
        <f t="shared" si="112"/>
        <v>201473.06666666668</v>
      </c>
      <c r="R144" s="706">
        <f>VLOOKUP("*"&amp;$B144&amp;"*",'S4 - Summ PRS Characteristics'!$C$5:$Q$12,12,FALSE)*$J144</f>
        <v>6.5103785421833278</v>
      </c>
      <c r="S144" s="706">
        <f t="shared" si="123"/>
        <v>7.4896214578166722</v>
      </c>
      <c r="T144" s="706">
        <f>IF($C144="other",(1-$C136)*R144,(1-(VLOOKUP($C144,'S3 - Screening Tool Metrics'!$C$3:$G$17,5,FALSE)/100))*R144)</f>
        <v>1.3020757084366652</v>
      </c>
      <c r="U144" s="706">
        <f>IF($C144="other",$C136*R144,(VLOOKUP($C144,'S3 - Screening Tool Metrics'!$C$3:$G$17,5,FALSE)/100)*R144)</f>
        <v>5.2083028337466626</v>
      </c>
      <c r="V144" s="708">
        <f t="shared" si="113"/>
        <v>37.202163098190447</v>
      </c>
      <c r="W144" s="707">
        <f t="shared" si="114"/>
        <v>100736.53333333334</v>
      </c>
      <c r="X144" s="706">
        <f>VLOOKUP("*"&amp;$B144&amp;"*",'S4 - Summ PRS Characteristics'!$C$5:$Q$12,13,FALSE)*$J144</f>
        <v>4.1839183564824953</v>
      </c>
      <c r="Y144" s="706">
        <f t="shared" si="124"/>
        <v>9.8160816435175047</v>
      </c>
      <c r="Z144" s="706">
        <f>IF($C144="other",(1-$C136)*X144,(1-(VLOOKUP($C144,'S3 - Screening Tool Metrics'!$C$3:$G$17,5,FALSE)/100))*X144)</f>
        <v>0.83678367129649889</v>
      </c>
      <c r="AA144" s="706">
        <f>IF($C144="other",$C136*X144,(VLOOKUP($C144,'S3 - Screening Tool Metrics'!$C$3:$G$17,5,FALSE)/100)*X144)</f>
        <v>3.3471346851859964</v>
      </c>
      <c r="AB144" s="708">
        <f t="shared" si="115"/>
        <v>23.908104894185691</v>
      </c>
      <c r="AC144" s="706">
        <f t="shared" si="116"/>
        <v>50368.26666666667</v>
      </c>
      <c r="AD144" s="706">
        <f>VLOOKUP("*"&amp;$B144&amp;"*",'S4 - Summ PRS Characteristics'!$C$5:$Q$12,14,FALSE)*$J144</f>
        <v>2.6104696673444741</v>
      </c>
      <c r="AE144" s="706">
        <f t="shared" si="126"/>
        <v>11.389530332655525</v>
      </c>
      <c r="AF144" s="706">
        <f>IF($C144="other",(1-$C136)*AD144,(1-(VLOOKUP($C144,'S3 - Screening Tool Metrics'!$C$3:$G$17,5,FALSE)/100))*AD144)</f>
        <v>0.52209393346889466</v>
      </c>
      <c r="AG144" s="706">
        <f>IF($C144="other",$C136*AD144,(VLOOKUP($C144,'S3 - Screening Tool Metrics'!$C$3:$G$17,5,FALSE)/100)*AD144)</f>
        <v>2.0883757338755795</v>
      </c>
      <c r="AH144" s="708">
        <f t="shared" si="117"/>
        <v>14.91696952768271</v>
      </c>
      <c r="AI144" s="707">
        <f t="shared" si="118"/>
        <v>10073.653333333334</v>
      </c>
      <c r="AJ144" s="706">
        <f>VLOOKUP("*"&amp;$B144&amp;"*",'S4 - Summ PRS Characteristics'!$C$5:$Q$12,15,FALSE)*$J144</f>
        <v>0.81083689319493668</v>
      </c>
      <c r="AK144" s="706">
        <f t="shared" si="125"/>
        <v>13.189163106805063</v>
      </c>
      <c r="AL144" s="706">
        <f>IF($C144="other",(1-$C136)*AJ144,(1-(VLOOKUP($C144,'S3 - Screening Tool Metrics'!$C$3:$G$17,5,FALSE)/100))*AJ144)</f>
        <v>0.16216737863898731</v>
      </c>
      <c r="AM144" s="706">
        <f>IF($C144="other",$C136*AJ144,(VLOOKUP($C144,'S3 - Screening Tool Metrics'!$C$3:$G$17,5,FALSE)/100)*AJ144)</f>
        <v>0.64866951455594934</v>
      </c>
      <c r="AN144" s="709">
        <f t="shared" si="119"/>
        <v>4.633353675399638</v>
      </c>
    </row>
    <row r="145" spans="2:40" x14ac:dyDescent="0.15">
      <c r="B145" s="700" t="s">
        <v>17</v>
      </c>
      <c r="C145" s="721" t="str">
        <f>$C137</f>
        <v>Other</v>
      </c>
      <c r="D145" s="552" t="s">
        <v>206</v>
      </c>
      <c r="E145" s="710">
        <f>VLOOKUP($B145&amp;"_"&amp;$D145,'App5 - CRUK Inci Rates'!C:H,6,FALSE)</f>
        <v>16.008675806590755</v>
      </c>
      <c r="F145" s="711">
        <f>VLOOKUP($B145&amp;"_"&amp;$D145,'App5 - CRUK Inci Rates'!C:H,3,FALSE)</f>
        <v>0</v>
      </c>
      <c r="G145" s="712">
        <f>VLOOKUP($B145&amp;"_"&amp;$D145,'App5 - CRUK Inci Rates'!C:J,8,FALSE)</f>
        <v>8782737.666666666</v>
      </c>
      <c r="H145" s="713">
        <f>VLOOKUP($B145&amp;"_"&amp;$D145,'App5 - CRUK Inci Rates'!C:J,7,FALSE)</f>
        <v>8782737.666666666</v>
      </c>
      <c r="I145" s="713">
        <f>VLOOKUP($B145&amp;"_"&amp;$D145,'App5 - CRUK Inci Rates'!C:J,4,FALSE)</f>
        <v>0</v>
      </c>
      <c r="J145" s="709">
        <f>VLOOKUP($B145&amp;"_"&amp;$D145,'App5 - CRUK Inci Rates'!C:K,9,FALSE)</f>
        <v>1406</v>
      </c>
      <c r="K145" s="706">
        <f t="shared" si="120"/>
        <v>4391368.833333333</v>
      </c>
      <c r="L145" s="706">
        <f>VLOOKUP("*"&amp;$B145&amp;"*",'S4 - Summ PRS Characteristics'!$C$5:$Q$12,11,FALSE)*$J145</f>
        <v>1088.9873243646603</v>
      </c>
      <c r="M145" s="706">
        <f t="shared" si="121"/>
        <v>317.01267563533975</v>
      </c>
      <c r="N145" s="706">
        <f>IF($C145="other",(1-$C$7)*L145,(1-(VLOOKUP($C145,'S3 - Screening Tool Metrics'!$C$3:$G$17,5,FALSE)/100))*L145)</f>
        <v>217.79746487293201</v>
      </c>
      <c r="O145" s="706">
        <f>IF($C145="other",$C$7*L145,(VLOOKUP($C145,'S3 - Screening Tool Metrics'!$C$3:$G$17,5,FALSE)/100)*L145)</f>
        <v>871.18985949172827</v>
      </c>
      <c r="P145" s="706">
        <f t="shared" si="122"/>
        <v>61.962294416196897</v>
      </c>
      <c r="Q145" s="707">
        <f t="shared" si="112"/>
        <v>1756547.5333333332</v>
      </c>
      <c r="R145" s="706">
        <f>VLOOKUP("*"&amp;$B145&amp;"*",'S4 - Summ PRS Characteristics'!$C$5:$Q$12,12,FALSE)*$J145</f>
        <v>653.82801645069708</v>
      </c>
      <c r="S145" s="706">
        <f t="shared" si="123"/>
        <v>752.17198354930292</v>
      </c>
      <c r="T145" s="706">
        <f>IF($C145="other",(1-$C136)*R145,(1-(VLOOKUP($C145,'S3 - Screening Tool Metrics'!$C$3:$G$17,5,FALSE)/100))*R145)</f>
        <v>130.76560329013938</v>
      </c>
      <c r="U145" s="706">
        <f>IF($C145="other",$C136*R145,(VLOOKUP($C145,'S3 - Screening Tool Metrics'!$C$3:$G$17,5,FALSE)/100)*R145)</f>
        <v>523.06241316055764</v>
      </c>
      <c r="V145" s="708">
        <f t="shared" si="113"/>
        <v>37.202163098190447</v>
      </c>
      <c r="W145" s="707">
        <f t="shared" si="114"/>
        <v>878273.7666666666</v>
      </c>
      <c r="X145" s="706">
        <f>VLOOKUP("*"&amp;$B145&amp;"*",'S4 - Summ PRS Characteristics'!$C$5:$Q$12,13,FALSE)*$J145</f>
        <v>420.18494351531348</v>
      </c>
      <c r="Y145" s="706">
        <f t="shared" si="124"/>
        <v>985.81505648468647</v>
      </c>
      <c r="Z145" s="706">
        <f>IF($C145="other",(1-$C136)*X145,(1-(VLOOKUP($C145,'S3 - Screening Tool Metrics'!$C$3:$G$17,5,FALSE)/100))*X145)</f>
        <v>84.036988703062676</v>
      </c>
      <c r="AA145" s="706">
        <f>IF($C145="other",$C136*X145,(VLOOKUP($C145,'S3 - Screening Tool Metrics'!$C$3:$G$17,5,FALSE)/100)*X145)</f>
        <v>336.14795481225082</v>
      </c>
      <c r="AB145" s="708">
        <f t="shared" si="115"/>
        <v>23.908104894185691</v>
      </c>
      <c r="AC145" s="706">
        <f t="shared" si="116"/>
        <v>439136.8833333333</v>
      </c>
      <c r="AD145" s="706">
        <f>VLOOKUP("*"&amp;$B145&amp;"*",'S4 - Summ PRS Characteristics'!$C$5:$Q$12,14,FALSE)*$J145</f>
        <v>262.16573944902359</v>
      </c>
      <c r="AE145" s="706">
        <f t="shared" si="126"/>
        <v>1143.8342605509765</v>
      </c>
      <c r="AF145" s="706">
        <f>IF($C145="other",(1-$C136)*AD145,(1-(VLOOKUP($C145,'S3 - Screening Tool Metrics'!$C$3:$G$17,5,FALSE)/100))*AD145)</f>
        <v>52.433147889804708</v>
      </c>
      <c r="AG145" s="706">
        <f>IF($C145="other",$C136*AD145,(VLOOKUP($C145,'S3 - Screening Tool Metrics'!$C$3:$G$17,5,FALSE)/100)*AD145)</f>
        <v>209.73259155921889</v>
      </c>
      <c r="AH145" s="708">
        <f t="shared" si="117"/>
        <v>14.916969527682708</v>
      </c>
      <c r="AI145" s="707">
        <f t="shared" si="118"/>
        <v>87827.376666666663</v>
      </c>
      <c r="AJ145" s="706">
        <f>VLOOKUP("*"&amp;$B145&amp;"*",'S4 - Summ PRS Characteristics'!$C$5:$Q$12,15,FALSE)*$J145</f>
        <v>81.431190845148635</v>
      </c>
      <c r="AK145" s="706">
        <f t="shared" si="125"/>
        <v>1324.5688091548514</v>
      </c>
      <c r="AL145" s="706">
        <f>IF($C145="other",(1-$C136)*AJ145,(1-(VLOOKUP($C145,'S3 - Screening Tool Metrics'!$C$3:$G$17,5,FALSE)/100))*AJ145)</f>
        <v>16.286238169029723</v>
      </c>
      <c r="AM145" s="706">
        <f>IF($C145="other",$C136*AJ145,(VLOOKUP($C145,'S3 - Screening Tool Metrics'!$C$3:$G$17,5,FALSE)/100)*AJ145)</f>
        <v>65.144952676118905</v>
      </c>
      <c r="AN145" s="709">
        <f t="shared" si="119"/>
        <v>4.6333536753996372</v>
      </c>
    </row>
    <row r="146" spans="2:40" x14ac:dyDescent="0.15">
      <c r="B146" s="700" t="s">
        <v>17</v>
      </c>
      <c r="C146" s="721" t="str">
        <f>$C137</f>
        <v>Other</v>
      </c>
      <c r="D146" s="552" t="s">
        <v>200</v>
      </c>
      <c r="E146" s="710">
        <f>VLOOKUP($B146&amp;"_"&amp;$D146,'App5 - CRUK Inci Rates'!C:H,6,FALSE)</f>
        <v>6.782309267126819</v>
      </c>
      <c r="F146" s="711">
        <f>VLOOKUP($B146&amp;"_"&amp;$D146,'App5 - CRUK Inci Rates'!C:H,3,FALSE)</f>
        <v>0</v>
      </c>
      <c r="G146" s="712">
        <f>VLOOKUP($B146&amp;"_"&amp;$D146,'App5 - CRUK Inci Rates'!C:J,8,FALSE)</f>
        <v>12090277.333333334</v>
      </c>
      <c r="H146" s="713">
        <f>VLOOKUP($B146&amp;"_"&amp;$D146,'App5 - CRUK Inci Rates'!C:J,7,FALSE)</f>
        <v>12090277.333333334</v>
      </c>
      <c r="I146" s="713">
        <f>VLOOKUP($B146&amp;"_"&amp;$D146,'App5 - CRUK Inci Rates'!C:J,4,FALSE)</f>
        <v>0</v>
      </c>
      <c r="J146" s="709">
        <f>VLOOKUP($B146&amp;"_"&amp;$D146,'App5 - CRUK Inci Rates'!C:K,9,FALSE)</f>
        <v>820</v>
      </c>
      <c r="K146" s="706">
        <f t="shared" si="120"/>
        <v>6045138.666666667</v>
      </c>
      <c r="L146" s="706">
        <f>VLOOKUP("*"&amp;$B146&amp;"*",'S4 - Summ PRS Characteristics'!$C$5:$Q$12,11,FALSE)*$J146</f>
        <v>635.11351776601816</v>
      </c>
      <c r="M146" s="706">
        <f t="shared" si="121"/>
        <v>184.88648223398184</v>
      </c>
      <c r="N146" s="706">
        <f>IF($C146="other",(1-$C$7)*L146,(1-(VLOOKUP($C146,'S3 - Screening Tool Metrics'!$C$3:$G$17,5,FALSE)/100))*L146)</f>
        <v>127.0227035532036</v>
      </c>
      <c r="O146" s="706">
        <f>IF($C146="other",$C$7*L146,(VLOOKUP($C146,'S3 - Screening Tool Metrics'!$C$3:$G$17,5,FALSE)/100)*L146)</f>
        <v>508.09081421281456</v>
      </c>
      <c r="P146" s="706">
        <f t="shared" si="122"/>
        <v>61.962294416196897</v>
      </c>
      <c r="Q146" s="707">
        <f t="shared" si="112"/>
        <v>2418055.4666666668</v>
      </c>
      <c r="R146" s="706">
        <f>VLOOKUP("*"&amp;$B146&amp;"*",'S4 - Summ PRS Characteristics'!$C$5:$Q$12,12,FALSE)*$J146</f>
        <v>381.32217175645206</v>
      </c>
      <c r="S146" s="706">
        <f t="shared" si="123"/>
        <v>438.67782824354794</v>
      </c>
      <c r="T146" s="706">
        <f>IF($C146="other",(1-$C136)*R146,(1-(VLOOKUP($C146,'S3 - Screening Tool Metrics'!$C$3:$G$17,5,FALSE)/100))*R146)</f>
        <v>76.26443435129039</v>
      </c>
      <c r="U146" s="706">
        <f>IF($C146="other",$C136*R146,(VLOOKUP($C146,'S3 - Screening Tool Metrics'!$C$3:$G$17,5,FALSE)/100)*R146)</f>
        <v>305.05773740516167</v>
      </c>
      <c r="V146" s="708">
        <f t="shared" si="113"/>
        <v>37.202163098190447</v>
      </c>
      <c r="W146" s="707">
        <f t="shared" si="114"/>
        <v>1209027.7333333334</v>
      </c>
      <c r="X146" s="706">
        <f>VLOOKUP("*"&amp;$B146&amp;"*",'S4 - Summ PRS Characteristics'!$C$5:$Q$12,13,FALSE)*$J146</f>
        <v>245.05807516540332</v>
      </c>
      <c r="Y146" s="706">
        <f t="shared" si="124"/>
        <v>574.94192483459665</v>
      </c>
      <c r="Z146" s="706">
        <f>IF($C146="other",(1-$C136)*X146,(1-(VLOOKUP($C146,'S3 - Screening Tool Metrics'!$C$3:$G$17,5,FALSE)/100))*X146)</f>
        <v>49.011615033080652</v>
      </c>
      <c r="AA146" s="706">
        <f>IF($C146="other",$C136*X146,(VLOOKUP($C146,'S3 - Screening Tool Metrics'!$C$3:$G$17,5,FALSE)/100)*X146)</f>
        <v>196.04646013232266</v>
      </c>
      <c r="AB146" s="708">
        <f t="shared" si="115"/>
        <v>23.908104894185691</v>
      </c>
      <c r="AC146" s="706">
        <f t="shared" si="116"/>
        <v>604513.8666666667</v>
      </c>
      <c r="AD146" s="706">
        <f>VLOOKUP("*"&amp;$B146&amp;"*",'S4 - Summ PRS Characteristics'!$C$5:$Q$12,14,FALSE)*$J146</f>
        <v>152.89893765874777</v>
      </c>
      <c r="AE146" s="706">
        <f t="shared" si="126"/>
        <v>667.10106234125226</v>
      </c>
      <c r="AF146" s="706">
        <f>IF($C146="other",(1-$C136)*AD146,(1-(VLOOKUP($C146,'S3 - Screening Tool Metrics'!$C$3:$G$17,5,FALSE)/100))*AD146)</f>
        <v>30.579787531749545</v>
      </c>
      <c r="AG146" s="706">
        <f>IF($C146="other",$C136*AD146,(VLOOKUP($C146,'S3 - Screening Tool Metrics'!$C$3:$G$17,5,FALSE)/100)*AD146)</f>
        <v>122.31915012699822</v>
      </c>
      <c r="AH146" s="708">
        <f t="shared" si="117"/>
        <v>14.91696952768271</v>
      </c>
      <c r="AI146" s="707">
        <f t="shared" si="118"/>
        <v>120902.77333333335</v>
      </c>
      <c r="AJ146" s="706">
        <f>VLOOKUP("*"&amp;$B146&amp;"*",'S4 - Summ PRS Characteristics'!$C$5:$Q$12,15,FALSE)*$J146</f>
        <v>47.491875172846292</v>
      </c>
      <c r="AK146" s="706">
        <f t="shared" si="125"/>
        <v>772.50812482715367</v>
      </c>
      <c r="AL146" s="706">
        <f>IF($C146="other",(1-$C136)*AJ146,(1-(VLOOKUP($C146,'S3 - Screening Tool Metrics'!$C$3:$G$17,5,FALSE)/100))*AJ146)</f>
        <v>9.498375034569257</v>
      </c>
      <c r="AM146" s="706">
        <f>IF($C146="other",$C136*AJ146,(VLOOKUP($C146,'S3 - Screening Tool Metrics'!$C$3:$G$17,5,FALSE)/100)*AJ146)</f>
        <v>37.993500138277035</v>
      </c>
      <c r="AN146" s="709">
        <f t="shared" si="119"/>
        <v>4.6333536753996389</v>
      </c>
    </row>
    <row r="147" spans="2:40" x14ac:dyDescent="0.15">
      <c r="B147" s="700" t="s">
        <v>17</v>
      </c>
      <c r="C147" s="721" t="str">
        <f>$C137</f>
        <v>Other</v>
      </c>
      <c r="D147" s="552" t="s">
        <v>201</v>
      </c>
      <c r="E147" s="710">
        <f>VLOOKUP($B147&amp;"_"&amp;$D147,'App5 - CRUK Inci Rates'!C:H,6,FALSE)</f>
        <v>10.741704977707645</v>
      </c>
      <c r="F147" s="711">
        <f>VLOOKUP($B147&amp;"_"&amp;$D147,'App5 - CRUK Inci Rates'!C:H,3,FALSE)</f>
        <v>0</v>
      </c>
      <c r="G147" s="712">
        <f>VLOOKUP($B147&amp;"_"&amp;$D147,'App5 - CRUK Inci Rates'!C:J,8,FALSE)</f>
        <v>4273064.666666667</v>
      </c>
      <c r="H147" s="713">
        <f>VLOOKUP($B147&amp;"_"&amp;$D147,'App5 - CRUK Inci Rates'!C:J,7,FALSE)</f>
        <v>4273064.666666667</v>
      </c>
      <c r="I147" s="713">
        <f>VLOOKUP($B147&amp;"_"&amp;$D147,'App5 - CRUK Inci Rates'!C:J,4,FALSE)</f>
        <v>0</v>
      </c>
      <c r="J147" s="709">
        <f>VLOOKUP($B147&amp;"_"&amp;$D147,'App5 - CRUK Inci Rates'!C:K,9,FALSE)</f>
        <v>459</v>
      </c>
      <c r="K147" s="706">
        <f t="shared" si="120"/>
        <v>2136532.3333333335</v>
      </c>
      <c r="L147" s="706">
        <f>VLOOKUP("*"&amp;$B147&amp;"*",'S4 - Summ PRS Characteristics'!$C$5:$Q$12,11,FALSE)*$J147</f>
        <v>355.50866421292966</v>
      </c>
      <c r="M147" s="706">
        <f t="shared" si="121"/>
        <v>103.49133578707034</v>
      </c>
      <c r="N147" s="706">
        <f>IF($C147="other",(1-$C$7)*L147,(1-(VLOOKUP($C147,'S3 - Screening Tool Metrics'!$C$3:$G$17,5,FALSE)/100))*L147)</f>
        <v>71.101732842585918</v>
      </c>
      <c r="O147" s="706">
        <f>IF($C147="other",$C$7*L147,(VLOOKUP($C147,'S3 - Screening Tool Metrics'!$C$3:$G$17,5,FALSE)/100)*L147)</f>
        <v>284.40693137034373</v>
      </c>
      <c r="P147" s="706">
        <f t="shared" si="122"/>
        <v>61.962294416196897</v>
      </c>
      <c r="Q147" s="707">
        <f t="shared" si="112"/>
        <v>854612.93333333347</v>
      </c>
      <c r="R147" s="706">
        <f>VLOOKUP("*"&amp;$B147&amp;"*",'S4 - Summ PRS Characteristics'!$C$5:$Q$12,12,FALSE)*$J147</f>
        <v>213.44741077586767</v>
      </c>
      <c r="S147" s="706">
        <f t="shared" si="123"/>
        <v>245.55258922413233</v>
      </c>
      <c r="T147" s="706">
        <f>IF($C147="other",(1-$C136)*R147,(1-(VLOOKUP($C147,'S3 - Screening Tool Metrics'!$C$3:$G$17,5,FALSE)/100))*R147)</f>
        <v>42.689482155173522</v>
      </c>
      <c r="U147" s="706">
        <f>IF($C147="other",$C136*R147,(VLOOKUP($C147,'S3 - Screening Tool Metrics'!$C$3:$G$17,5,FALSE)/100)*R147)</f>
        <v>170.75792862069414</v>
      </c>
      <c r="V147" s="708">
        <f t="shared" si="113"/>
        <v>37.202163098190447</v>
      </c>
      <c r="W147" s="707">
        <f t="shared" si="114"/>
        <v>427306.46666666673</v>
      </c>
      <c r="X147" s="706">
        <f>VLOOKUP("*"&amp;$B147&amp;"*",'S4 - Summ PRS Characteristics'!$C$5:$Q$12,13,FALSE)*$J147</f>
        <v>137.17275183039038</v>
      </c>
      <c r="Y147" s="706">
        <f t="shared" si="124"/>
        <v>321.82724816960962</v>
      </c>
      <c r="Z147" s="706">
        <f>IF($C147="other",(1-$C136)*X147,(1-(VLOOKUP($C147,'S3 - Screening Tool Metrics'!$C$3:$G$17,5,FALSE)/100))*X147)</f>
        <v>27.434550366078071</v>
      </c>
      <c r="AA147" s="706">
        <f>IF($C147="other",$C136*X147,(VLOOKUP($C147,'S3 - Screening Tool Metrics'!$C$3:$G$17,5,FALSE)/100)*X147)</f>
        <v>109.73820146431231</v>
      </c>
      <c r="AB147" s="708">
        <f t="shared" si="115"/>
        <v>23.908104894185691</v>
      </c>
      <c r="AC147" s="706">
        <f t="shared" si="116"/>
        <v>213653.23333333337</v>
      </c>
      <c r="AD147" s="706">
        <f>VLOOKUP("*"&amp;$B147&amp;"*",'S4 - Summ PRS Characteristics'!$C$5:$Q$12,14,FALSE)*$J147</f>
        <v>85.58611266507954</v>
      </c>
      <c r="AE147" s="706">
        <f t="shared" si="126"/>
        <v>373.41388733492045</v>
      </c>
      <c r="AF147" s="706">
        <f>IF($C147="other",(1-$C136)*AD147,(1-(VLOOKUP($C147,'S3 - Screening Tool Metrics'!$C$3:$G$17,5,FALSE)/100))*AD147)</f>
        <v>17.117222533015905</v>
      </c>
      <c r="AG147" s="706">
        <f>IF($C147="other",$C136*AD147,(VLOOKUP($C147,'S3 - Screening Tool Metrics'!$C$3:$G$17,5,FALSE)/100)*AD147)</f>
        <v>68.468890132063635</v>
      </c>
      <c r="AH147" s="708">
        <f t="shared" si="117"/>
        <v>14.916969527682708</v>
      </c>
      <c r="AI147" s="707">
        <f t="shared" si="118"/>
        <v>42730.646666666667</v>
      </c>
      <c r="AJ147" s="706">
        <f>VLOOKUP("*"&amp;$B147&amp;"*",'S4 - Summ PRS Characteristics'!$C$5:$Q$12,15,FALSE)*$J147</f>
        <v>26.583866712605424</v>
      </c>
      <c r="AK147" s="706">
        <f t="shared" si="125"/>
        <v>432.41613328739459</v>
      </c>
      <c r="AL147" s="706">
        <f>IF($C147="other",(1-$C136)*AJ147,(1-(VLOOKUP($C147,'S3 - Screening Tool Metrics'!$C$3:$G$17,5,FALSE)/100))*AJ147)</f>
        <v>5.3167733425210839</v>
      </c>
      <c r="AM147" s="706">
        <f>IF($C147="other",$C136*AJ147,(VLOOKUP($C147,'S3 - Screening Tool Metrics'!$C$3:$G$17,5,FALSE)/100)*AJ147)</f>
        <v>21.267093370084339</v>
      </c>
      <c r="AN147" s="709">
        <f t="shared" si="119"/>
        <v>4.633353675399638</v>
      </c>
    </row>
    <row r="148" spans="2:40" x14ac:dyDescent="0.15">
      <c r="B148" s="700" t="s">
        <v>17</v>
      </c>
      <c r="C148" s="721" t="str">
        <f>$C137</f>
        <v>Other</v>
      </c>
      <c r="D148" s="552" t="s">
        <v>202</v>
      </c>
      <c r="E148" s="710">
        <f>VLOOKUP($B148&amp;"_"&amp;$D148,'App5 - CRUK Inci Rates'!C:H,6,FALSE)</f>
        <v>6.1532932287600035</v>
      </c>
      <c r="F148" s="711">
        <f>VLOOKUP($B148&amp;"_"&amp;$D148,'App5 - CRUK Inci Rates'!C:H,3,FALSE)</f>
        <v>0</v>
      </c>
      <c r="G148" s="712">
        <f>VLOOKUP($B148&amp;"_"&amp;$D148,'App5 - CRUK Inci Rates'!C:J,8,FALSE)</f>
        <v>4355391.333333333</v>
      </c>
      <c r="H148" s="713">
        <f>VLOOKUP($B148&amp;"_"&amp;$D148,'App5 - CRUK Inci Rates'!C:J,7,FALSE)</f>
        <v>4355391.333333333</v>
      </c>
      <c r="I148" s="713">
        <f>VLOOKUP($B148&amp;"_"&amp;$D148,'App5 - CRUK Inci Rates'!C:J,4,FALSE)</f>
        <v>0</v>
      </c>
      <c r="J148" s="709">
        <f>VLOOKUP($B148&amp;"_"&amp;$D148,'App5 - CRUK Inci Rates'!C:K,9,FALSE)</f>
        <v>268</v>
      </c>
      <c r="K148" s="706">
        <f t="shared" si="120"/>
        <v>2177695.6666666665</v>
      </c>
      <c r="L148" s="706">
        <f>VLOOKUP("*"&amp;$B148&amp;"*",'S4 - Summ PRS Characteristics'!$C$5:$Q$12,11,FALSE)*$J148</f>
        <v>207.57368629425957</v>
      </c>
      <c r="M148" s="706">
        <f t="shared" si="121"/>
        <v>60.426313705740426</v>
      </c>
      <c r="N148" s="706">
        <f>IF($C148="other",(1-$C$7)*L148,(1-(VLOOKUP($C148,'S3 - Screening Tool Metrics'!$C$3:$G$17,5,FALSE)/100))*L148)</f>
        <v>41.514737258851909</v>
      </c>
      <c r="O148" s="706">
        <f>IF($C148="other",$C$7*L148,(VLOOKUP($C148,'S3 - Screening Tool Metrics'!$C$3:$G$17,5,FALSE)/100)*L148)</f>
        <v>166.05894903540766</v>
      </c>
      <c r="P148" s="706">
        <f t="shared" si="122"/>
        <v>61.962294416196897</v>
      </c>
      <c r="Q148" s="707">
        <f t="shared" si="112"/>
        <v>871078.2666666666</v>
      </c>
      <c r="R148" s="706">
        <f>VLOOKUP("*"&amp;$B148&amp;"*",'S4 - Summ PRS Characteristics'!$C$5:$Q$12,12,FALSE)*$J148</f>
        <v>124.62724637893798</v>
      </c>
      <c r="S148" s="706">
        <f t="shared" si="123"/>
        <v>143.37275362106203</v>
      </c>
      <c r="T148" s="706">
        <f>IF($C148="other",(1-$C136)*R148,(1-(VLOOKUP($C148,'S3 - Screening Tool Metrics'!$C$3:$G$17,5,FALSE)/100))*R148)</f>
        <v>24.925449275787592</v>
      </c>
      <c r="U148" s="706">
        <f>IF($C148="other",$C136*R148,(VLOOKUP($C148,'S3 - Screening Tool Metrics'!$C$3:$G$17,5,FALSE)/100)*R148)</f>
        <v>99.701797103150398</v>
      </c>
      <c r="V148" s="708">
        <f t="shared" si="113"/>
        <v>37.202163098190447</v>
      </c>
      <c r="W148" s="707">
        <f t="shared" si="114"/>
        <v>435539.1333333333</v>
      </c>
      <c r="X148" s="706">
        <f>VLOOKUP("*"&amp;$B148&amp;"*",'S4 - Summ PRS Characteristics'!$C$5:$Q$12,13,FALSE)*$J148</f>
        <v>80.092151395522052</v>
      </c>
      <c r="Y148" s="706">
        <f t="shared" si="124"/>
        <v>187.90784860447795</v>
      </c>
      <c r="Z148" s="706">
        <f>IF($C148="other",(1-$C136)*X148,(1-(VLOOKUP($C148,'S3 - Screening Tool Metrics'!$C$3:$G$17,5,FALSE)/100))*X148)</f>
        <v>16.018430279104408</v>
      </c>
      <c r="AA148" s="706">
        <f>IF($C148="other",$C136*X148,(VLOOKUP($C148,'S3 - Screening Tool Metrics'!$C$3:$G$17,5,FALSE)/100)*X148)</f>
        <v>64.073721116417644</v>
      </c>
      <c r="AB148" s="708">
        <f t="shared" si="115"/>
        <v>23.908104894185691</v>
      </c>
      <c r="AC148" s="706">
        <f t="shared" si="116"/>
        <v>217769.56666666665</v>
      </c>
      <c r="AD148" s="706">
        <f>VLOOKUP("*"&amp;$B148&amp;"*",'S4 - Summ PRS Characteristics'!$C$5:$Q$12,14,FALSE)*$J148</f>
        <v>49.971847917737072</v>
      </c>
      <c r="AE148" s="706">
        <f t="shared" si="126"/>
        <v>218.02815208226292</v>
      </c>
      <c r="AF148" s="706">
        <f>IF($C148="other",(1-$C136)*AD148,(1-(VLOOKUP($C148,'S3 - Screening Tool Metrics'!$C$3:$G$17,5,FALSE)/100))*AD148)</f>
        <v>9.994369583547412</v>
      </c>
      <c r="AG148" s="706">
        <f>IF($C148="other",$C136*AD148,(VLOOKUP($C148,'S3 - Screening Tool Metrics'!$C$3:$G$17,5,FALSE)/100)*AD148)</f>
        <v>39.977478334189662</v>
      </c>
      <c r="AH148" s="708">
        <f t="shared" si="117"/>
        <v>14.91696952768271</v>
      </c>
      <c r="AI148" s="707">
        <f t="shared" si="118"/>
        <v>43553.91333333333</v>
      </c>
      <c r="AJ148" s="706">
        <f>VLOOKUP("*"&amp;$B148&amp;"*",'S4 - Summ PRS Characteristics'!$C$5:$Q$12,15,FALSE)*$J148</f>
        <v>15.521734812588788</v>
      </c>
      <c r="AK148" s="706">
        <f t="shared" si="125"/>
        <v>252.47826518741121</v>
      </c>
      <c r="AL148" s="706">
        <f>IF($C148="other",(1-$C136)*AJ148,(1-(VLOOKUP($C148,'S3 - Screening Tool Metrics'!$C$3:$G$17,5,FALSE)/100))*AJ148)</f>
        <v>3.1043469625177567</v>
      </c>
      <c r="AM148" s="706">
        <f>IF($C148="other",$C136*AJ148,(VLOOKUP($C148,'S3 - Screening Tool Metrics'!$C$3:$G$17,5,FALSE)/100)*AJ148)</f>
        <v>12.41738785007103</v>
      </c>
      <c r="AN148" s="709">
        <f t="shared" si="119"/>
        <v>4.633353675399638</v>
      </c>
    </row>
    <row r="149" spans="2:40" x14ac:dyDescent="0.15">
      <c r="B149" s="700" t="s">
        <v>17</v>
      </c>
      <c r="C149" s="721" t="str">
        <f t="shared" ref="C149:C150" si="127">$C138</f>
        <v>Other</v>
      </c>
      <c r="D149" s="552" t="s">
        <v>203</v>
      </c>
      <c r="E149" s="710">
        <f>VLOOKUP($B149&amp;"_"&amp;$D149,'App5 - CRUK Inci Rates'!C:H,6,FALSE)</f>
        <v>4.6180143152474038</v>
      </c>
      <c r="F149" s="711">
        <f>VLOOKUP($B149&amp;"_"&amp;$D149,'App5 - CRUK Inci Rates'!C:H,3,FALSE)</f>
        <v>0</v>
      </c>
      <c r="G149" s="712">
        <f>VLOOKUP($B149&amp;"_"&amp;$D149,'App5 - CRUK Inci Rates'!C:J,8,FALSE)</f>
        <v>7817212.666666666</v>
      </c>
      <c r="H149" s="713">
        <f>VLOOKUP($B149&amp;"_"&amp;$D149,'App5 - CRUK Inci Rates'!C:J,7,FALSE)</f>
        <v>7817212.666666666</v>
      </c>
      <c r="I149" s="713">
        <f>VLOOKUP($B149&amp;"_"&amp;$D149,'App5 - CRUK Inci Rates'!C:J,4,FALSE)</f>
        <v>0</v>
      </c>
      <c r="J149" s="709">
        <f>VLOOKUP($B149&amp;"_"&amp;$D149,'App5 - CRUK Inci Rates'!C:K,9,FALSE)</f>
        <v>361</v>
      </c>
      <c r="K149" s="706">
        <f t="shared" si="120"/>
        <v>3908606.333333333</v>
      </c>
      <c r="L149" s="706">
        <f>VLOOKUP("*"&amp;$B149&amp;"*",'S4 - Summ PRS Characteristics'!$C$5:$Q$12,11,FALSE)*$J149</f>
        <v>279.60485355308845</v>
      </c>
      <c r="M149" s="706">
        <f t="shared" si="121"/>
        <v>81.395146446911554</v>
      </c>
      <c r="N149" s="706">
        <f>IF($C149="other",(1-$C$7)*L149,(1-(VLOOKUP($C149,'S3 - Screening Tool Metrics'!$C$3:$G$17,5,FALSE)/100))*L149)</f>
        <v>55.920970710617674</v>
      </c>
      <c r="O149" s="706">
        <f>IF($C149="other",$C$7*L149,(VLOOKUP($C149,'S3 - Screening Tool Metrics'!$C$3:$G$17,5,FALSE)/100)*L149)</f>
        <v>223.68388284247078</v>
      </c>
      <c r="P149" s="706">
        <f t="shared" si="122"/>
        <v>61.962294416196897</v>
      </c>
      <c r="Q149" s="707">
        <f t="shared" si="112"/>
        <v>1563442.5333333332</v>
      </c>
      <c r="R149" s="706">
        <f>VLOOKUP("*"&amp;$B149&amp;"*",'S4 - Summ PRS Characteristics'!$C$5:$Q$12,12,FALSE)*$J149</f>
        <v>167.87476098058437</v>
      </c>
      <c r="S149" s="706">
        <f t="shared" si="123"/>
        <v>193.12523901941563</v>
      </c>
      <c r="T149" s="706">
        <f>IF($C149="other",(1-$C136)*R149,(1-(VLOOKUP($C149,'S3 - Screening Tool Metrics'!$C$3:$G$17,5,FALSE)/100))*R149)</f>
        <v>33.574952196116868</v>
      </c>
      <c r="U149" s="706">
        <f>IF($C149="other",$C136*R149,(VLOOKUP($C149,'S3 - Screening Tool Metrics'!$C$3:$G$17,5,FALSE)/100)*R149)</f>
        <v>134.2998087844675</v>
      </c>
      <c r="V149" s="708">
        <f t="shared" si="113"/>
        <v>37.202163098190447</v>
      </c>
      <c r="W149" s="707">
        <f t="shared" si="114"/>
        <v>781721.2666666666</v>
      </c>
      <c r="X149" s="706">
        <f>VLOOKUP("*"&amp;$B149&amp;"*",'S4 - Summ PRS Characteristics'!$C$5:$Q$12,13,FALSE)*$J149</f>
        <v>107.88532333501293</v>
      </c>
      <c r="Y149" s="706">
        <f t="shared" si="124"/>
        <v>253.11467666498709</v>
      </c>
      <c r="Z149" s="706">
        <f>IF($C149="other",(1-$C136)*X149,(1-(VLOOKUP($C149,'S3 - Screening Tool Metrics'!$C$3:$G$17,5,FALSE)/100))*X149)</f>
        <v>21.577064667002581</v>
      </c>
      <c r="AA149" s="706">
        <f>IF($C149="other",$C136*X149,(VLOOKUP($C149,'S3 - Screening Tool Metrics'!$C$3:$G$17,5,FALSE)/100)*X149)</f>
        <v>86.308258668010353</v>
      </c>
      <c r="AB149" s="708">
        <f t="shared" si="115"/>
        <v>23.908104894185694</v>
      </c>
      <c r="AC149" s="706">
        <f t="shared" si="116"/>
        <v>390860.6333333333</v>
      </c>
      <c r="AD149" s="706">
        <f>VLOOKUP("*"&amp;$B149&amp;"*",'S4 - Summ PRS Characteristics'!$C$5:$Q$12,14,FALSE)*$J149</f>
        <v>67.312824993668229</v>
      </c>
      <c r="AE149" s="706">
        <f t="shared" si="126"/>
        <v>293.68717500633176</v>
      </c>
      <c r="AF149" s="706">
        <f>IF($C149="other",(1-$C136)*AD149,(1-(VLOOKUP($C149,'S3 - Screening Tool Metrics'!$C$3:$G$17,5,FALSE)/100))*AD149)</f>
        <v>13.462564998733644</v>
      </c>
      <c r="AG149" s="706">
        <f>IF($C149="other",$C136*AD149,(VLOOKUP($C149,'S3 - Screening Tool Metrics'!$C$3:$G$17,5,FALSE)/100)*AD149)</f>
        <v>53.850259994934589</v>
      </c>
      <c r="AH149" s="708">
        <f t="shared" si="117"/>
        <v>14.91696952768271</v>
      </c>
      <c r="AI149" s="707">
        <f t="shared" si="118"/>
        <v>78172.126666666663</v>
      </c>
      <c r="AJ149" s="706">
        <f>VLOOKUP("*"&amp;$B149&amp;"*",'S4 - Summ PRS Characteristics'!$C$5:$Q$12,15,FALSE)*$J149</f>
        <v>20.908008460240865</v>
      </c>
      <c r="AK149" s="706">
        <f t="shared" si="125"/>
        <v>340.09199153975914</v>
      </c>
      <c r="AL149" s="706">
        <f>IF($C149="other",(1-$C136)*AJ149,(1-(VLOOKUP($C149,'S3 - Screening Tool Metrics'!$C$3:$G$17,5,FALSE)/100))*AJ149)</f>
        <v>4.1816016920481722</v>
      </c>
      <c r="AM149" s="706">
        <f>IF($C149="other",$C136*AJ149,(VLOOKUP($C149,'S3 - Screening Tool Metrics'!$C$3:$G$17,5,FALSE)/100)*AJ149)</f>
        <v>16.726406768192692</v>
      </c>
      <c r="AN149" s="709">
        <f t="shared" si="119"/>
        <v>4.633353675399638</v>
      </c>
    </row>
    <row r="150" spans="2:40" x14ac:dyDescent="0.15">
      <c r="B150" s="700" t="s">
        <v>17</v>
      </c>
      <c r="C150" s="721" t="str">
        <f t="shared" si="127"/>
        <v>Other</v>
      </c>
      <c r="D150" s="552" t="s">
        <v>292</v>
      </c>
      <c r="E150" s="710">
        <f>VLOOKUP($B150&amp;"_"&amp;$D150,'App5 - CRUK Inci Rates'!C:H,6,FALSE)</f>
        <v>2.5964614152648537</v>
      </c>
      <c r="F150" s="711">
        <f>VLOOKUP($B150&amp;"_"&amp;$D150,'App5 - CRUK Inci Rates'!C:H,3,FALSE)</f>
        <v>0</v>
      </c>
      <c r="G150" s="712">
        <f>VLOOKUP($B150&amp;"_"&amp;$D150,'App5 - CRUK Inci Rates'!C:J,8,FALSE)</f>
        <v>4929786.333333333</v>
      </c>
      <c r="H150" s="713">
        <f>VLOOKUP($B150&amp;"_"&amp;$D150,'App5 - CRUK Inci Rates'!C:J,7,FALSE)</f>
        <v>4929786.333333333</v>
      </c>
      <c r="I150" s="713">
        <f>VLOOKUP($B150&amp;"_"&amp;$D150,'App5 - CRUK Inci Rates'!C:J,4,FALSE)</f>
        <v>0</v>
      </c>
      <c r="J150" s="709">
        <f>VLOOKUP($B150&amp;"_"&amp;$D150,'App5 - CRUK Inci Rates'!C:K,9,FALSE)</f>
        <v>128</v>
      </c>
      <c r="K150" s="706">
        <f t="shared" si="120"/>
        <v>2464893.1666666665</v>
      </c>
      <c r="L150" s="706">
        <f>VLOOKUP("*"&amp;$B150&amp;"*",'S4 - Summ PRS Characteristics'!$C$5:$Q$12,11,FALSE)*$J150</f>
        <v>99.139671065915024</v>
      </c>
      <c r="M150" s="706">
        <f t="shared" si="121"/>
        <v>28.860328934084976</v>
      </c>
      <c r="N150" s="706">
        <f>IF($C150="other",(1-$C$7)*L150,(1-(VLOOKUP($C150,'S3 - Screening Tool Metrics'!$C$3:$G$17,5,FALSE)/100))*L150)</f>
        <v>19.827934213182999</v>
      </c>
      <c r="O150" s="706">
        <f>IF($C150="other",$C$7*L150,(VLOOKUP($C150,'S3 - Screening Tool Metrics'!$C$3:$G$17,5,FALSE)/100)*L150)</f>
        <v>79.311736852732025</v>
      </c>
      <c r="P150" s="706">
        <f t="shared" si="122"/>
        <v>61.962294416196897</v>
      </c>
      <c r="Q150" s="707">
        <f t="shared" si="112"/>
        <v>985957.2666666666</v>
      </c>
      <c r="R150" s="706">
        <f>VLOOKUP("*"&amp;$B150&amp;"*",'S4 - Summ PRS Characteristics'!$C$5:$Q$12,12,FALSE)*$J150</f>
        <v>59.52346095710471</v>
      </c>
      <c r="S150" s="706">
        <f t="shared" si="123"/>
        <v>68.476539042895297</v>
      </c>
      <c r="T150" s="706">
        <f>IF($C150="other",(1-$C136)*R150,(1-(VLOOKUP($C150,'S3 - Screening Tool Metrics'!$C$3:$G$17,5,FALSE)/100))*R150)</f>
        <v>11.90469219142094</v>
      </c>
      <c r="U150" s="706">
        <f>IF($C150="other",$C136*R150,(VLOOKUP($C150,'S3 - Screening Tool Metrics'!$C$3:$G$17,5,FALSE)/100)*R150)</f>
        <v>47.618768765683768</v>
      </c>
      <c r="V150" s="708">
        <f t="shared" si="113"/>
        <v>37.202163098190447</v>
      </c>
      <c r="W150" s="707">
        <f t="shared" si="114"/>
        <v>492978.6333333333</v>
      </c>
      <c r="X150" s="706">
        <f>VLOOKUP("*"&amp;$B150&amp;"*",'S4 - Summ PRS Characteristics'!$C$5:$Q$12,13,FALSE)*$J150</f>
        <v>38.252967830697102</v>
      </c>
      <c r="Y150" s="706">
        <f t="shared" si="124"/>
        <v>89.747032169302898</v>
      </c>
      <c r="Z150" s="706">
        <f>IF($C150="other",(1-$C136)*X150,(1-(VLOOKUP($C150,'S3 - Screening Tool Metrics'!$C$3:$G$17,5,FALSE)/100))*X150)</f>
        <v>7.6505935661394187</v>
      </c>
      <c r="AA150" s="706">
        <f>IF($C150="other",$C136*X150,(VLOOKUP($C150,'S3 - Screening Tool Metrics'!$C$3:$G$17,5,FALSE)/100)*X150)</f>
        <v>30.602374264557682</v>
      </c>
      <c r="AB150" s="708">
        <f t="shared" si="115"/>
        <v>23.908104894185691</v>
      </c>
      <c r="AC150" s="706">
        <f t="shared" si="116"/>
        <v>246489.31666666665</v>
      </c>
      <c r="AD150" s="706">
        <f>VLOOKUP("*"&amp;$B150&amp;"*",'S4 - Summ PRS Characteristics'!$C$5:$Q$12,14,FALSE)*$J150</f>
        <v>23.867151244292334</v>
      </c>
      <c r="AE150" s="706">
        <f t="shared" si="126"/>
        <v>104.13284875570767</v>
      </c>
      <c r="AF150" s="706">
        <f>IF($C150="other",(1-$C136)*AD150,(1-(VLOOKUP($C150,'S3 - Screening Tool Metrics'!$C$3:$G$17,5,FALSE)/100))*AD150)</f>
        <v>4.7734302488584657</v>
      </c>
      <c r="AG150" s="706">
        <f>IF($C150="other",$C136*AD150,(VLOOKUP($C150,'S3 - Screening Tool Metrics'!$C$3:$G$17,5,FALSE)/100)*AD150)</f>
        <v>19.093720995433866</v>
      </c>
      <c r="AH150" s="708">
        <f t="shared" si="117"/>
        <v>14.916969527682708</v>
      </c>
      <c r="AI150" s="707">
        <f t="shared" si="118"/>
        <v>49297.863333333335</v>
      </c>
      <c r="AJ150" s="706">
        <f>VLOOKUP("*"&amp;$B150&amp;"*",'S4 - Summ PRS Characteristics'!$C$5:$Q$12,15,FALSE)*$J150</f>
        <v>7.4133658806394207</v>
      </c>
      <c r="AK150" s="706">
        <f t="shared" si="125"/>
        <v>120.58663411936058</v>
      </c>
      <c r="AL150" s="706">
        <f>IF($C150="other",(1-$C136)*AJ150,(1-(VLOOKUP($C150,'S3 - Screening Tool Metrics'!$C$3:$G$17,5,FALSE)/100))*AJ150)</f>
        <v>1.4826731761278837</v>
      </c>
      <c r="AM150" s="706">
        <f>IF($C150="other",$C136*AJ150,(VLOOKUP($C150,'S3 - Screening Tool Metrics'!$C$3:$G$17,5,FALSE)/100)*AJ150)</f>
        <v>5.9306927045115367</v>
      </c>
      <c r="AN150" s="709">
        <f t="shared" si="119"/>
        <v>4.633353675399638</v>
      </c>
    </row>
    <row r="151" spans="2:40" x14ac:dyDescent="0.15">
      <c r="B151" s="700" t="s">
        <v>17</v>
      </c>
      <c r="C151" s="721" t="str">
        <f>$C137</f>
        <v>Other</v>
      </c>
      <c r="D151" s="552" t="s">
        <v>204</v>
      </c>
      <c r="E151" s="710">
        <f>VLOOKUP($B151&amp;"_"&amp;$D151,'App5 - CRUK Inci Rates'!C:H,6,FALSE)</f>
        <v>5.966108794682853</v>
      </c>
      <c r="F151" s="711">
        <f>VLOOKUP($B151&amp;"_"&amp;$D151,'App5 - CRUK Inci Rates'!C:H,3,FALSE)</f>
        <v>0</v>
      </c>
      <c r="G151" s="712">
        <f>VLOOKUP($B151&amp;"_"&amp;$D151,'App5 - CRUK Inci Rates'!C:J,8,FALSE)</f>
        <v>14565607.666666668</v>
      </c>
      <c r="H151" s="713">
        <f>VLOOKUP($B151&amp;"_"&amp;$D151,'App5 - CRUK Inci Rates'!C:J,7,FALSE)</f>
        <v>14565607.666666668</v>
      </c>
      <c r="I151" s="713">
        <f>VLOOKUP($B151&amp;"_"&amp;$D151,'App5 - CRUK Inci Rates'!C:J,4,FALSE)</f>
        <v>0</v>
      </c>
      <c r="J151" s="709">
        <f>VLOOKUP($B151&amp;"_"&amp;$D151,'App5 - CRUK Inci Rates'!C:K,9,FALSE)</f>
        <v>869</v>
      </c>
      <c r="K151" s="706">
        <f t="shared" si="120"/>
        <v>7282803.833333334</v>
      </c>
      <c r="L151" s="706">
        <f>VLOOKUP("*"&amp;$B151&amp;"*",'S4 - Summ PRS Characteristics'!$C$5:$Q$12,11,FALSE)*$J151</f>
        <v>673.06542309593874</v>
      </c>
      <c r="M151" s="706">
        <f t="shared" si="121"/>
        <v>195.93457690406126</v>
      </c>
      <c r="N151" s="706">
        <f>IF($C151="other",(1-$C$7)*L151,(1-(VLOOKUP($C151,'S3 - Screening Tool Metrics'!$C$3:$G$17,5,FALSE)/100))*L151)</f>
        <v>134.61308461918773</v>
      </c>
      <c r="O151" s="706">
        <f>IF($C151="other",$C$7*L151,(VLOOKUP($C151,'S3 - Screening Tool Metrics'!$C$3:$G$17,5,FALSE)/100)*L151)</f>
        <v>538.45233847675104</v>
      </c>
      <c r="P151" s="706">
        <f t="shared" si="122"/>
        <v>61.962294416196897</v>
      </c>
      <c r="Q151" s="707">
        <f t="shared" si="112"/>
        <v>2913121.5333333337</v>
      </c>
      <c r="R151" s="706">
        <f>VLOOKUP("*"&amp;$B151&amp;"*",'S4 - Summ PRS Characteristics'!$C$5:$Q$12,12,FALSE)*$J151</f>
        <v>404.1084966540937</v>
      </c>
      <c r="S151" s="706">
        <f t="shared" si="123"/>
        <v>464.8915033459063</v>
      </c>
      <c r="T151" s="706">
        <f>IF($C151="other",(1-$C136)*R151,(1-(VLOOKUP($C151,'S3 - Screening Tool Metrics'!$C$3:$G$17,5,FALSE)/100))*R151)</f>
        <v>80.821699330818717</v>
      </c>
      <c r="U151" s="706">
        <f>IF($C151="other",$C136*R151,(VLOOKUP($C151,'S3 - Screening Tool Metrics'!$C$3:$G$17,5,FALSE)/100)*R151)</f>
        <v>323.28679732327498</v>
      </c>
      <c r="V151" s="708">
        <f t="shared" si="113"/>
        <v>37.202163098190447</v>
      </c>
      <c r="W151" s="707">
        <f t="shared" si="114"/>
        <v>1456560.7666666668</v>
      </c>
      <c r="X151" s="706">
        <f>VLOOKUP("*"&amp;$B151&amp;"*",'S4 - Summ PRS Characteristics'!$C$5:$Q$12,13,FALSE)*$J151</f>
        <v>259.70178941309206</v>
      </c>
      <c r="Y151" s="706">
        <f t="shared" si="124"/>
        <v>609.298210586908</v>
      </c>
      <c r="Z151" s="706">
        <f>IF($C151="other",(1-$C136)*X151,(1-(VLOOKUP($C151,'S3 - Screening Tool Metrics'!$C$3:$G$17,5,FALSE)/100))*X151)</f>
        <v>51.9403578826184</v>
      </c>
      <c r="AA151" s="706">
        <f>IF($C151="other",$C136*X151,(VLOOKUP($C151,'S3 - Screening Tool Metrics'!$C$3:$G$17,5,FALSE)/100)*X151)</f>
        <v>207.76143153047366</v>
      </c>
      <c r="AB151" s="708">
        <f t="shared" si="115"/>
        <v>23.908104894185691</v>
      </c>
      <c r="AC151" s="706">
        <f t="shared" si="116"/>
        <v>728280.38333333342</v>
      </c>
      <c r="AD151" s="706">
        <f>VLOOKUP("*"&amp;$B151&amp;"*",'S4 - Summ PRS Characteristics'!$C$5:$Q$12,14,FALSE)*$J151</f>
        <v>162.03558149445342</v>
      </c>
      <c r="AE151" s="706">
        <f t="shared" si="126"/>
        <v>706.96441850554652</v>
      </c>
      <c r="AF151" s="706">
        <f>IF($C151="other",(1-$C136)*AD151,(1-(VLOOKUP($C151,'S3 - Screening Tool Metrics'!$C$3:$G$17,5,FALSE)/100))*AD151)</f>
        <v>32.407116298890678</v>
      </c>
      <c r="AG151" s="706">
        <f>IF($C151="other",$C136*AD151,(VLOOKUP($C151,'S3 - Screening Tool Metrics'!$C$3:$G$17,5,FALSE)/100)*AD151)</f>
        <v>129.62846519556274</v>
      </c>
      <c r="AH151" s="708">
        <f t="shared" si="117"/>
        <v>14.916969527682708</v>
      </c>
      <c r="AI151" s="707">
        <f t="shared" si="118"/>
        <v>145656.07666666669</v>
      </c>
      <c r="AJ151" s="706">
        <f>VLOOKUP("*"&amp;$B151&amp;"*",'S4 - Summ PRS Characteristics'!$C$5:$Q$12,15,FALSE)*$J151</f>
        <v>50.329804299028567</v>
      </c>
      <c r="AK151" s="706">
        <f t="shared" si="125"/>
        <v>818.67019570097148</v>
      </c>
      <c r="AL151" s="706">
        <f>IF($C151="other",(1-$C136)*AJ151,(1-(VLOOKUP($C151,'S3 - Screening Tool Metrics'!$C$3:$G$17,5,FALSE)/100))*AJ151)</f>
        <v>10.065960859805712</v>
      </c>
      <c r="AM151" s="706">
        <f>IF($C151="other",$C136*AJ151,(VLOOKUP($C151,'S3 - Screening Tool Metrics'!$C$3:$G$17,5,FALSE)/100)*AJ151)</f>
        <v>40.263843439222853</v>
      </c>
      <c r="AN151" s="709">
        <f t="shared" si="119"/>
        <v>4.633353675399638</v>
      </c>
    </row>
    <row r="152" spans="2:40" ht="14" thickBot="1" x14ac:dyDescent="0.2">
      <c r="B152" s="731" t="s">
        <v>17</v>
      </c>
      <c r="C152" s="744" t="str">
        <f>$C139</f>
        <v>Other</v>
      </c>
      <c r="D152" s="613" t="s">
        <v>205</v>
      </c>
      <c r="E152" s="722">
        <f>VLOOKUP($B152&amp;"_"&amp;$D152,'App5 - CRUK Inci Rates'!C:H,6,FALSE)</f>
        <v>7.2</v>
      </c>
      <c r="F152" s="723">
        <f>VLOOKUP($B152&amp;"_"&amp;$D152,'App5 - CRUK Inci Rates'!C:H,3,FALSE)</f>
        <v>0</v>
      </c>
      <c r="G152" s="724">
        <f>VLOOKUP($B152&amp;"_"&amp;$D152,'App5 - CRUK Inci Rates'!C:J,8,FALSE)</f>
        <v>32583225.666666668</v>
      </c>
      <c r="H152" s="725">
        <f>VLOOKUP($B152&amp;"_"&amp;$D152,'App5 - CRUK Inci Rates'!C:J,7,FALSE)</f>
        <v>32583225.666666668</v>
      </c>
      <c r="I152" s="725">
        <f>VLOOKUP($B152&amp;"_"&amp;$D152,'App5 - CRUK Inci Rates'!C:J,4,FALSE)</f>
        <v>0</v>
      </c>
      <c r="J152" s="732">
        <f>VLOOKUP($B152&amp;"_"&amp;$D152,'App5 - CRUK Inci Rates'!C:K,9,FALSE)</f>
        <v>2354</v>
      </c>
      <c r="K152" s="735"/>
      <c r="L152" s="735"/>
      <c r="M152" s="735"/>
      <c r="N152" s="735"/>
      <c r="O152" s="735"/>
      <c r="P152" s="735"/>
      <c r="Q152" s="734"/>
      <c r="R152" s="735"/>
      <c r="S152" s="735"/>
      <c r="T152" s="735"/>
      <c r="U152" s="735"/>
      <c r="V152" s="745"/>
      <c r="W152" s="734"/>
      <c r="X152" s="735"/>
      <c r="Y152" s="735"/>
      <c r="Z152" s="735"/>
      <c r="AA152" s="735"/>
      <c r="AB152" s="745"/>
      <c r="AC152" s="735"/>
      <c r="AD152" s="735"/>
      <c r="AE152" s="735"/>
      <c r="AF152" s="735"/>
      <c r="AG152" s="735"/>
      <c r="AH152" s="745"/>
      <c r="AI152" s="734"/>
      <c r="AJ152" s="735"/>
      <c r="AK152" s="735"/>
      <c r="AL152" s="735"/>
      <c r="AM152" s="735"/>
      <c r="AN152" s="736"/>
    </row>
    <row r="154" spans="2:40" x14ac:dyDescent="0.15">
      <c r="B154" s="632" t="s">
        <v>383</v>
      </c>
    </row>
  </sheetData>
  <mergeCells count="56">
    <mergeCell ref="AJ5:AJ6"/>
    <mergeCell ref="AI5:AI6"/>
    <mergeCell ref="AG5:AG6"/>
    <mergeCell ref="AI2:AN2"/>
    <mergeCell ref="AI3:AN3"/>
    <mergeCell ref="AI4:AN4"/>
    <mergeCell ref="AM5:AM6"/>
    <mergeCell ref="AN5:AN6"/>
    <mergeCell ref="AH5:AH6"/>
    <mergeCell ref="AK5:AK6"/>
    <mergeCell ref="AL5:AL6"/>
    <mergeCell ref="AC2:AH2"/>
    <mergeCell ref="AC3:AH3"/>
    <mergeCell ref="AC5:AC6"/>
    <mergeCell ref="AD5:AD6"/>
    <mergeCell ref="AE5:AE6"/>
    <mergeCell ref="Q2:V2"/>
    <mergeCell ref="Q3:V3"/>
    <mergeCell ref="Q5:Q6"/>
    <mergeCell ref="R5:R6"/>
    <mergeCell ref="S5:S6"/>
    <mergeCell ref="T5:T6"/>
    <mergeCell ref="V5:V6"/>
    <mergeCell ref="Q4:V4"/>
    <mergeCell ref="U5:U6"/>
    <mergeCell ref="W2:AB2"/>
    <mergeCell ref="W3:AB3"/>
    <mergeCell ref="W4:AB4"/>
    <mergeCell ref="AA5:AA6"/>
    <mergeCell ref="AB5:AB6"/>
    <mergeCell ref="Y5:Y6"/>
    <mergeCell ref="Z5:Z6"/>
    <mergeCell ref="W5:W6"/>
    <mergeCell ref="X5:X6"/>
    <mergeCell ref="AC4:AH4"/>
    <mergeCell ref="AF5:AF6"/>
    <mergeCell ref="B2:B6"/>
    <mergeCell ref="C2:C6"/>
    <mergeCell ref="D2:D6"/>
    <mergeCell ref="E2:F4"/>
    <mergeCell ref="G2:J4"/>
    <mergeCell ref="J5:J6"/>
    <mergeCell ref="E5:E6"/>
    <mergeCell ref="F5:F6"/>
    <mergeCell ref="G5:G6"/>
    <mergeCell ref="H5:H6"/>
    <mergeCell ref="I5:I6"/>
    <mergeCell ref="K2:P2"/>
    <mergeCell ref="K3:P3"/>
    <mergeCell ref="K4:P4"/>
    <mergeCell ref="P5:P6"/>
    <mergeCell ref="K5:K6"/>
    <mergeCell ref="L5:L6"/>
    <mergeCell ref="M5:M6"/>
    <mergeCell ref="N5:N6"/>
    <mergeCell ref="O5:O6"/>
  </mergeCells>
  <dataValidations count="18">
    <dataValidation type="list" allowBlank="1" showInputMessage="1" showErrorMessage="1" sqref="C8" xr:uid="{CF9EB085-5912-469C-870C-00FD4B7A8139}">
      <formula1>Breast_sensitivity</formula1>
    </dataValidation>
    <dataValidation allowBlank="1" showInputMessage="1" showErrorMessage="1" promptTitle="Breast screening sensitivity" prompt="Select 'other' below and input screening sensitivity here. _x000a_" sqref="C7" xr:uid="{44A8C092-B4D6-49D8-8FE7-CDD3F6DA237E}"/>
    <dataValidation type="list" allowBlank="1" showInputMessage="1" showErrorMessage="1" sqref="C24" xr:uid="{9887C26E-1427-4E0B-B7EA-F56A3C0CEA52}">
      <formula1>Prostate_sensitivity</formula1>
    </dataValidation>
    <dataValidation type="list" allowBlank="1" showInputMessage="1" showErrorMessage="1" sqref="C41" xr:uid="{07DCF7C7-3D9F-4A05-A2AA-4624A3B112A5}">
      <formula1>Colorectal_Sensitivity</formula1>
    </dataValidation>
    <dataValidation type="list" allowBlank="1" showInputMessage="1" showErrorMessage="1" sqref="C57" xr:uid="{BE3D27AF-5618-47AC-AFDB-324F2E1A0931}">
      <formula1>Pancreas_Sensitivity</formula1>
    </dataValidation>
    <dataValidation type="list" allowBlank="1" showInputMessage="1" showErrorMessage="1" sqref="C73" xr:uid="{AC0920BD-7B46-4237-85EF-BFCC23BC1F14}">
      <formula1>Ovary_sensitivity</formula1>
    </dataValidation>
    <dataValidation type="list" allowBlank="1" showInputMessage="1" showErrorMessage="1" sqref="C89" xr:uid="{20943582-9D39-4BCA-AEA3-7D256969AC9A}">
      <formula1>Kidney_sensitivity</formula1>
    </dataValidation>
    <dataValidation type="list" allowBlank="1" showInputMessage="1" showErrorMessage="1" sqref="C105" xr:uid="{1800ED6C-9A86-4D66-8CA8-58150C587955}">
      <formula1>CLL_sensitivity</formula1>
    </dataValidation>
    <dataValidation type="list" allowBlank="1" showInputMessage="1" showErrorMessage="1" sqref="C121" xr:uid="{2683CAFB-18CF-4CD1-805F-00A970C23FCC}">
      <formula1>Lung_sensitivity</formula1>
    </dataValidation>
    <dataValidation type="list" allowBlank="1" showInputMessage="1" showErrorMessage="1" sqref="C137" xr:uid="{4675BC0B-4ED4-499D-879B-BF3DA9DD0823}">
      <formula1>Testis_sensitivity</formula1>
    </dataValidation>
    <dataValidation allowBlank="1" showInputMessage="1" showErrorMessage="1" promptTitle="CLL screening sensitivity" prompt="Select 'other' below and input screening sensitivity here._x000a_" sqref="C104" xr:uid="{F75DFCFD-D8B4-42EB-A538-4C201C8F610D}"/>
    <dataValidation allowBlank="1" showInputMessage="1" showErrorMessage="1" promptTitle="Prostate screening sensitivity" prompt="Select 'other' below and input screening sensitivity here. _x000a_" sqref="C23" xr:uid="{1BFBA259-9E0D-4BC8-A9F9-942431C30FC1}"/>
    <dataValidation allowBlank="1" showInputMessage="1" showErrorMessage="1" promptTitle="Colorectal screening sensitivity" prompt="Select 'other' below and input screening sensitivity here. _x000a_" sqref="C40" xr:uid="{FAB799CB-5F53-428F-A2D6-D5B972792A2C}"/>
    <dataValidation allowBlank="1" showInputMessage="1" showErrorMessage="1" promptTitle="Pancreas screening sensitivity" prompt="Select 'other' below and input screening sensitivity here. _x000a_" sqref="C56" xr:uid="{712E84FD-D753-4C0C-A712-CC9480CBB588}"/>
    <dataValidation allowBlank="1" showInputMessage="1" showErrorMessage="1" promptTitle="Ovary screening sensitivity" prompt="Select 'other' below and input screening sensitivity here. _x000a_" sqref="C72" xr:uid="{DCF79733-2BA1-41E3-83AD-32C391B362E7}"/>
    <dataValidation allowBlank="1" showInputMessage="1" showErrorMessage="1" promptTitle="Kidney screening sensitivity" prompt="Select 'other' below and input screening sensitivity here. _x000a_" sqref="C88" xr:uid="{783346FB-2E58-4CDE-A6C7-5C3599DD55D0}"/>
    <dataValidation allowBlank="1" showInputMessage="1" showErrorMessage="1" promptTitle="Lung screening sensitivity" prompt="Select 'other' below and input screening sensitivity here. _x000a_" sqref="C120" xr:uid="{949622B9-AE22-4C7D-8DFF-CDCA04E62FCB}"/>
    <dataValidation allowBlank="1" showInputMessage="1" showErrorMessage="1" promptTitle="Testis screening sensitivity" prompt="Select 'other' below and input screening sensitivity here. _x000a_" sqref="C136" xr:uid="{93FDC53F-53DF-49CC-AA2A-64143401E0AA}"/>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AC23-F443-42CE-81BD-AE5A745F686D}">
  <dimension ref="B1:AN138"/>
  <sheetViews>
    <sheetView zoomScale="90" zoomScaleNormal="90" workbookViewId="0">
      <selection activeCell="B138" sqref="B138"/>
    </sheetView>
  </sheetViews>
  <sheetFormatPr baseColWidth="10" defaultColWidth="11.1640625" defaultRowHeight="13" x14ac:dyDescent="0.15"/>
  <cols>
    <col min="1" max="1" width="3.83203125" style="546" customWidth="1"/>
    <col min="2" max="2" width="8.83203125" style="546" customWidth="1"/>
    <col min="3" max="3" width="21.1640625" style="740" hidden="1" customWidth="1"/>
    <col min="4" max="4" width="10.83203125" style="546" customWidth="1"/>
    <col min="5" max="6" width="8.33203125" style="546" customWidth="1"/>
    <col min="7" max="7" width="9.83203125" style="706" customWidth="1"/>
    <col min="8" max="9" width="12.83203125" style="546" hidden="1" customWidth="1"/>
    <col min="10" max="10" width="9.83203125" style="546" customWidth="1"/>
    <col min="11" max="11" width="9.1640625" style="546" customWidth="1"/>
    <col min="12" max="16" width="8.33203125" style="546" customWidth="1"/>
    <col min="17" max="22" width="8.33203125" style="706" customWidth="1"/>
    <col min="23" max="40" width="8.33203125" style="546" customWidth="1"/>
    <col min="41" max="16384" width="11.1640625" style="546"/>
  </cols>
  <sheetData>
    <row r="1" spans="2:40" ht="14" thickBot="1" x14ac:dyDescent="0.2">
      <c r="C1" s="738"/>
    </row>
    <row r="2" spans="2:40" ht="13" customHeight="1" x14ac:dyDescent="0.15">
      <c r="B2" s="1161" t="s">
        <v>181</v>
      </c>
      <c r="C2" s="1116" t="s">
        <v>207</v>
      </c>
      <c r="D2" s="1136" t="s">
        <v>182</v>
      </c>
      <c r="E2" s="1164" t="s">
        <v>183</v>
      </c>
      <c r="F2" s="1164"/>
      <c r="G2" s="1166" t="s">
        <v>184</v>
      </c>
      <c r="H2" s="1167"/>
      <c r="I2" s="1167"/>
      <c r="J2" s="1168"/>
      <c r="K2" s="1087" t="s">
        <v>208</v>
      </c>
      <c r="L2" s="1088"/>
      <c r="M2" s="1088"/>
      <c r="N2" s="1088"/>
      <c r="O2" s="1088"/>
      <c r="P2" s="1089"/>
      <c r="Q2" s="1104" t="s">
        <v>208</v>
      </c>
      <c r="R2" s="1105"/>
      <c r="S2" s="1105"/>
      <c r="T2" s="1105"/>
      <c r="U2" s="1105"/>
      <c r="V2" s="1105"/>
      <c r="W2" s="1087" t="s">
        <v>208</v>
      </c>
      <c r="X2" s="1088"/>
      <c r="Y2" s="1088"/>
      <c r="Z2" s="1088"/>
      <c r="AA2" s="1088"/>
      <c r="AB2" s="1089"/>
      <c r="AC2" s="1105" t="s">
        <v>208</v>
      </c>
      <c r="AD2" s="1105"/>
      <c r="AE2" s="1105"/>
      <c r="AF2" s="1105"/>
      <c r="AG2" s="1105"/>
      <c r="AH2" s="1105"/>
      <c r="AI2" s="1087" t="s">
        <v>208</v>
      </c>
      <c r="AJ2" s="1088"/>
      <c r="AK2" s="1088"/>
      <c r="AL2" s="1088"/>
      <c r="AM2" s="1088"/>
      <c r="AN2" s="1089"/>
    </row>
    <row r="3" spans="2:40" ht="13" customHeight="1" x14ac:dyDescent="0.15">
      <c r="B3" s="1162"/>
      <c r="C3" s="1117"/>
      <c r="D3" s="1137"/>
      <c r="E3" s="1165"/>
      <c r="F3" s="1165"/>
      <c r="G3" s="1169"/>
      <c r="H3" s="1170"/>
      <c r="I3" s="1170"/>
      <c r="J3" s="1171"/>
      <c r="K3" s="1090">
        <v>0.5</v>
      </c>
      <c r="L3" s="1147"/>
      <c r="M3" s="1147"/>
      <c r="N3" s="1147"/>
      <c r="O3" s="1147"/>
      <c r="P3" s="1148"/>
      <c r="Q3" s="1159">
        <v>0.2</v>
      </c>
      <c r="R3" s="1160"/>
      <c r="S3" s="1160"/>
      <c r="T3" s="1160"/>
      <c r="U3" s="1160"/>
      <c r="V3" s="1160"/>
      <c r="W3" s="1157">
        <v>0.1</v>
      </c>
      <c r="X3" s="1158"/>
      <c r="Y3" s="1158"/>
      <c r="Z3" s="1158"/>
      <c r="AA3" s="1158"/>
      <c r="AB3" s="1177"/>
      <c r="AC3" s="1160">
        <v>0.05</v>
      </c>
      <c r="AD3" s="1160"/>
      <c r="AE3" s="1160"/>
      <c r="AF3" s="1160"/>
      <c r="AG3" s="1160"/>
      <c r="AH3" s="1160"/>
      <c r="AI3" s="1157">
        <v>0.01</v>
      </c>
      <c r="AJ3" s="1158"/>
      <c r="AK3" s="1158"/>
      <c r="AL3" s="1158"/>
      <c r="AM3" s="1158"/>
      <c r="AN3" s="1177"/>
    </row>
    <row r="4" spans="2:40" ht="13" customHeight="1" x14ac:dyDescent="0.15">
      <c r="B4" s="1162"/>
      <c r="C4" s="1117"/>
      <c r="D4" s="1137"/>
      <c r="E4" s="1165"/>
      <c r="F4" s="1165"/>
      <c r="G4" s="1169"/>
      <c r="H4" s="1170"/>
      <c r="I4" s="1170"/>
      <c r="J4" s="1171"/>
      <c r="K4" s="1093" t="s">
        <v>185</v>
      </c>
      <c r="L4" s="1094"/>
      <c r="M4" s="1094"/>
      <c r="N4" s="1094"/>
      <c r="O4" s="1094"/>
      <c r="P4" s="1095"/>
      <c r="Q4" s="1178" t="s">
        <v>185</v>
      </c>
      <c r="R4" s="1179"/>
      <c r="S4" s="1179"/>
      <c r="T4" s="1179"/>
      <c r="U4" s="1179"/>
      <c r="V4" s="1179"/>
      <c r="W4" s="1180" t="s">
        <v>185</v>
      </c>
      <c r="X4" s="1181"/>
      <c r="Y4" s="1181"/>
      <c r="Z4" s="1181"/>
      <c r="AA4" s="1181"/>
      <c r="AB4" s="1185"/>
      <c r="AC4" s="1179" t="s">
        <v>185</v>
      </c>
      <c r="AD4" s="1179"/>
      <c r="AE4" s="1179"/>
      <c r="AF4" s="1179"/>
      <c r="AG4" s="1179"/>
      <c r="AH4" s="1179"/>
      <c r="AI4" s="1182" t="s">
        <v>185</v>
      </c>
      <c r="AJ4" s="1183"/>
      <c r="AK4" s="1183"/>
      <c r="AL4" s="1183"/>
      <c r="AM4" s="1183"/>
      <c r="AN4" s="1184"/>
    </row>
    <row r="5" spans="2:40" ht="45" customHeight="1" x14ac:dyDescent="0.15">
      <c r="B5" s="1162"/>
      <c r="C5" s="1117"/>
      <c r="D5" s="1137"/>
      <c r="E5" s="1173" t="s">
        <v>40</v>
      </c>
      <c r="F5" s="1173" t="s">
        <v>41</v>
      </c>
      <c r="G5" s="1175" t="s">
        <v>209</v>
      </c>
      <c r="H5" s="1176" t="s">
        <v>187</v>
      </c>
      <c r="I5" s="1176" t="s">
        <v>188</v>
      </c>
      <c r="J5" s="1172" t="s">
        <v>189</v>
      </c>
      <c r="K5" s="1096" t="s">
        <v>354</v>
      </c>
      <c r="L5" s="1098" t="s">
        <v>346</v>
      </c>
      <c r="M5" s="1100" t="s">
        <v>355</v>
      </c>
      <c r="N5" s="1100" t="s">
        <v>356</v>
      </c>
      <c r="O5" s="1098" t="s">
        <v>357</v>
      </c>
      <c r="P5" s="1102" t="s">
        <v>212</v>
      </c>
      <c r="Q5" s="1112" t="s">
        <v>354</v>
      </c>
      <c r="R5" s="1114" t="s">
        <v>346</v>
      </c>
      <c r="S5" s="1145" t="s">
        <v>355</v>
      </c>
      <c r="T5" s="1145" t="s">
        <v>356</v>
      </c>
      <c r="U5" s="1114" t="s">
        <v>357</v>
      </c>
      <c r="V5" s="1110" t="s">
        <v>212</v>
      </c>
      <c r="W5" s="1096" t="s">
        <v>354</v>
      </c>
      <c r="X5" s="1098" t="s">
        <v>346</v>
      </c>
      <c r="Y5" s="1100" t="s">
        <v>355</v>
      </c>
      <c r="Z5" s="1100" t="s">
        <v>356</v>
      </c>
      <c r="AA5" s="1098" t="s">
        <v>357</v>
      </c>
      <c r="AB5" s="1102" t="s">
        <v>212</v>
      </c>
      <c r="AC5" s="1112" t="s">
        <v>354</v>
      </c>
      <c r="AD5" s="1114" t="s">
        <v>346</v>
      </c>
      <c r="AE5" s="1145" t="s">
        <v>355</v>
      </c>
      <c r="AF5" s="1145" t="s">
        <v>356</v>
      </c>
      <c r="AG5" s="1114" t="s">
        <v>357</v>
      </c>
      <c r="AH5" s="1114" t="s">
        <v>212</v>
      </c>
      <c r="AI5" s="1096" t="s">
        <v>354</v>
      </c>
      <c r="AJ5" s="1098" t="s">
        <v>346</v>
      </c>
      <c r="AK5" s="1100" t="s">
        <v>355</v>
      </c>
      <c r="AL5" s="1100" t="s">
        <v>356</v>
      </c>
      <c r="AM5" s="1098" t="s">
        <v>357</v>
      </c>
      <c r="AN5" s="1102" t="s">
        <v>212</v>
      </c>
    </row>
    <row r="6" spans="2:40" ht="45" customHeight="1" thickBot="1" x14ac:dyDescent="0.2">
      <c r="B6" s="1163"/>
      <c r="C6" s="1118"/>
      <c r="D6" s="1138"/>
      <c r="E6" s="1174"/>
      <c r="F6" s="1174"/>
      <c r="G6" s="1141"/>
      <c r="H6" s="1134"/>
      <c r="I6" s="1134"/>
      <c r="J6" s="1143"/>
      <c r="K6" s="1097"/>
      <c r="L6" s="1099"/>
      <c r="M6" s="1101"/>
      <c r="N6" s="1101"/>
      <c r="O6" s="1099"/>
      <c r="P6" s="1103"/>
      <c r="Q6" s="1113"/>
      <c r="R6" s="1115"/>
      <c r="S6" s="1146"/>
      <c r="T6" s="1146"/>
      <c r="U6" s="1115"/>
      <c r="V6" s="1111"/>
      <c r="W6" s="1097"/>
      <c r="X6" s="1099"/>
      <c r="Y6" s="1101"/>
      <c r="Z6" s="1101"/>
      <c r="AA6" s="1099"/>
      <c r="AB6" s="1103"/>
      <c r="AC6" s="1113"/>
      <c r="AD6" s="1115"/>
      <c r="AE6" s="1146"/>
      <c r="AF6" s="1146"/>
      <c r="AG6" s="1115"/>
      <c r="AH6" s="1115"/>
      <c r="AI6" s="1097"/>
      <c r="AJ6" s="1099"/>
      <c r="AK6" s="1101"/>
      <c r="AL6" s="1101"/>
      <c r="AM6" s="1099"/>
      <c r="AN6" s="1103"/>
    </row>
    <row r="7" spans="2:40" ht="21" customHeight="1" thickBot="1" x14ac:dyDescent="0.2">
      <c r="B7" s="686" t="s">
        <v>8</v>
      </c>
      <c r="C7" s="687">
        <v>0.8</v>
      </c>
      <c r="D7" s="688"/>
      <c r="E7" s="689"/>
      <c r="F7" s="690"/>
      <c r="G7" s="691"/>
      <c r="H7" s="692"/>
      <c r="I7" s="692"/>
      <c r="J7" s="693"/>
      <c r="K7" s="694"/>
      <c r="L7" s="694"/>
      <c r="M7" s="694"/>
      <c r="N7" s="694"/>
      <c r="O7" s="694"/>
      <c r="P7" s="694"/>
      <c r="Q7" s="695"/>
      <c r="R7" s="696"/>
      <c r="S7" s="696"/>
      <c r="T7" s="696"/>
      <c r="U7" s="696"/>
      <c r="V7" s="696"/>
      <c r="W7" s="695"/>
      <c r="X7" s="696"/>
      <c r="Y7" s="696"/>
      <c r="Z7" s="696"/>
      <c r="AA7" s="696"/>
      <c r="AB7" s="699"/>
      <c r="AC7" s="696"/>
      <c r="AD7" s="696"/>
      <c r="AE7" s="696"/>
      <c r="AF7" s="698"/>
      <c r="AG7" s="696"/>
      <c r="AH7" s="697"/>
      <c r="AI7" s="695"/>
      <c r="AJ7" s="696"/>
      <c r="AK7" s="696"/>
      <c r="AL7" s="696"/>
      <c r="AM7" s="696"/>
      <c r="AN7" s="699"/>
    </row>
    <row r="8" spans="2:40" x14ac:dyDescent="0.15">
      <c r="B8" s="700" t="s">
        <v>8</v>
      </c>
      <c r="C8" s="741" t="s">
        <v>180</v>
      </c>
      <c r="D8" s="593" t="s">
        <v>192</v>
      </c>
      <c r="E8" s="701">
        <f>VLOOKUP($B8&amp;"_"&amp;$D8,'App5 - CRUK Inci Rates'!C:H,6,FALSE)</f>
        <v>0</v>
      </c>
      <c r="F8" s="702">
        <f>VLOOKUP($B8&amp;"_"&amp;$D8,'App5 - CRUK Inci Rates'!C:H,3,FALSE)</f>
        <v>124.6</v>
      </c>
      <c r="G8" s="703">
        <f>VLOOKUP($B8&amp;"_"&amp;$D8,'App5 - CRUK Inci Rates'!C:J,8,FALSE)</f>
        <v>2054223.3333333333</v>
      </c>
      <c r="H8" s="704">
        <f>VLOOKUP($B8&amp;"_"&amp;$D8,'App5 - CRUK Inci Rates'!C:J,7,FALSE)</f>
        <v>0</v>
      </c>
      <c r="I8" s="704">
        <f>VLOOKUP($B8&amp;"_"&amp;$D8,'App5 - CRUK Inci Rates'!C:J,4,FALSE)</f>
        <v>2054223.3333333333</v>
      </c>
      <c r="J8" s="705">
        <f>VLOOKUP($B8&amp;"_"&amp;$D8,'App5 - CRUK Inci Rates'!C:K,9,FALSE)</f>
        <v>2559</v>
      </c>
      <c r="K8" s="706">
        <f>$G8*$K$3</f>
        <v>1027111.6666666666</v>
      </c>
      <c r="L8" s="706">
        <f>VLOOKUP("*"&amp;$B8&amp;"*",'S4 - Summ PRS Characteristics'!$C$13:$Q$20,11,FALSE)*$J8</f>
        <v>1934.3944097516603</v>
      </c>
      <c r="M8" s="706">
        <f>$J8-$L8</f>
        <v>624.60559024833969</v>
      </c>
      <c r="N8" s="706">
        <f>IF($C8="other",(1-$C$7)*L8,(1-(VLOOKUP($C8,'S3 - Screening Tool Metrics'!$C$3:$G$17,5,FALSE)/100))*L8)</f>
        <v>386.87888195033196</v>
      </c>
      <c r="O8" s="706">
        <f>IF($C8="other",$C$7*L8,(VLOOKUP($C8,'S3 - Screening Tool Metrics'!$C$3:$G$17,5,FALSE)/100)*L8)</f>
        <v>1547.5155278013283</v>
      </c>
      <c r="P8" s="706">
        <f>O8/J8*100</f>
        <v>60.473447745264885</v>
      </c>
      <c r="Q8" s="707">
        <f t="shared" ref="Q8:Q21" si="0">$G8*Q$3</f>
        <v>410844.66666666669</v>
      </c>
      <c r="R8" s="706">
        <f>VLOOKUP("*"&amp;$B8&amp;"*",'S4 - Summ PRS Characteristics'!$C$13:$Q$20,12,FALSE)*$J8</f>
        <v>1128.5648077019157</v>
      </c>
      <c r="S8" s="706">
        <f>$J8-R8</f>
        <v>1430.4351922980843</v>
      </c>
      <c r="T8" s="706">
        <f>IF($C8="other",(1-$C7)*R8,(1-(VLOOKUP($C8,'S3 - Screening Tool Metrics'!$C$3:$G$17,5,FALSE)/100))*R8)</f>
        <v>225.71296154038308</v>
      </c>
      <c r="U8" s="706">
        <f>IF($C8="other",$C7*R8,(VLOOKUP($C8,'S3 - Screening Tool Metrics'!$C$3:$G$17,5,FALSE)/100)*R8)</f>
        <v>902.85184616153265</v>
      </c>
      <c r="V8" s="706">
        <f t="shared" ref="V8:V21" si="1">U8/J8*100</f>
        <v>35.281432050079431</v>
      </c>
      <c r="W8" s="707">
        <f t="shared" ref="W8:W21" si="2">$G8*W$3</f>
        <v>205422.33333333334</v>
      </c>
      <c r="X8" s="706">
        <f>VLOOKUP("*"&amp;$B8&amp;"*",'S4 - Summ PRS Characteristics'!$C$13:$Q$20,13,FALSE)*$J8</f>
        <v>711.80886756758241</v>
      </c>
      <c r="Y8" s="706">
        <f>$J8-X8</f>
        <v>1847.1911324324176</v>
      </c>
      <c r="Z8" s="706">
        <f>IF($C8="other",(1-$C7)*X8,(1-(VLOOKUP($C8,'S3 - Screening Tool Metrics'!$C$3:$G$17,5,FALSE)/100))*X8)</f>
        <v>142.36177351351645</v>
      </c>
      <c r="AA8" s="706">
        <f>IF($C8="other",$C7*X8,(VLOOKUP($C8,'S3 - Screening Tool Metrics'!$C$3:$G$17,5,FALSE)/100)*X8)</f>
        <v>569.44709405406593</v>
      </c>
      <c r="AB8" s="709">
        <f t="shared" ref="AB8:AB21" si="3">$AA8/$J8*100</f>
        <v>22.252719580072917</v>
      </c>
      <c r="AC8" s="706">
        <f t="shared" ref="AC8:AC21" si="4">$G8*AC$3</f>
        <v>102711.16666666667</v>
      </c>
      <c r="AD8" s="706">
        <f>VLOOKUP("*"&amp;$B8&amp;"*",'S4 - Summ PRS Characteristics'!$C$13:$Q$20,14,FALSE)*$J8</f>
        <v>436.67932799548868</v>
      </c>
      <c r="AE8" s="706">
        <f>$J8-AD8</f>
        <v>2122.3206720045114</v>
      </c>
      <c r="AF8" s="706">
        <f>IF($C8="other",(1-$C7)*AD8,(1-(VLOOKUP($C8,'S3 - Screening Tool Metrics'!$C$3:$G$17,5,FALSE)/100))*AD8)</f>
        <v>87.335865599097716</v>
      </c>
      <c r="AG8" s="706">
        <f>IF($C8="other",$C7*AD8,(VLOOKUP($C8,'S3 - Screening Tool Metrics'!$C$3:$G$17,5,FALSE)/100)*AD8)</f>
        <v>349.34346239639098</v>
      </c>
      <c r="AH8" s="708">
        <f t="shared" ref="AH8:AH21" si="5">$AG8/$J8*100</f>
        <v>13.651561641125088</v>
      </c>
      <c r="AI8" s="707">
        <f t="shared" ref="AI8:AI21" si="6">$G8*AI$3</f>
        <v>20542.233333333334</v>
      </c>
      <c r="AJ8" s="706">
        <f>VLOOKUP("*"&amp;$B8&amp;"*",'S4 - Summ PRS Characteristics'!$C$13:$Q$20,15,FALSE)*$J8</f>
        <v>131.07797215518673</v>
      </c>
      <c r="AK8" s="706">
        <f>$J8-AJ8</f>
        <v>2427.9220278448133</v>
      </c>
      <c r="AL8" s="706">
        <f>IF($C8="other",(1-$C7)*AJ8,(1-(VLOOKUP($C8,'S3 - Screening Tool Metrics'!$C$3:$G$17,5,FALSE)/100))*AJ8)</f>
        <v>26.215594431037339</v>
      </c>
      <c r="AM8" s="706">
        <f>IF($C8="other",$C7*AJ8,(VLOOKUP($C8,'S3 - Screening Tool Metrics'!$C$3:$G$17,5,FALSE)/100)*AJ8)</f>
        <v>104.86237772414938</v>
      </c>
      <c r="AN8" s="709">
        <f t="shared" ref="AN8:AN21" si="7">$AM8/$J8*100</f>
        <v>4.0977873280245953</v>
      </c>
    </row>
    <row r="9" spans="2:40" x14ac:dyDescent="0.15">
      <c r="B9" s="700" t="s">
        <v>8</v>
      </c>
      <c r="C9" s="721" t="str">
        <f>$C8</f>
        <v>Other</v>
      </c>
      <c r="D9" s="552" t="s">
        <v>193</v>
      </c>
      <c r="E9" s="710">
        <f>VLOOKUP($B9&amp;"_"&amp;$D9,'App5 - CRUK Inci Rates'!C:H,6,FALSE)</f>
        <v>0</v>
      </c>
      <c r="F9" s="711">
        <f>VLOOKUP($B9&amp;"_"&amp;$D9,'App5 - CRUK Inci Rates'!C:H,3,FALSE)</f>
        <v>214.8</v>
      </c>
      <c r="G9" s="712">
        <f>VLOOKUP($B9&amp;"_"&amp;$D9,'App5 - CRUK Inci Rates'!C:J,8,FALSE)</f>
        <v>2315479.3333333335</v>
      </c>
      <c r="H9" s="713">
        <f>VLOOKUP($B9&amp;"_"&amp;$D9,'App5 - CRUK Inci Rates'!C:J,7,FALSE)</f>
        <v>0</v>
      </c>
      <c r="I9" s="713">
        <f>VLOOKUP($B9&amp;"_"&amp;$D9,'App5 - CRUK Inci Rates'!C:J,4,FALSE)</f>
        <v>2315479.3333333335</v>
      </c>
      <c r="J9" s="709">
        <f>VLOOKUP($B9&amp;"_"&amp;$D9,'App5 - CRUK Inci Rates'!C:K,9,FALSE)</f>
        <v>4974</v>
      </c>
      <c r="K9" s="706">
        <f t="shared" ref="K9:K73" si="8">$G9*$K$3</f>
        <v>1157739.6666666667</v>
      </c>
      <c r="L9" s="706">
        <f>VLOOKUP("*"&amp;$B9&amp;"*",'S4 - Summ PRS Characteristics'!$C$13:$Q$20,11,FALSE)*$J9</f>
        <v>3759.9366135618438</v>
      </c>
      <c r="M9" s="706">
        <f t="shared" ref="M9:M73" si="9">$J9-$L9</f>
        <v>1214.0633864381562</v>
      </c>
      <c r="N9" s="706">
        <f>IF($C9="other",(1-$C$7)*L9,(1-(VLOOKUP($C9,'S3 - Screening Tool Metrics'!$C$3:$G$17,5,FALSE)/100))*L9)</f>
        <v>751.98732271236861</v>
      </c>
      <c r="O9" s="706">
        <f>IF($C9="other",$C$7*L9,(VLOOKUP($C9,'S3 - Screening Tool Metrics'!$C$3:$G$17,5,FALSE)/100)*L9)</f>
        <v>3007.9492908494753</v>
      </c>
      <c r="P9" s="706">
        <f t="shared" ref="P9:P73" si="10">O9/J9*100</f>
        <v>60.473447745264885</v>
      </c>
      <c r="Q9" s="707">
        <f t="shared" si="0"/>
        <v>463095.8666666667</v>
      </c>
      <c r="R9" s="706">
        <f>VLOOKUP("*"&amp;$B9&amp;"*",'S4 - Summ PRS Characteristics'!$C$13:$Q$20,12,FALSE)*$J9</f>
        <v>2193.6230377136885</v>
      </c>
      <c r="S9" s="706">
        <f t="shared" ref="S9:S21" si="11">$J9-R9</f>
        <v>2780.3769622863115</v>
      </c>
      <c r="T9" s="706">
        <f>IF($C9="other",(1-$C7)*R9,(1-(VLOOKUP($C9,'S3 - Screening Tool Metrics'!$C$3:$G$17,5,FALSE)/100))*R9)</f>
        <v>438.7246075427376</v>
      </c>
      <c r="U9" s="706">
        <f>IF($C9="other",$C7*R9,(VLOOKUP($C9,'S3 - Screening Tool Metrics'!$C$3:$G$17,5,FALSE)/100)*R9)</f>
        <v>1754.8984301709509</v>
      </c>
      <c r="V9" s="706">
        <f t="shared" si="1"/>
        <v>35.281432050079431</v>
      </c>
      <c r="W9" s="707">
        <f t="shared" si="2"/>
        <v>231547.93333333335</v>
      </c>
      <c r="X9" s="706">
        <f>VLOOKUP("*"&amp;$B9&amp;"*",'S4 - Summ PRS Characteristics'!$C$13:$Q$20,13,FALSE)*$J9</f>
        <v>1383.5628398910335</v>
      </c>
      <c r="Y9" s="706">
        <f t="shared" ref="Y9:Y21" si="12">$J9-X9</f>
        <v>3590.4371601089665</v>
      </c>
      <c r="Z9" s="706">
        <f>IF($C9="other",(1-$C7)*X9,(1-(VLOOKUP($C9,'S3 - Screening Tool Metrics'!$C$3:$G$17,5,FALSE)/100))*X9)</f>
        <v>276.71256797820666</v>
      </c>
      <c r="AA9" s="706">
        <f>IF($C9="other",$C7*X9,(VLOOKUP($C9,'S3 - Screening Tool Metrics'!$C$3:$G$17,5,FALSE)/100)*X9)</f>
        <v>1106.8502719128269</v>
      </c>
      <c r="AB9" s="709">
        <f t="shared" si="3"/>
        <v>22.252719580072917</v>
      </c>
      <c r="AC9" s="706">
        <f t="shared" si="4"/>
        <v>115773.96666666667</v>
      </c>
      <c r="AD9" s="706">
        <f>VLOOKUP("*"&amp;$B9&amp;"*",'S4 - Summ PRS Characteristics'!$C$13:$Q$20,14,FALSE)*$J9</f>
        <v>848.7858450369522</v>
      </c>
      <c r="AE9" s="706">
        <f>$J9-AD9</f>
        <v>4125.2141549630478</v>
      </c>
      <c r="AF9" s="706">
        <f>IF($C9="other",(1-$C7)*AD9,(1-(VLOOKUP($C9,'S3 - Screening Tool Metrics'!$C$3:$G$17,5,FALSE)/100))*AD9)</f>
        <v>169.75716900739039</v>
      </c>
      <c r="AG9" s="706">
        <f>IF($C9="other",$C7*AD9,(VLOOKUP($C9,'S3 - Screening Tool Metrics'!$C$3:$G$17,5,FALSE)/100)*AD9)</f>
        <v>679.02867602956178</v>
      </c>
      <c r="AH9" s="708">
        <f t="shared" si="5"/>
        <v>13.651561641125088</v>
      </c>
      <c r="AI9" s="707">
        <f t="shared" si="6"/>
        <v>23154.793333333335</v>
      </c>
      <c r="AJ9" s="706">
        <f>VLOOKUP("*"&amp;$B9&amp;"*",'S4 - Summ PRS Characteristics'!$C$13:$Q$20,15,FALSE)*$J9</f>
        <v>254.77992711992917</v>
      </c>
      <c r="AK9" s="706">
        <f t="shared" ref="AK9:AK21" si="13">$J9-AJ9</f>
        <v>4719.2200728800708</v>
      </c>
      <c r="AL9" s="706">
        <f>IF($C9="other",(1-$C7)*AJ9,(1-(VLOOKUP($C9,'S3 - Screening Tool Metrics'!$C$3:$G$17,5,FALSE)/100))*AJ9)</f>
        <v>50.955985423985823</v>
      </c>
      <c r="AM9" s="706">
        <f>IF($C9="other",$C7*AJ9,(VLOOKUP($C9,'S3 - Screening Tool Metrics'!$C$3:$G$17,5,FALSE)/100)*AJ9)</f>
        <v>203.82394169594335</v>
      </c>
      <c r="AN9" s="709">
        <f t="shared" si="7"/>
        <v>4.0977873280245953</v>
      </c>
    </row>
    <row r="10" spans="2:40" x14ac:dyDescent="0.15">
      <c r="B10" s="700" t="s">
        <v>8</v>
      </c>
      <c r="C10" s="721" t="str">
        <f>$C8</f>
        <v>Other</v>
      </c>
      <c r="D10" s="552" t="s">
        <v>194</v>
      </c>
      <c r="E10" s="710">
        <f>VLOOKUP($B10&amp;"_"&amp;$D10,'App5 - CRUK Inci Rates'!C:H,6,FALSE)</f>
        <v>0</v>
      </c>
      <c r="F10" s="711">
        <f>VLOOKUP($B10&amp;"_"&amp;$D10,'App5 - CRUK Inci Rates'!C:H,3,FALSE)</f>
        <v>279.8</v>
      </c>
      <c r="G10" s="712">
        <f>VLOOKUP($B10&amp;"_"&amp;$D10,'App5 - CRUK Inci Rates'!C:J,8,FALSE)</f>
        <v>2364638</v>
      </c>
      <c r="H10" s="713">
        <f>VLOOKUP($B10&amp;"_"&amp;$D10,'App5 - CRUK Inci Rates'!C:J,7,FALSE)</f>
        <v>0</v>
      </c>
      <c r="I10" s="713">
        <f>VLOOKUP($B10&amp;"_"&amp;$D10,'App5 - CRUK Inci Rates'!C:J,4,FALSE)</f>
        <v>2364638</v>
      </c>
      <c r="J10" s="709">
        <f>VLOOKUP($B10&amp;"_"&amp;$D10,'App5 - CRUK Inci Rates'!C:K,9,FALSE)</f>
        <v>6616</v>
      </c>
      <c r="K10" s="706">
        <f t="shared" si="8"/>
        <v>1182319</v>
      </c>
      <c r="L10" s="706">
        <f>VLOOKUP("*"&amp;$B10&amp;"*",'S4 - Summ PRS Characteristics'!$C$13:$Q$20,11,FALSE)*$J10</f>
        <v>5001.154128533406</v>
      </c>
      <c r="M10" s="706">
        <f t="shared" si="9"/>
        <v>1614.845871466594</v>
      </c>
      <c r="N10" s="706">
        <f>IF($C10="other",(1-$C$7)*L10,(1-(VLOOKUP($C10,'S3 - Screening Tool Metrics'!$C$3:$G$17,5,FALSE)/100))*L10)</f>
        <v>1000.230825706681</v>
      </c>
      <c r="O10" s="706">
        <f>IF($C10="other",$C$7*L10,(VLOOKUP($C10,'S3 - Screening Tool Metrics'!$C$3:$G$17,5,FALSE)/100)*L10)</f>
        <v>4000.9233028267249</v>
      </c>
      <c r="P10" s="706">
        <f t="shared" si="10"/>
        <v>60.473447745264885</v>
      </c>
      <c r="Q10" s="707">
        <f t="shared" si="0"/>
        <v>472927.60000000003</v>
      </c>
      <c r="R10" s="706">
        <f>VLOOKUP("*"&amp;$B10&amp;"*",'S4 - Summ PRS Characteristics'!$C$13:$Q$20,12,FALSE)*$J10</f>
        <v>2917.7744305415686</v>
      </c>
      <c r="S10" s="706">
        <f t="shared" si="11"/>
        <v>3698.2255694584314</v>
      </c>
      <c r="T10" s="706">
        <f>IF($C10="other",(1-$C7)*R10,(1-(VLOOKUP($C10,'S3 - Screening Tool Metrics'!$C$3:$G$17,5,FALSE)/100))*R10)</f>
        <v>583.55488610831355</v>
      </c>
      <c r="U10" s="706">
        <f>IF($C10="other",$C7*R10,(VLOOKUP($C10,'S3 - Screening Tool Metrics'!$C$3:$G$17,5,FALSE)/100)*R10)</f>
        <v>2334.2195444332551</v>
      </c>
      <c r="V10" s="706">
        <f t="shared" si="1"/>
        <v>35.281432050079431</v>
      </c>
      <c r="W10" s="707">
        <f t="shared" si="2"/>
        <v>236463.80000000002</v>
      </c>
      <c r="X10" s="706">
        <f>VLOOKUP("*"&amp;$B10&amp;"*",'S4 - Summ PRS Characteristics'!$C$13:$Q$20,13,FALSE)*$J10</f>
        <v>1840.2999092720302</v>
      </c>
      <c r="Y10" s="706">
        <f t="shared" si="12"/>
        <v>4775.7000907279698</v>
      </c>
      <c r="Z10" s="706">
        <f>IF($C10="other",(1-$C7)*X10,(1-(VLOOKUP($C10,'S3 - Screening Tool Metrics'!$C$3:$G$17,5,FALSE)/100))*X10)</f>
        <v>368.05998185440598</v>
      </c>
      <c r="AA10" s="706">
        <f>IF($C10="other",$C7*X10,(VLOOKUP($C10,'S3 - Screening Tool Metrics'!$C$3:$G$17,5,FALSE)/100)*X10)</f>
        <v>1472.2399274176241</v>
      </c>
      <c r="AB10" s="709">
        <f t="shared" si="3"/>
        <v>22.252719580072917</v>
      </c>
      <c r="AC10" s="706">
        <f t="shared" si="4"/>
        <v>118231.90000000001</v>
      </c>
      <c r="AD10" s="706">
        <f>VLOOKUP("*"&amp;$B10&amp;"*",'S4 - Summ PRS Characteristics'!$C$13:$Q$20,14,FALSE)*$J10</f>
        <v>1128.9841477210446</v>
      </c>
      <c r="AE10" s="706">
        <f t="shared" ref="AE10:AE21" si="14">$J10-AD10</f>
        <v>5487.0158522789552</v>
      </c>
      <c r="AF10" s="706">
        <f>IF($C10="other",(1-$C7)*AD10,(1-(VLOOKUP($C10,'S3 - Screening Tool Metrics'!$C$3:$G$17,5,FALSE)/100))*AD10)</f>
        <v>225.79682954420886</v>
      </c>
      <c r="AG10" s="706">
        <f>IF($C10="other",$C7*AD10,(VLOOKUP($C10,'S3 - Screening Tool Metrics'!$C$3:$G$17,5,FALSE)/100)*AD10)</f>
        <v>903.18731817683567</v>
      </c>
      <c r="AH10" s="708">
        <f t="shared" si="5"/>
        <v>13.651561641125085</v>
      </c>
      <c r="AI10" s="707">
        <f t="shared" si="6"/>
        <v>23646.38</v>
      </c>
      <c r="AJ10" s="706">
        <f>VLOOKUP("*"&amp;$B10&amp;"*",'S4 - Summ PRS Characteristics'!$C$13:$Q$20,15,FALSE)*$J10</f>
        <v>338.887012027634</v>
      </c>
      <c r="AK10" s="706">
        <f t="shared" si="13"/>
        <v>6277.1129879723658</v>
      </c>
      <c r="AL10" s="706">
        <f>IF($C10="other",(1-$C7)*AJ10,(1-(VLOOKUP($C10,'S3 - Screening Tool Metrics'!$C$3:$G$17,5,FALSE)/100))*AJ10)</f>
        <v>67.777402405526786</v>
      </c>
      <c r="AM10" s="706">
        <f>IF($C10="other",$C7*AJ10,(VLOOKUP($C10,'S3 - Screening Tool Metrics'!$C$3:$G$17,5,FALSE)/100)*AJ10)</f>
        <v>271.1096096221072</v>
      </c>
      <c r="AN10" s="709">
        <f t="shared" si="7"/>
        <v>4.0977873280245953</v>
      </c>
    </row>
    <row r="11" spans="2:40" x14ac:dyDescent="0.15">
      <c r="B11" s="700" t="s">
        <v>8</v>
      </c>
      <c r="C11" s="721" t="str">
        <f>$C8</f>
        <v>Other</v>
      </c>
      <c r="D11" s="552" t="s">
        <v>195</v>
      </c>
      <c r="E11" s="710">
        <f>VLOOKUP($B11&amp;"_"&amp;$D11,'App5 - CRUK Inci Rates'!C:H,6,FALSE)</f>
        <v>0</v>
      </c>
      <c r="F11" s="711">
        <f>VLOOKUP($B11&amp;"_"&amp;$D11,'App5 - CRUK Inci Rates'!C:H,3,FALSE)</f>
        <v>285.5</v>
      </c>
      <c r="G11" s="712">
        <f>VLOOKUP($B11&amp;"_"&amp;$D11,'App5 - CRUK Inci Rates'!C:J,8,FALSE)</f>
        <v>2119687.3333333335</v>
      </c>
      <c r="H11" s="713">
        <f>VLOOKUP($B11&amp;"_"&amp;$D11,'App5 - CRUK Inci Rates'!C:J,7,FALSE)</f>
        <v>0</v>
      </c>
      <c r="I11" s="713">
        <f>VLOOKUP($B11&amp;"_"&amp;$D11,'App5 - CRUK Inci Rates'!C:J,4,FALSE)</f>
        <v>2119687.3333333335</v>
      </c>
      <c r="J11" s="709">
        <f>VLOOKUP($B11&amp;"_"&amp;$D11,'App5 - CRUK Inci Rates'!C:K,9,FALSE)</f>
        <v>6052</v>
      </c>
      <c r="K11" s="706">
        <f t="shared" si="8"/>
        <v>1059843.6666666667</v>
      </c>
      <c r="L11" s="706">
        <f>VLOOKUP("*"&amp;$B11&amp;"*",'S4 - Summ PRS Characteristics'!$C$13:$Q$20,11,FALSE)*$J11</f>
        <v>4574.8163219292883</v>
      </c>
      <c r="M11" s="706">
        <f t="shared" si="9"/>
        <v>1477.1836780707117</v>
      </c>
      <c r="N11" s="706">
        <f>IF($C11="other",(1-$C$7)*L11,(1-(VLOOKUP($C11,'S3 - Screening Tool Metrics'!$C$3:$G$17,5,FALSE)/100))*L11)</f>
        <v>914.96326438585743</v>
      </c>
      <c r="O11" s="706">
        <f>IF($C11="other",$C$7*L11,(VLOOKUP($C11,'S3 - Screening Tool Metrics'!$C$3:$G$17,5,FALSE)/100)*L11)</f>
        <v>3659.8530575434306</v>
      </c>
      <c r="P11" s="706">
        <f t="shared" si="10"/>
        <v>60.473447745264885</v>
      </c>
      <c r="Q11" s="707">
        <f t="shared" si="0"/>
        <v>423937.46666666673</v>
      </c>
      <c r="R11" s="706">
        <f>VLOOKUP("*"&amp;$B11&amp;"*",'S4 - Summ PRS Characteristics'!$C$13:$Q$20,12,FALSE)*$J11</f>
        <v>2669.0403345885088</v>
      </c>
      <c r="S11" s="706">
        <f t="shared" si="11"/>
        <v>3382.9596654114912</v>
      </c>
      <c r="T11" s="706">
        <f>IF($C11="other",(1-$C7)*R11,(1-(VLOOKUP($C11,'S3 - Screening Tool Metrics'!$C$3:$G$17,5,FALSE)/100))*R11)</f>
        <v>533.80806691770169</v>
      </c>
      <c r="U11" s="706">
        <f>IF($C11="other",$C7*R11,(VLOOKUP($C11,'S3 - Screening Tool Metrics'!$C$3:$G$17,5,FALSE)/100)*R11)</f>
        <v>2135.2322676708072</v>
      </c>
      <c r="V11" s="706">
        <f t="shared" si="1"/>
        <v>35.281432050079431</v>
      </c>
      <c r="W11" s="707">
        <f t="shared" si="2"/>
        <v>211968.73333333337</v>
      </c>
      <c r="X11" s="706">
        <f>VLOOKUP("*"&amp;$B11&amp;"*",'S4 - Summ PRS Characteristics'!$C$13:$Q$20,13,FALSE)*$J11</f>
        <v>1683.4182362325159</v>
      </c>
      <c r="Y11" s="706">
        <f t="shared" si="12"/>
        <v>4368.5817637674845</v>
      </c>
      <c r="Z11" s="706">
        <f>IF($C11="other",(1-$C7)*X11,(1-(VLOOKUP($C11,'S3 - Screening Tool Metrics'!$C$3:$G$17,5,FALSE)/100))*X11)</f>
        <v>336.68364724650309</v>
      </c>
      <c r="AA11" s="706">
        <f>IF($C11="other",$C7*X11,(VLOOKUP($C11,'S3 - Screening Tool Metrics'!$C$3:$G$17,5,FALSE)/100)*X11)</f>
        <v>1346.7345889860128</v>
      </c>
      <c r="AB11" s="709">
        <f t="shared" si="3"/>
        <v>22.252719580072913</v>
      </c>
      <c r="AC11" s="706">
        <f t="shared" si="4"/>
        <v>105984.36666666668</v>
      </c>
      <c r="AD11" s="706">
        <f>VLOOKUP("*"&amp;$B11&amp;"*",'S4 - Summ PRS Characteristics'!$C$13:$Q$20,14,FALSE)*$J11</f>
        <v>1032.7406381511128</v>
      </c>
      <c r="AE11" s="706">
        <f t="shared" si="14"/>
        <v>5019.2593618488872</v>
      </c>
      <c r="AF11" s="706">
        <f>IF($C11="other",(1-$C7)*AD11,(1-(VLOOKUP($C11,'S3 - Screening Tool Metrics'!$C$3:$G$17,5,FALSE)/100))*AD11)</f>
        <v>206.5481276302225</v>
      </c>
      <c r="AG11" s="706">
        <f>IF($C11="other",$C7*AD11,(VLOOKUP($C11,'S3 - Screening Tool Metrics'!$C$3:$G$17,5,FALSE)/100)*AD11)</f>
        <v>826.19251052089021</v>
      </c>
      <c r="AH11" s="708">
        <f t="shared" si="5"/>
        <v>13.651561641125088</v>
      </c>
      <c r="AI11" s="707">
        <f t="shared" si="6"/>
        <v>21196.873333333337</v>
      </c>
      <c r="AJ11" s="706">
        <f>VLOOKUP("*"&amp;$B11&amp;"*",'S4 - Summ PRS Characteristics'!$C$13:$Q$20,15,FALSE)*$J11</f>
        <v>309.99761136506061</v>
      </c>
      <c r="AK11" s="706">
        <f t="shared" si="13"/>
        <v>5742.0023886349391</v>
      </c>
      <c r="AL11" s="706">
        <f>IF($C11="other",(1-$C7)*AJ11,(1-(VLOOKUP($C11,'S3 - Screening Tool Metrics'!$C$3:$G$17,5,FALSE)/100))*AJ11)</f>
        <v>61.999522273012104</v>
      </c>
      <c r="AM11" s="706">
        <f>IF($C11="other",$C7*AJ11,(VLOOKUP($C11,'S3 - Screening Tool Metrics'!$C$3:$G$17,5,FALSE)/100)*AJ11)</f>
        <v>247.9980890920485</v>
      </c>
      <c r="AN11" s="709">
        <f t="shared" si="7"/>
        <v>4.0977873280245953</v>
      </c>
    </row>
    <row r="12" spans="2:40" x14ac:dyDescent="0.15">
      <c r="B12" s="700" t="s">
        <v>8</v>
      </c>
      <c r="C12" s="721" t="str">
        <f>$C8</f>
        <v>Other</v>
      </c>
      <c r="D12" s="552" t="s">
        <v>196</v>
      </c>
      <c r="E12" s="710">
        <f>VLOOKUP($B12&amp;"_"&amp;$D12,'App5 - CRUK Inci Rates'!C:H,6,FALSE)</f>
        <v>0</v>
      </c>
      <c r="F12" s="711">
        <f>VLOOKUP($B12&amp;"_"&amp;$D12,'App5 - CRUK Inci Rates'!C:H,3,FALSE)</f>
        <v>337.96472190440318</v>
      </c>
      <c r="G12" s="712">
        <f>VLOOKUP($B12&amp;"_"&amp;$D12,'App5 - CRUK Inci Rates'!C:J,8,FALSE)</f>
        <v>1837174</v>
      </c>
      <c r="H12" s="713">
        <f>VLOOKUP($B12&amp;"_"&amp;$D12,'App5 - CRUK Inci Rates'!C:J,7,FALSE)</f>
        <v>0</v>
      </c>
      <c r="I12" s="713">
        <f>VLOOKUP($B12&amp;"_"&amp;$D12,'App5 - CRUK Inci Rates'!C:J,4,FALSE)</f>
        <v>1837174</v>
      </c>
      <c r="J12" s="709">
        <f>VLOOKUP($B12&amp;"_"&amp;$D12,'App5 - CRUK Inci Rates'!C:K,9,FALSE)</f>
        <v>6209</v>
      </c>
      <c r="K12" s="706">
        <f t="shared" si="8"/>
        <v>918587</v>
      </c>
      <c r="L12" s="706">
        <f>VLOOKUP("*"&amp;$B12&amp;"*",'S4 - Summ PRS Characteristics'!$C$13:$Q$20,11,FALSE)*$J12</f>
        <v>4693.4954631293704</v>
      </c>
      <c r="M12" s="706">
        <f t="shared" si="9"/>
        <v>1515.5045368706296</v>
      </c>
      <c r="N12" s="706">
        <f>IF($C12="other",(1-$C$7)*L12,(1-(VLOOKUP($C12,'S3 - Screening Tool Metrics'!$C$3:$G$17,5,FALSE)/100))*L12)</f>
        <v>938.69909262587385</v>
      </c>
      <c r="O12" s="706">
        <f>IF($C12="other",$C$7*L12,(VLOOKUP($C12,'S3 - Screening Tool Metrics'!$C$3:$G$17,5,FALSE)/100)*L12)</f>
        <v>3754.7963705034963</v>
      </c>
      <c r="P12" s="706">
        <f t="shared" si="10"/>
        <v>60.473447745264878</v>
      </c>
      <c r="Q12" s="707">
        <f t="shared" si="0"/>
        <v>367434.80000000005</v>
      </c>
      <c r="R12" s="706">
        <f>VLOOKUP("*"&amp;$B12&amp;"*",'S4 - Summ PRS Characteristics'!$C$13:$Q$20,12,FALSE)*$J12</f>
        <v>2738.2801449867893</v>
      </c>
      <c r="S12" s="706">
        <f t="shared" si="11"/>
        <v>3470.7198550132107</v>
      </c>
      <c r="T12" s="706">
        <f>IF($C12="other",(1-$C7)*R12,(1-(VLOOKUP($C12,'S3 - Screening Tool Metrics'!$C$3:$G$17,5,FALSE)/100))*R12)</f>
        <v>547.65602899735779</v>
      </c>
      <c r="U12" s="706">
        <f>IF($C12="other",$C7*R12,(VLOOKUP($C12,'S3 - Screening Tool Metrics'!$C$3:$G$17,5,FALSE)/100)*R12)</f>
        <v>2190.6241159894316</v>
      </c>
      <c r="V12" s="706">
        <f t="shared" si="1"/>
        <v>35.281432050079424</v>
      </c>
      <c r="W12" s="707">
        <f t="shared" si="2"/>
        <v>183717.40000000002</v>
      </c>
      <c r="X12" s="706">
        <f>VLOOKUP("*"&amp;$B12&amp;"*",'S4 - Summ PRS Characteristics'!$C$13:$Q$20,13,FALSE)*$J12</f>
        <v>1727.0891984084092</v>
      </c>
      <c r="Y12" s="706">
        <f t="shared" si="12"/>
        <v>4481.9108015915908</v>
      </c>
      <c r="Z12" s="706">
        <f>IF($C12="other",(1-$C7)*X12,(1-(VLOOKUP($C12,'S3 - Screening Tool Metrics'!$C$3:$G$17,5,FALSE)/100))*X12)</f>
        <v>345.41783968168176</v>
      </c>
      <c r="AA12" s="706">
        <f>IF($C12="other",$C7*X12,(VLOOKUP($C12,'S3 - Screening Tool Metrics'!$C$3:$G$17,5,FALSE)/100)*X12)</f>
        <v>1381.6713587267275</v>
      </c>
      <c r="AB12" s="709">
        <f t="shared" si="3"/>
        <v>22.25271958007292</v>
      </c>
      <c r="AC12" s="706">
        <f t="shared" si="4"/>
        <v>91858.700000000012</v>
      </c>
      <c r="AD12" s="706">
        <f>VLOOKUP("*"&amp;$B12&amp;"*",'S4 - Summ PRS Characteristics'!$C$13:$Q$20,14,FALSE)*$J12</f>
        <v>1059.5318278718207</v>
      </c>
      <c r="AE12" s="706">
        <f t="shared" si="14"/>
        <v>5149.4681721281795</v>
      </c>
      <c r="AF12" s="706">
        <f>IF($C12="other",(1-$C7)*AD12,(1-(VLOOKUP($C12,'S3 - Screening Tool Metrics'!$C$3:$G$17,5,FALSE)/100))*AD12)</f>
        <v>211.90636557436409</v>
      </c>
      <c r="AG12" s="706">
        <f>IF($C12="other",$C7*AD12,(VLOOKUP($C12,'S3 - Screening Tool Metrics'!$C$3:$G$17,5,FALSE)/100)*AD12)</f>
        <v>847.62546229745658</v>
      </c>
      <c r="AH12" s="708">
        <f t="shared" si="5"/>
        <v>13.651561641125085</v>
      </c>
      <c r="AI12" s="707">
        <f t="shared" si="6"/>
        <v>18371.740000000002</v>
      </c>
      <c r="AJ12" s="706">
        <f>VLOOKUP("*"&amp;$B12&amp;"*",'S4 - Summ PRS Characteristics'!$C$13:$Q$20,15,FALSE)*$J12</f>
        <v>318.03951899630886</v>
      </c>
      <c r="AK12" s="706">
        <f t="shared" si="13"/>
        <v>5890.9604810036908</v>
      </c>
      <c r="AL12" s="706">
        <f>IF($C12="other",(1-$C7)*AJ12,(1-(VLOOKUP($C12,'S3 - Screening Tool Metrics'!$C$3:$G$17,5,FALSE)/100))*AJ12)</f>
        <v>63.607903799261756</v>
      </c>
      <c r="AM12" s="706">
        <f>IF($C12="other",$C7*AJ12,(VLOOKUP($C12,'S3 - Screening Tool Metrics'!$C$3:$G$17,5,FALSE)/100)*AJ12)</f>
        <v>254.43161519704711</v>
      </c>
      <c r="AN12" s="709">
        <f t="shared" si="7"/>
        <v>4.0977873280245953</v>
      </c>
    </row>
    <row r="13" spans="2:40" x14ac:dyDescent="0.15">
      <c r="B13" s="700" t="s">
        <v>8</v>
      </c>
      <c r="C13" s="721" t="str">
        <f>$C8</f>
        <v>Other</v>
      </c>
      <c r="D13" s="552" t="s">
        <v>197</v>
      </c>
      <c r="E13" s="710">
        <f>VLOOKUP($B13&amp;"_"&amp;$D13,'App5 - CRUK Inci Rates'!C:H,6,FALSE)</f>
        <v>0</v>
      </c>
      <c r="F13" s="711">
        <f>VLOOKUP($B13&amp;"_"&amp;$D13,'App5 - CRUK Inci Rates'!C:H,3,FALSE)</f>
        <v>412.3</v>
      </c>
      <c r="G13" s="712">
        <f>VLOOKUP($B13&amp;"_"&amp;$D13,'App5 - CRUK Inci Rates'!C:J,8,FALSE)</f>
        <v>1805190</v>
      </c>
      <c r="H13" s="713">
        <f>VLOOKUP($B13&amp;"_"&amp;$D13,'App5 - CRUK Inci Rates'!C:J,7,FALSE)</f>
        <v>0</v>
      </c>
      <c r="I13" s="713">
        <f>VLOOKUP($B13&amp;"_"&amp;$D13,'App5 - CRUK Inci Rates'!C:J,4,FALSE)</f>
        <v>1805190</v>
      </c>
      <c r="J13" s="709">
        <f>VLOOKUP($B13&amp;"_"&amp;$D13,'App5 - CRUK Inci Rates'!C:K,9,FALSE)</f>
        <v>7443</v>
      </c>
      <c r="K13" s="706">
        <f t="shared" si="8"/>
        <v>902595</v>
      </c>
      <c r="L13" s="706">
        <f>VLOOKUP("*"&amp;$B13&amp;"*",'S4 - Summ PRS Characteristics'!$C$13:$Q$20,11,FALSE)*$J13</f>
        <v>5626.2983946000813</v>
      </c>
      <c r="M13" s="706">
        <f t="shared" si="9"/>
        <v>1816.7016053999187</v>
      </c>
      <c r="N13" s="706">
        <f>IF($C13="other",(1-$C$7)*L13,(1-(VLOOKUP($C13,'S3 - Screening Tool Metrics'!$C$3:$G$17,5,FALSE)/100))*L13)</f>
        <v>1125.2596789200161</v>
      </c>
      <c r="O13" s="706">
        <f>IF($C13="other",$C$7*L13,(VLOOKUP($C13,'S3 - Screening Tool Metrics'!$C$3:$G$17,5,FALSE)/100)*L13)</f>
        <v>4501.0387156800653</v>
      </c>
      <c r="P13" s="706">
        <f t="shared" si="10"/>
        <v>60.473447745264885</v>
      </c>
      <c r="Q13" s="707">
        <f t="shared" si="0"/>
        <v>361038</v>
      </c>
      <c r="R13" s="706">
        <f>VLOOKUP("*"&amp;$B13&amp;"*",'S4 - Summ PRS Characteristics'!$C$13:$Q$20,12,FALSE)*$J13</f>
        <v>3282.4962343592647</v>
      </c>
      <c r="S13" s="706">
        <f t="shared" si="11"/>
        <v>4160.5037656407349</v>
      </c>
      <c r="T13" s="706">
        <f>IF($C13="other",(1-$C7)*R13,(1-(VLOOKUP($C13,'S3 - Screening Tool Metrics'!$C$3:$G$17,5,FALSE)/100))*R13)</f>
        <v>656.49924687185285</v>
      </c>
      <c r="U13" s="706">
        <f>IF($C13="other",$C7*R13,(VLOOKUP($C13,'S3 - Screening Tool Metrics'!$C$3:$G$17,5,FALSE)/100)*R13)</f>
        <v>2625.9969874874118</v>
      </c>
      <c r="V13" s="706">
        <f t="shared" si="1"/>
        <v>35.281432050079431</v>
      </c>
      <c r="W13" s="707">
        <f t="shared" si="2"/>
        <v>180519</v>
      </c>
      <c r="X13" s="706">
        <f>VLOOKUP("*"&amp;$B13&amp;"*",'S4 - Summ PRS Characteristics'!$C$13:$Q$20,13,FALSE)*$J13</f>
        <v>2070.337397931034</v>
      </c>
      <c r="Y13" s="706">
        <f t="shared" si="12"/>
        <v>5372.6626020689655</v>
      </c>
      <c r="Z13" s="706">
        <f>IF($C13="other",(1-$C7)*X13,(1-(VLOOKUP($C13,'S3 - Screening Tool Metrics'!$C$3:$G$17,5,FALSE)/100))*X13)</f>
        <v>414.06747958620673</v>
      </c>
      <c r="AA13" s="706">
        <f>IF($C13="other",$C7*X13,(VLOOKUP($C13,'S3 - Screening Tool Metrics'!$C$3:$G$17,5,FALSE)/100)*X13)</f>
        <v>1656.2699183448274</v>
      </c>
      <c r="AB13" s="709">
        <f t="shared" si="3"/>
        <v>22.25271958007292</v>
      </c>
      <c r="AC13" s="706">
        <f t="shared" si="4"/>
        <v>90259.5</v>
      </c>
      <c r="AD13" s="706">
        <f>VLOOKUP("*"&amp;$B13&amp;"*",'S4 - Summ PRS Characteristics'!$C$13:$Q$20,14,FALSE)*$J13</f>
        <v>1270.1071661861752</v>
      </c>
      <c r="AE13" s="706">
        <f t="shared" si="14"/>
        <v>6172.8928338138248</v>
      </c>
      <c r="AF13" s="706">
        <f>IF($C13="other",(1-$C7)*AD13,(1-(VLOOKUP($C13,'S3 - Screening Tool Metrics'!$C$3:$G$17,5,FALSE)/100))*AD13)</f>
        <v>254.02143323723499</v>
      </c>
      <c r="AG13" s="706">
        <f>IF($C13="other",$C7*AD13,(VLOOKUP($C13,'S3 - Screening Tool Metrics'!$C$3:$G$17,5,FALSE)/100)*AD13)</f>
        <v>1016.0857329489402</v>
      </c>
      <c r="AH13" s="708">
        <f t="shared" si="5"/>
        <v>13.651561641125088</v>
      </c>
      <c r="AI13" s="707">
        <f t="shared" si="6"/>
        <v>18051.900000000001</v>
      </c>
      <c r="AJ13" s="706">
        <f>VLOOKUP("*"&amp;$B13&amp;"*",'S4 - Summ PRS Characteristics'!$C$13:$Q$20,15,FALSE)*$J13</f>
        <v>381.24788853108822</v>
      </c>
      <c r="AK13" s="706">
        <f t="shared" si="13"/>
        <v>7061.7521114689116</v>
      </c>
      <c r="AL13" s="706">
        <f>IF($C13="other",(1-$C7)*AJ13,(1-(VLOOKUP($C13,'S3 - Screening Tool Metrics'!$C$3:$G$17,5,FALSE)/100))*AJ13)</f>
        <v>76.249577706217622</v>
      </c>
      <c r="AM13" s="706">
        <f>IF($C13="other",$C7*AJ13,(VLOOKUP($C13,'S3 - Screening Tool Metrics'!$C$3:$G$17,5,FALSE)/100)*AJ13)</f>
        <v>304.9983108248706</v>
      </c>
      <c r="AN13" s="709">
        <f t="shared" si="7"/>
        <v>4.0977873280245953</v>
      </c>
    </row>
    <row r="14" spans="2:40" x14ac:dyDescent="0.15">
      <c r="B14" s="700" t="s">
        <v>8</v>
      </c>
      <c r="C14" s="721" t="str">
        <f>$C8</f>
        <v>Other</v>
      </c>
      <c r="D14" s="552" t="s">
        <v>198</v>
      </c>
      <c r="E14" s="710">
        <f>VLOOKUP($B14&amp;"_"&amp;$D14,'App5 - CRUK Inci Rates'!C:H,6,FALSE)</f>
        <v>0</v>
      </c>
      <c r="F14" s="711">
        <f>VLOOKUP($B14&amp;"_"&amp;$D14,'App5 - CRUK Inci Rates'!C:H,3,FALSE)</f>
        <v>372.7</v>
      </c>
      <c r="G14" s="712">
        <f>VLOOKUP($B14&amp;"_"&amp;$D14,'App5 - CRUK Inci Rates'!C:J,8,FALSE)</f>
        <v>1603609.6666666667</v>
      </c>
      <c r="H14" s="713">
        <f>VLOOKUP($B14&amp;"_"&amp;$D14,'App5 - CRUK Inci Rates'!C:J,7,FALSE)</f>
        <v>0</v>
      </c>
      <c r="I14" s="713">
        <f>VLOOKUP($B14&amp;"_"&amp;$D14,'App5 - CRUK Inci Rates'!C:J,4,FALSE)</f>
        <v>1603609.6666666667</v>
      </c>
      <c r="J14" s="709">
        <f>VLOOKUP($B14&amp;"_"&amp;$D14,'App5 - CRUK Inci Rates'!C:K,9,FALSE)</f>
        <v>5977</v>
      </c>
      <c r="K14" s="706">
        <f t="shared" si="8"/>
        <v>801804.83333333337</v>
      </c>
      <c r="L14" s="706">
        <f>VLOOKUP("*"&amp;$B14&amp;"*",'S4 - Summ PRS Characteristics'!$C$13:$Q$20,11,FALSE)*$J14</f>
        <v>4518.1224646681021</v>
      </c>
      <c r="M14" s="706">
        <f t="shared" si="9"/>
        <v>1458.8775353318979</v>
      </c>
      <c r="N14" s="706">
        <f>IF($C14="other",(1-$C$7)*L14,(1-(VLOOKUP($C14,'S3 - Screening Tool Metrics'!$C$3:$G$17,5,FALSE)/100))*L14)</f>
        <v>903.62449293362022</v>
      </c>
      <c r="O14" s="706">
        <f>IF($C14="other",$C$7*L14,(VLOOKUP($C14,'S3 - Screening Tool Metrics'!$C$3:$G$17,5,FALSE)/100)*L14)</f>
        <v>3614.4979717344818</v>
      </c>
      <c r="P14" s="706">
        <f t="shared" si="10"/>
        <v>60.473447745264878</v>
      </c>
      <c r="Q14" s="707">
        <f t="shared" si="0"/>
        <v>320721.93333333335</v>
      </c>
      <c r="R14" s="706">
        <f>VLOOKUP("*"&amp;$B14&amp;"*",'S4 - Summ PRS Characteristics'!$C$13:$Q$20,12,FALSE)*$J14</f>
        <v>2635.9639920415593</v>
      </c>
      <c r="S14" s="706">
        <f t="shared" si="11"/>
        <v>3341.0360079584407</v>
      </c>
      <c r="T14" s="706">
        <f>IF($C14="other",(1-$C7)*R14,(1-(VLOOKUP($C14,'S3 - Screening Tool Metrics'!$C$3:$G$17,5,FALSE)/100))*R14)</f>
        <v>527.19279840831177</v>
      </c>
      <c r="U14" s="706">
        <f>IF($C14="other",$C7*R14,(VLOOKUP($C14,'S3 - Screening Tool Metrics'!$C$3:$G$17,5,FALSE)/100)*R14)</f>
        <v>2108.7711936332475</v>
      </c>
      <c r="V14" s="706">
        <f t="shared" si="1"/>
        <v>35.281432050079431</v>
      </c>
      <c r="W14" s="707">
        <f t="shared" si="2"/>
        <v>160360.96666666667</v>
      </c>
      <c r="X14" s="706">
        <f>VLOOKUP("*"&amp;$B14&amp;"*",'S4 - Summ PRS Characteristics'!$C$13:$Q$20,13,FALSE)*$J14</f>
        <v>1662.5563116261976</v>
      </c>
      <c r="Y14" s="706">
        <f t="shared" si="12"/>
        <v>4314.4436883738026</v>
      </c>
      <c r="Z14" s="706">
        <f>IF($C14="other",(1-$C7)*X14,(1-(VLOOKUP($C14,'S3 - Screening Tool Metrics'!$C$3:$G$17,5,FALSE)/100))*X14)</f>
        <v>332.51126232523944</v>
      </c>
      <c r="AA14" s="706">
        <f>IF($C14="other",$C7*X14,(VLOOKUP($C14,'S3 - Screening Tool Metrics'!$C$3:$G$17,5,FALSE)/100)*X14)</f>
        <v>1330.0450493009582</v>
      </c>
      <c r="AB14" s="709">
        <f t="shared" si="3"/>
        <v>22.252719580072917</v>
      </c>
      <c r="AC14" s="706">
        <f t="shared" si="4"/>
        <v>80180.483333333337</v>
      </c>
      <c r="AD14" s="706">
        <f>VLOOKUP("*"&amp;$B14&amp;"*",'S4 - Summ PRS Characteristics'!$C$13:$Q$20,14,FALSE)*$J14</f>
        <v>1019.942299112558</v>
      </c>
      <c r="AE14" s="706">
        <f t="shared" si="14"/>
        <v>4957.0577008874425</v>
      </c>
      <c r="AF14" s="706">
        <f>IF($C14="other",(1-$C7)*AD14,(1-(VLOOKUP($C14,'S3 - Screening Tool Metrics'!$C$3:$G$17,5,FALSE)/100))*AD14)</f>
        <v>203.98845982251154</v>
      </c>
      <c r="AG14" s="706">
        <f>IF($C14="other",$C7*AD14,(VLOOKUP($C14,'S3 - Screening Tool Metrics'!$C$3:$G$17,5,FALSE)/100)*AD14)</f>
        <v>815.9538392900464</v>
      </c>
      <c r="AH14" s="708">
        <f t="shared" si="5"/>
        <v>13.651561641125088</v>
      </c>
      <c r="AI14" s="707">
        <f t="shared" si="6"/>
        <v>16036.096666666668</v>
      </c>
      <c r="AJ14" s="706">
        <f>VLOOKUP("*"&amp;$B14&amp;"*",'S4 - Summ PRS Characteristics'!$C$13:$Q$20,15,FALSE)*$J14</f>
        <v>306.15593574503754</v>
      </c>
      <c r="AK14" s="706">
        <f t="shared" si="13"/>
        <v>5670.8440642549622</v>
      </c>
      <c r="AL14" s="706">
        <f>IF($C14="other",(1-$C7)*AJ14,(1-(VLOOKUP($C14,'S3 - Screening Tool Metrics'!$C$3:$G$17,5,FALSE)/100))*AJ14)</f>
        <v>61.231187149007496</v>
      </c>
      <c r="AM14" s="706">
        <f>IF($C14="other",$C7*AJ14,(VLOOKUP($C14,'S3 - Screening Tool Metrics'!$C$3:$G$17,5,FALSE)/100)*AJ14)</f>
        <v>244.92474859603004</v>
      </c>
      <c r="AN14" s="709">
        <f t="shared" si="7"/>
        <v>4.0977873280245953</v>
      </c>
    </row>
    <row r="15" spans="2:40" x14ac:dyDescent="0.15">
      <c r="B15" s="700" t="s">
        <v>8</v>
      </c>
      <c r="C15" s="721" t="str">
        <f>$C8</f>
        <v>Other</v>
      </c>
      <c r="D15" s="552" t="s">
        <v>199</v>
      </c>
      <c r="E15" s="710">
        <f>VLOOKUP($B15&amp;"_"&amp;$D15,'App5 - CRUK Inci Rates'!C:H,6,FALSE)</f>
        <v>0</v>
      </c>
      <c r="F15" s="711">
        <f>VLOOKUP($B15&amp;"_"&amp;$D15,'App5 - CRUK Inci Rates'!C:H,3,FALSE)</f>
        <v>403</v>
      </c>
      <c r="G15" s="712">
        <f>VLOOKUP($B15&amp;"_"&amp;$D15,'App5 - CRUK Inci Rates'!C:J,8,FALSE)</f>
        <v>1181645.3333333333</v>
      </c>
      <c r="H15" s="713">
        <f>VLOOKUP($B15&amp;"_"&amp;$D15,'App5 - CRUK Inci Rates'!C:J,7,FALSE)</f>
        <v>0</v>
      </c>
      <c r="I15" s="713">
        <f>VLOOKUP($B15&amp;"_"&amp;$D15,'App5 - CRUK Inci Rates'!C:J,4,FALSE)</f>
        <v>1181645.3333333333</v>
      </c>
      <c r="J15" s="709">
        <f>VLOOKUP($B15&amp;"_"&amp;$D15,'App5 - CRUK Inci Rates'!C:K,9,FALSE)</f>
        <v>4762</v>
      </c>
      <c r="K15" s="706">
        <f t="shared" si="8"/>
        <v>590822.66666666663</v>
      </c>
      <c r="L15" s="706">
        <f>VLOOKUP("*"&amp;$B15&amp;"*",'S4 - Summ PRS Characteristics'!$C$13:$Q$20,11,FALSE)*$J15</f>
        <v>3599.681977036892</v>
      </c>
      <c r="M15" s="706">
        <f t="shared" si="9"/>
        <v>1162.318022963108</v>
      </c>
      <c r="N15" s="706">
        <f>IF($C15="other",(1-$C$7)*L15,(1-(VLOOKUP($C15,'S3 - Screening Tool Metrics'!$C$3:$G$17,5,FALSE)/100))*L15)</f>
        <v>719.9363954073782</v>
      </c>
      <c r="O15" s="706">
        <f>IF($C15="other",$C$7*L15,(VLOOKUP($C15,'S3 - Screening Tool Metrics'!$C$3:$G$17,5,FALSE)/100)*L15)</f>
        <v>2879.7455816295137</v>
      </c>
      <c r="P15" s="706">
        <f t="shared" si="10"/>
        <v>60.473447745264885</v>
      </c>
      <c r="Q15" s="707">
        <f t="shared" si="0"/>
        <v>236329.06666666665</v>
      </c>
      <c r="R15" s="706">
        <f>VLOOKUP("*"&amp;$B15&amp;"*",'S4 - Summ PRS Characteristics'!$C$13:$Q$20,12,FALSE)*$J15</f>
        <v>2100.1272427809777</v>
      </c>
      <c r="S15" s="706">
        <f t="shared" si="11"/>
        <v>2661.8727572190223</v>
      </c>
      <c r="T15" s="706">
        <f>IF($C15="other",(1-$C7)*R15,(1-(VLOOKUP($C15,'S3 - Screening Tool Metrics'!$C$3:$G$17,5,FALSE)/100))*R15)</f>
        <v>420.02544855619544</v>
      </c>
      <c r="U15" s="706">
        <f>IF($C15="other",$C7*R15,(VLOOKUP($C15,'S3 - Screening Tool Metrics'!$C$3:$G$17,5,FALSE)/100)*R15)</f>
        <v>1680.1017942247822</v>
      </c>
      <c r="V15" s="706">
        <f t="shared" si="1"/>
        <v>35.281432050079424</v>
      </c>
      <c r="W15" s="707">
        <f t="shared" si="2"/>
        <v>118164.53333333333</v>
      </c>
      <c r="X15" s="706">
        <f>VLOOKUP("*"&amp;$B15&amp;"*",'S4 - Summ PRS Characteristics'!$C$13:$Q$20,13,FALSE)*$J15</f>
        <v>1324.5931330038402</v>
      </c>
      <c r="Y15" s="706">
        <f t="shared" si="12"/>
        <v>3437.4068669961598</v>
      </c>
      <c r="Z15" s="706">
        <f>IF($C15="other",(1-$C7)*X15,(1-(VLOOKUP($C15,'S3 - Screening Tool Metrics'!$C$3:$G$17,5,FALSE)/100))*X15)</f>
        <v>264.91862660076799</v>
      </c>
      <c r="AA15" s="706">
        <f>IF($C15="other",$C7*X15,(VLOOKUP($C15,'S3 - Screening Tool Metrics'!$C$3:$G$17,5,FALSE)/100)*X15)</f>
        <v>1059.6745064030722</v>
      </c>
      <c r="AB15" s="709">
        <f t="shared" si="3"/>
        <v>22.252719580072917</v>
      </c>
      <c r="AC15" s="706">
        <f t="shared" si="4"/>
        <v>59082.266666666663</v>
      </c>
      <c r="AD15" s="706">
        <f>VLOOKUP("*"&amp;$B15&amp;"*",'S4 - Summ PRS Characteristics'!$C$13:$Q$20,14,FALSE)*$J15</f>
        <v>812.60920668797064</v>
      </c>
      <c r="AE15" s="706">
        <f t="shared" si="14"/>
        <v>3949.3907933120295</v>
      </c>
      <c r="AF15" s="706">
        <f>IF($C15="other",(1-$C7)*AD15,(1-(VLOOKUP($C15,'S3 - Screening Tool Metrics'!$C$3:$G$17,5,FALSE)/100))*AD15)</f>
        <v>162.52184133759408</v>
      </c>
      <c r="AG15" s="706">
        <f>IF($C15="other",$C7*AD15,(VLOOKUP($C15,'S3 - Screening Tool Metrics'!$C$3:$G$17,5,FALSE)/100)*AD15)</f>
        <v>650.08736535037656</v>
      </c>
      <c r="AH15" s="708">
        <f t="shared" si="5"/>
        <v>13.651561641125085</v>
      </c>
      <c r="AI15" s="707">
        <f t="shared" si="6"/>
        <v>11816.453333333333</v>
      </c>
      <c r="AJ15" s="706">
        <f>VLOOKUP("*"&amp;$B15&amp;"*",'S4 - Summ PRS Characteristics'!$C$13:$Q$20,15,FALSE)*$J15</f>
        <v>243.92079070066399</v>
      </c>
      <c r="AK15" s="706">
        <f t="shared" si="13"/>
        <v>4518.0792092993361</v>
      </c>
      <c r="AL15" s="706">
        <f>IF($C15="other",(1-$C7)*AJ15,(1-(VLOOKUP($C15,'S3 - Screening Tool Metrics'!$C$3:$G$17,5,FALSE)/100))*AJ15)</f>
        <v>48.784158140132789</v>
      </c>
      <c r="AM15" s="706">
        <f>IF($C15="other",$C7*AJ15,(VLOOKUP($C15,'S3 - Screening Tool Metrics'!$C$3:$G$17,5,FALSE)/100)*AJ15)</f>
        <v>195.13663256053121</v>
      </c>
      <c r="AN15" s="709">
        <f t="shared" si="7"/>
        <v>4.0977873280245953</v>
      </c>
    </row>
    <row r="16" spans="2:40" x14ac:dyDescent="0.15">
      <c r="B16" s="700" t="s">
        <v>8</v>
      </c>
      <c r="C16" s="721" t="str">
        <f>$C8</f>
        <v>Other</v>
      </c>
      <c r="D16" s="552" t="s">
        <v>200</v>
      </c>
      <c r="E16" s="710">
        <f>VLOOKUP($B16&amp;"_"&amp;$D16,'App5 - CRUK Inci Rates'!C:H,6,FALSE)</f>
        <v>0</v>
      </c>
      <c r="F16" s="711">
        <f>VLOOKUP($B16&amp;"_"&amp;$D16,'App5 - CRUK Inci Rates'!C:H,3,FALSE)</f>
        <v>270.90219320904782</v>
      </c>
      <c r="G16" s="712">
        <f>VLOOKUP($B16&amp;"_"&amp;$D16,'App5 - CRUK Inci Rates'!C:J,8,FALSE)</f>
        <v>12496392</v>
      </c>
      <c r="H16" s="713">
        <f>VLOOKUP($B16&amp;"_"&amp;$D16,'App5 - CRUK Inci Rates'!C:J,7,FALSE)</f>
        <v>0</v>
      </c>
      <c r="I16" s="713">
        <f>VLOOKUP($B16&amp;"_"&amp;$D16,'App5 - CRUK Inci Rates'!C:J,4,FALSE)</f>
        <v>12496392</v>
      </c>
      <c r="J16" s="709">
        <f>VLOOKUP($B16&amp;"_"&amp;$D16,'App5 - CRUK Inci Rates'!C:K,9,FALSE)</f>
        <v>33853</v>
      </c>
      <c r="K16" s="706">
        <f t="shared" si="8"/>
        <v>6248196</v>
      </c>
      <c r="L16" s="706">
        <f>VLOOKUP("*"&amp;$B16&amp;"*",'S4 - Summ PRS Characteristics'!$C$13:$Q$20,11,FALSE)*$J16</f>
        <v>25590.09533150565</v>
      </c>
      <c r="M16" s="706">
        <f t="shared" si="9"/>
        <v>8262.9046684943496</v>
      </c>
      <c r="N16" s="706">
        <f>IF($C16="other",(1-$C$7)*L16,(1-(VLOOKUP($C16,'S3 - Screening Tool Metrics'!$C$3:$G$17,5,FALSE)/100))*L16)</f>
        <v>5118.019066301129</v>
      </c>
      <c r="O16" s="706">
        <f>IF($C16="other",$C$7*L16,(VLOOKUP($C16,'S3 - Screening Tool Metrics'!$C$3:$G$17,5,FALSE)/100)*L16)</f>
        <v>20472.076265204523</v>
      </c>
      <c r="P16" s="706">
        <f t="shared" si="10"/>
        <v>60.473447745264885</v>
      </c>
      <c r="Q16" s="707">
        <f t="shared" si="0"/>
        <v>2499278.4</v>
      </c>
      <c r="R16" s="706">
        <f>VLOOKUP("*"&amp;$B16&amp;"*",'S4 - Summ PRS Characteristics'!$C$13:$Q$20,12,FALSE)*$J16</f>
        <v>14929.778989891734</v>
      </c>
      <c r="S16" s="706">
        <f t="shared" si="11"/>
        <v>18923.221010108267</v>
      </c>
      <c r="T16" s="706">
        <f>IF($C16="other",(1-$C7)*R16,(1-(VLOOKUP($C16,'S3 - Screening Tool Metrics'!$C$3:$G$17,5,FALSE)/100))*R16)</f>
        <v>2985.9557979783463</v>
      </c>
      <c r="U16" s="706">
        <f>IF($C16="other",$C7*R16,(VLOOKUP($C16,'S3 - Screening Tool Metrics'!$C$3:$G$17,5,FALSE)/100)*R16)</f>
        <v>11943.823191913389</v>
      </c>
      <c r="V16" s="706">
        <f t="shared" si="1"/>
        <v>35.281432050079424</v>
      </c>
      <c r="W16" s="707">
        <f t="shared" si="2"/>
        <v>1249639.2</v>
      </c>
      <c r="X16" s="706">
        <f>VLOOKUP("*"&amp;$B16&amp;"*",'S4 - Summ PRS Characteristics'!$C$13:$Q$20,13,FALSE)*$J16</f>
        <v>9416.5164493026041</v>
      </c>
      <c r="Y16" s="706">
        <f t="shared" si="12"/>
        <v>24436.483550697398</v>
      </c>
      <c r="Z16" s="706">
        <f>IF($C16="other",(1-$C7)*X16,(1-(VLOOKUP($C16,'S3 - Screening Tool Metrics'!$C$3:$G$17,5,FALSE)/100))*X16)</f>
        <v>1883.3032898605204</v>
      </c>
      <c r="AA16" s="706">
        <f>IF($C16="other",$C7*X16,(VLOOKUP($C16,'S3 - Screening Tool Metrics'!$C$3:$G$17,5,FALSE)/100)*X16)</f>
        <v>7533.2131594420835</v>
      </c>
      <c r="AB16" s="709">
        <f t="shared" si="3"/>
        <v>22.252719580072913</v>
      </c>
      <c r="AC16" s="706">
        <f t="shared" si="4"/>
        <v>624819.6</v>
      </c>
      <c r="AD16" s="706">
        <f>VLOOKUP("*"&amp;$B16&amp;"*",'S4 - Summ PRS Characteristics'!$C$13:$Q$20,14,FALSE)*$J16</f>
        <v>5776.8289529625936</v>
      </c>
      <c r="AE16" s="706">
        <f t="shared" si="14"/>
        <v>28076.171047037406</v>
      </c>
      <c r="AF16" s="706">
        <f>IF($C16="other",(1-$C7)*AD16,(1-(VLOOKUP($C16,'S3 - Screening Tool Metrics'!$C$3:$G$17,5,FALSE)/100))*AD16)</f>
        <v>1155.3657905925184</v>
      </c>
      <c r="AG16" s="706">
        <f>IF($C16="other",$C7*AD16,(VLOOKUP($C16,'S3 - Screening Tool Metrics'!$C$3:$G$17,5,FALSE)/100)*AD16)</f>
        <v>4621.4631623700752</v>
      </c>
      <c r="AH16" s="708">
        <f t="shared" si="5"/>
        <v>13.651561641125085</v>
      </c>
      <c r="AI16" s="707">
        <f t="shared" si="6"/>
        <v>124963.92</v>
      </c>
      <c r="AJ16" s="706">
        <f>VLOOKUP("*"&amp;$B16&amp;"*",'S4 - Summ PRS Characteristics'!$C$13:$Q$20,15,FALSE)*$J16</f>
        <v>1734.0299301952075</v>
      </c>
      <c r="AK16" s="706">
        <f t="shared" si="13"/>
        <v>32118.970069804793</v>
      </c>
      <c r="AL16" s="706">
        <f>IF($C16="other",(1-$C7)*AJ16,(1-(VLOOKUP($C16,'S3 - Screening Tool Metrics'!$C$3:$G$17,5,FALSE)/100))*AJ16)</f>
        <v>346.80598603904144</v>
      </c>
      <c r="AM16" s="706">
        <f>IF($C16="other",$C7*AJ16,(VLOOKUP($C16,'S3 - Screening Tool Metrics'!$C$3:$G$17,5,FALSE)/100)*AJ16)</f>
        <v>1387.223944156166</v>
      </c>
      <c r="AN16" s="709">
        <f t="shared" si="7"/>
        <v>4.0977873280245944</v>
      </c>
    </row>
    <row r="17" spans="2:40" x14ac:dyDescent="0.15">
      <c r="B17" s="700" t="s">
        <v>8</v>
      </c>
      <c r="C17" s="721" t="str">
        <f>$C8</f>
        <v>Other</v>
      </c>
      <c r="D17" s="552" t="s">
        <v>201</v>
      </c>
      <c r="E17" s="710">
        <f>VLOOKUP($B17&amp;"_"&amp;$D17,'App5 - CRUK Inci Rates'!C:H,6,FALSE)</f>
        <v>0</v>
      </c>
      <c r="F17" s="711">
        <f>VLOOKUP($B17&amp;"_"&amp;$D17,'App5 - CRUK Inci Rates'!C:H,3,FALSE)</f>
        <v>172.39159216630148</v>
      </c>
      <c r="G17" s="712">
        <f>VLOOKUP($B17&amp;"_"&amp;$D17,'App5 - CRUK Inci Rates'!C:J,8,FALSE)</f>
        <v>4369702.666666667</v>
      </c>
      <c r="H17" s="713">
        <f>VLOOKUP($B17&amp;"_"&amp;$D17,'App5 - CRUK Inci Rates'!C:J,7,FALSE)</f>
        <v>0</v>
      </c>
      <c r="I17" s="713">
        <f>VLOOKUP($B17&amp;"_"&amp;$D17,'App5 - CRUK Inci Rates'!C:J,4,FALSE)</f>
        <v>4369702.666666667</v>
      </c>
      <c r="J17" s="709">
        <f>VLOOKUP($B17&amp;"_"&amp;$D17,'App5 - CRUK Inci Rates'!C:K,9,FALSE)</f>
        <v>7533</v>
      </c>
      <c r="K17" s="706">
        <f t="shared" si="8"/>
        <v>2184851.3333333335</v>
      </c>
      <c r="L17" s="706">
        <f>VLOOKUP("*"&amp;$B17&amp;"*",'S4 - Summ PRS Characteristics'!$C$13:$Q$20,11,FALSE)*$J17</f>
        <v>5694.3310233135044</v>
      </c>
      <c r="M17" s="706">
        <f t="shared" si="9"/>
        <v>1838.6689766864956</v>
      </c>
      <c r="N17" s="706">
        <f>IF($C17="other",(1-$C$7)*L17,(1-(VLOOKUP($C17,'S3 - Screening Tool Metrics'!$C$3:$G$17,5,FALSE)/100))*L17)</f>
        <v>1138.8662046627005</v>
      </c>
      <c r="O17" s="706">
        <f>IF($C17="other",$C$7*L17,(VLOOKUP($C17,'S3 - Screening Tool Metrics'!$C$3:$G$17,5,FALSE)/100)*L17)</f>
        <v>4555.4648186508039</v>
      </c>
      <c r="P17" s="706">
        <f t="shared" si="10"/>
        <v>60.473447745264885</v>
      </c>
      <c r="Q17" s="707">
        <f t="shared" si="0"/>
        <v>873940.53333333344</v>
      </c>
      <c r="R17" s="706">
        <f>VLOOKUP("*"&amp;$B17&amp;"*",'S4 - Summ PRS Characteristics'!$C$13:$Q$20,12,FALSE)*$J17</f>
        <v>3322.187845415604</v>
      </c>
      <c r="S17" s="706">
        <f t="shared" si="11"/>
        <v>4210.812154584396</v>
      </c>
      <c r="T17" s="706">
        <f>IF($C17="other",(1-$C7)*R17,(1-(VLOOKUP($C17,'S3 - Screening Tool Metrics'!$C$3:$G$17,5,FALSE)/100))*R17)</f>
        <v>664.43756908312071</v>
      </c>
      <c r="U17" s="706">
        <f>IF($C17="other",$C7*R17,(VLOOKUP($C17,'S3 - Screening Tool Metrics'!$C$3:$G$17,5,FALSE)/100)*R17)</f>
        <v>2657.7502763324833</v>
      </c>
      <c r="V17" s="706">
        <f t="shared" si="1"/>
        <v>35.281432050079424</v>
      </c>
      <c r="W17" s="707">
        <f t="shared" si="2"/>
        <v>436970.26666666672</v>
      </c>
      <c r="X17" s="706">
        <f>VLOOKUP("*"&amp;$B17&amp;"*",'S4 - Summ PRS Characteristics'!$C$13:$Q$20,13,FALSE)*$J17</f>
        <v>2095.3717074586157</v>
      </c>
      <c r="Y17" s="706">
        <f t="shared" si="12"/>
        <v>5437.6282925413843</v>
      </c>
      <c r="Z17" s="706">
        <f>IF($C17="other",(1-$C7)*X17,(1-(VLOOKUP($C17,'S3 - Screening Tool Metrics'!$C$3:$G$17,5,FALSE)/100))*X17)</f>
        <v>419.07434149172303</v>
      </c>
      <c r="AA17" s="706">
        <f>IF($C17="other",$C7*X17,(VLOOKUP($C17,'S3 - Screening Tool Metrics'!$C$3:$G$17,5,FALSE)/100)*X17)</f>
        <v>1676.2973659668926</v>
      </c>
      <c r="AB17" s="709">
        <f t="shared" si="3"/>
        <v>22.252719580072913</v>
      </c>
      <c r="AC17" s="706">
        <f t="shared" si="4"/>
        <v>218485.13333333336</v>
      </c>
      <c r="AD17" s="706">
        <f>VLOOKUP("*"&amp;$B17&amp;"*",'S4 - Summ PRS Characteristics'!$C$13:$Q$20,14,FALSE)*$J17</f>
        <v>1285.4651730324408</v>
      </c>
      <c r="AE17" s="706">
        <f t="shared" si="14"/>
        <v>6247.5348269675596</v>
      </c>
      <c r="AF17" s="706">
        <f>IF($C17="other",(1-$C7)*AD17,(1-(VLOOKUP($C17,'S3 - Screening Tool Metrics'!$C$3:$G$17,5,FALSE)/100))*AD17)</f>
        <v>257.09303460648812</v>
      </c>
      <c r="AG17" s="706">
        <f>IF($C17="other",$C7*AD17,(VLOOKUP($C17,'S3 - Screening Tool Metrics'!$C$3:$G$17,5,FALSE)/100)*AD17)</f>
        <v>1028.3721384259527</v>
      </c>
      <c r="AH17" s="708">
        <f t="shared" si="5"/>
        <v>13.651561641125085</v>
      </c>
      <c r="AI17" s="707">
        <f t="shared" si="6"/>
        <v>43697.026666666672</v>
      </c>
      <c r="AJ17" s="706">
        <f>VLOOKUP("*"&amp;$B17&amp;"*",'S4 - Summ PRS Characteristics'!$C$13:$Q$20,15,FALSE)*$J17</f>
        <v>385.85789927511587</v>
      </c>
      <c r="AK17" s="706">
        <f t="shared" si="13"/>
        <v>7147.1421007248846</v>
      </c>
      <c r="AL17" s="706">
        <f>IF($C17="other",(1-$C7)*AJ17,(1-(VLOOKUP($C17,'S3 - Screening Tool Metrics'!$C$3:$G$17,5,FALSE)/100))*AJ17)</f>
        <v>77.171579855023154</v>
      </c>
      <c r="AM17" s="706">
        <f>IF($C17="other",$C7*AJ17,(VLOOKUP($C17,'S3 - Screening Tool Metrics'!$C$3:$G$17,5,FALSE)/100)*AJ17)</f>
        <v>308.68631942009273</v>
      </c>
      <c r="AN17" s="709">
        <f t="shared" si="7"/>
        <v>4.0977873280245953</v>
      </c>
    </row>
    <row r="18" spans="2:40" x14ac:dyDescent="0.15">
      <c r="B18" s="700" t="s">
        <v>8</v>
      </c>
      <c r="C18" s="721" t="str">
        <f>$C8</f>
        <v>Other</v>
      </c>
      <c r="D18" s="552" t="s">
        <v>202</v>
      </c>
      <c r="E18" s="710">
        <f>VLOOKUP($B18&amp;"_"&amp;$D18,'App5 - CRUK Inci Rates'!C:H,6,FALSE)</f>
        <v>0</v>
      </c>
      <c r="F18" s="711">
        <f>VLOOKUP($B18&amp;"_"&amp;$D18,'App5 - CRUK Inci Rates'!C:H,3,FALSE)</f>
        <v>282.4951148355575</v>
      </c>
      <c r="G18" s="712">
        <f>VLOOKUP($B18&amp;"_"&amp;$D18,'App5 - CRUK Inci Rates'!C:J,8,FALSE)</f>
        <v>4484325.333333334</v>
      </c>
      <c r="H18" s="713">
        <f>VLOOKUP($B18&amp;"_"&amp;$D18,'App5 - CRUK Inci Rates'!C:J,7,FALSE)</f>
        <v>0</v>
      </c>
      <c r="I18" s="713">
        <f>VLOOKUP($B18&amp;"_"&amp;$D18,'App5 - CRUK Inci Rates'!C:J,4,FALSE)</f>
        <v>4484325.333333334</v>
      </c>
      <c r="J18" s="709">
        <f>VLOOKUP($B18&amp;"_"&amp;$D18,'App5 - CRUK Inci Rates'!C:K,9,FALSE)</f>
        <v>12668</v>
      </c>
      <c r="K18" s="706">
        <f t="shared" si="8"/>
        <v>2242162.666666667</v>
      </c>
      <c r="L18" s="706">
        <f>VLOOKUP("*"&amp;$B18&amp;"*",'S4 - Summ PRS Characteristics'!$C$13:$Q$20,11,FALSE)*$J18</f>
        <v>9575.9704504626934</v>
      </c>
      <c r="M18" s="706">
        <f t="shared" si="9"/>
        <v>3092.0295495373066</v>
      </c>
      <c r="N18" s="706">
        <f>IF($C18="other",(1-$C$7)*L18,(1-(VLOOKUP($C18,'S3 - Screening Tool Metrics'!$C$3:$G$17,5,FALSE)/100))*L18)</f>
        <v>1915.1940900925383</v>
      </c>
      <c r="O18" s="706">
        <f>IF($C18="other",$C$7*L18,(VLOOKUP($C18,'S3 - Screening Tool Metrics'!$C$3:$G$17,5,FALSE)/100)*L18)</f>
        <v>7660.7763603701551</v>
      </c>
      <c r="P18" s="706">
        <f t="shared" si="10"/>
        <v>60.473447745264885</v>
      </c>
      <c r="Q18" s="707">
        <f t="shared" si="0"/>
        <v>896865.06666666688</v>
      </c>
      <c r="R18" s="706">
        <f>VLOOKUP("*"&amp;$B18&amp;"*",'S4 - Summ PRS Characteristics'!$C$13:$Q$20,12,FALSE)*$J18</f>
        <v>5586.8147651300769</v>
      </c>
      <c r="S18" s="706">
        <f t="shared" si="11"/>
        <v>7081.1852348699231</v>
      </c>
      <c r="T18" s="706">
        <f>IF($C18="other",(1-$C7)*R18,(1-(VLOOKUP($C18,'S3 - Screening Tool Metrics'!$C$3:$G$17,5,FALSE)/100))*R18)</f>
        <v>1117.3629530260152</v>
      </c>
      <c r="U18" s="706">
        <f>IF($C18="other",$C7*R18,(VLOOKUP($C18,'S3 - Screening Tool Metrics'!$C$3:$G$17,5,FALSE)/100)*R18)</f>
        <v>4469.4518121040619</v>
      </c>
      <c r="V18" s="706">
        <f t="shared" si="1"/>
        <v>35.281432050079424</v>
      </c>
      <c r="W18" s="707">
        <f t="shared" si="2"/>
        <v>448432.53333333344</v>
      </c>
      <c r="X18" s="706">
        <f>VLOOKUP("*"&amp;$B18&amp;"*",'S4 - Summ PRS Characteristics'!$C$13:$Q$20,13,FALSE)*$J18</f>
        <v>3523.7181455045461</v>
      </c>
      <c r="Y18" s="706">
        <f t="shared" si="12"/>
        <v>9144.2818544954534</v>
      </c>
      <c r="Z18" s="706">
        <f>IF($C18="other",(1-$C7)*X18,(1-(VLOOKUP($C18,'S3 - Screening Tool Metrics'!$C$3:$G$17,5,FALSE)/100))*X18)</f>
        <v>704.74362910090906</v>
      </c>
      <c r="AA18" s="706">
        <f>IF($C18="other",$C7*X18,(VLOOKUP($C18,'S3 - Screening Tool Metrics'!$C$3:$G$17,5,FALSE)/100)*X18)</f>
        <v>2818.9745164036372</v>
      </c>
      <c r="AB18" s="709">
        <f t="shared" si="3"/>
        <v>22.252719580072917</v>
      </c>
      <c r="AC18" s="706">
        <f t="shared" si="4"/>
        <v>224216.26666666672</v>
      </c>
      <c r="AD18" s="706">
        <f>VLOOKUP("*"&amp;$B18&amp;"*",'S4 - Summ PRS Characteristics'!$C$13:$Q$20,14,FALSE)*$J18</f>
        <v>2161.7247858721571</v>
      </c>
      <c r="AE18" s="706">
        <f t="shared" si="14"/>
        <v>10506.275214127843</v>
      </c>
      <c r="AF18" s="706">
        <f>IF($C18="other",(1-$C7)*AD18,(1-(VLOOKUP($C18,'S3 - Screening Tool Metrics'!$C$3:$G$17,5,FALSE)/100))*AD18)</f>
        <v>432.34495717443133</v>
      </c>
      <c r="AG18" s="706">
        <f>IF($C18="other",$C7*AD18,(VLOOKUP($C18,'S3 - Screening Tool Metrics'!$C$3:$G$17,5,FALSE)/100)*AD18)</f>
        <v>1729.3798286977258</v>
      </c>
      <c r="AH18" s="708">
        <f t="shared" si="5"/>
        <v>13.651561641125085</v>
      </c>
      <c r="AI18" s="707">
        <f t="shared" si="6"/>
        <v>44843.253333333341</v>
      </c>
      <c r="AJ18" s="706">
        <f>VLOOKUP("*"&amp;$B18&amp;"*",'S4 - Summ PRS Characteristics'!$C$13:$Q$20,15,FALSE)*$J18</f>
        <v>648.88462339269461</v>
      </c>
      <c r="AK18" s="706">
        <f t="shared" si="13"/>
        <v>12019.115376607306</v>
      </c>
      <c r="AL18" s="706">
        <f>IF($C18="other",(1-$C7)*AJ18,(1-(VLOOKUP($C18,'S3 - Screening Tool Metrics'!$C$3:$G$17,5,FALSE)/100))*AJ18)</f>
        <v>129.7769246785389</v>
      </c>
      <c r="AM18" s="706">
        <f>IF($C18="other",$C7*AJ18,(VLOOKUP($C18,'S3 - Screening Tool Metrics'!$C$3:$G$17,5,FALSE)/100)*AJ18)</f>
        <v>519.10769871415573</v>
      </c>
      <c r="AN18" s="709">
        <f t="shared" si="7"/>
        <v>4.0977873280245953</v>
      </c>
    </row>
    <row r="19" spans="2:40" x14ac:dyDescent="0.15">
      <c r="B19" s="700" t="s">
        <v>8</v>
      </c>
      <c r="C19" s="721" t="str">
        <f>$C8</f>
        <v>Other</v>
      </c>
      <c r="D19" s="552" t="s">
        <v>203</v>
      </c>
      <c r="E19" s="710">
        <f>VLOOKUP($B19&amp;"_"&amp;$D19,'App5 - CRUK Inci Rates'!C:H,6,FALSE)</f>
        <v>0</v>
      </c>
      <c r="F19" s="711">
        <f>VLOOKUP($B19&amp;"_"&amp;$D19,'App5 - CRUK Inci Rates'!C:H,3,FALSE)</f>
        <v>323.87112291893521</v>
      </c>
      <c r="G19" s="712">
        <f>VLOOKUP($B19&amp;"_"&amp;$D19,'App5 - CRUK Inci Rates'!C:J,8,FALSE)</f>
        <v>8126689.333333334</v>
      </c>
      <c r="H19" s="713">
        <f>VLOOKUP($B19&amp;"_"&amp;$D19,'App5 - CRUK Inci Rates'!C:J,7,FALSE)</f>
        <v>0</v>
      </c>
      <c r="I19" s="713">
        <f>VLOOKUP($B19&amp;"_"&amp;$D19,'App5 - CRUK Inci Rates'!C:J,4,FALSE)</f>
        <v>8126689.333333334</v>
      </c>
      <c r="J19" s="709">
        <f>VLOOKUP($B19&amp;"_"&amp;$D19,'App5 - CRUK Inci Rates'!C:K,9,FALSE)</f>
        <v>26320</v>
      </c>
      <c r="K19" s="706">
        <f t="shared" si="8"/>
        <v>4063344.666666667</v>
      </c>
      <c r="L19" s="706">
        <f>VLOOKUP("*"&amp;$B19&amp;"*",'S4 - Summ PRS Characteristics'!$C$13:$Q$20,11,FALSE)*$J19</f>
        <v>19895.764308192145</v>
      </c>
      <c r="M19" s="706">
        <f t="shared" si="9"/>
        <v>6424.2356918078549</v>
      </c>
      <c r="N19" s="706">
        <f>IF($C19="other",(1-$C$7)*L19,(1-(VLOOKUP($C19,'S3 - Screening Tool Metrics'!$C$3:$G$17,5,FALSE)/100))*L19)</f>
        <v>3979.152861638428</v>
      </c>
      <c r="O19" s="706">
        <f>IF($C19="other",$C$7*L19,(VLOOKUP($C19,'S3 - Screening Tool Metrics'!$C$3:$G$17,5,FALSE)/100)*L19)</f>
        <v>15916.611446553718</v>
      </c>
      <c r="P19" s="706">
        <f t="shared" si="10"/>
        <v>60.473447745264885</v>
      </c>
      <c r="Q19" s="707">
        <f t="shared" si="0"/>
        <v>1625337.8666666669</v>
      </c>
      <c r="R19" s="706">
        <f>VLOOKUP("*"&amp;$B19&amp;"*",'S4 - Summ PRS Characteristics'!$C$13:$Q$20,12,FALSE)*$J19</f>
        <v>11607.591144476131</v>
      </c>
      <c r="S19" s="706">
        <f t="shared" si="11"/>
        <v>14712.408855523869</v>
      </c>
      <c r="T19" s="706">
        <f>IF($C19="other",(1-$C7)*R19,(1-(VLOOKUP($C19,'S3 - Screening Tool Metrics'!$C$3:$G$17,5,FALSE)/100))*R19)</f>
        <v>2321.5182288952255</v>
      </c>
      <c r="U19" s="706">
        <f>IF($C19="other",$C7*R19,(VLOOKUP($C19,'S3 - Screening Tool Metrics'!$C$3:$G$17,5,FALSE)/100)*R19)</f>
        <v>9286.0729155809058</v>
      </c>
      <c r="V19" s="706">
        <f t="shared" si="1"/>
        <v>35.281432050079431</v>
      </c>
      <c r="W19" s="707">
        <f t="shared" si="2"/>
        <v>812668.93333333347</v>
      </c>
      <c r="X19" s="706">
        <f>VLOOKUP("*"&amp;$B19&amp;"*",'S4 - Summ PRS Characteristics'!$C$13:$Q$20,13,FALSE)*$J19</f>
        <v>7321.1447418439893</v>
      </c>
      <c r="Y19" s="706">
        <f t="shared" si="12"/>
        <v>18998.855258156011</v>
      </c>
      <c r="Z19" s="706">
        <f>IF($C19="other",(1-$C7)*X19,(1-(VLOOKUP($C19,'S3 - Screening Tool Metrics'!$C$3:$G$17,5,FALSE)/100))*X19)</f>
        <v>1464.2289483687975</v>
      </c>
      <c r="AA19" s="706">
        <f>IF($C19="other",$C7*X19,(VLOOKUP($C19,'S3 - Screening Tool Metrics'!$C$3:$G$17,5,FALSE)/100)*X19)</f>
        <v>5856.915793475192</v>
      </c>
      <c r="AB19" s="709">
        <f t="shared" si="3"/>
        <v>22.25271958007292</v>
      </c>
      <c r="AC19" s="706">
        <f t="shared" si="4"/>
        <v>406334.46666666673</v>
      </c>
      <c r="AD19" s="706">
        <f>VLOOKUP("*"&amp;$B19&amp;"*",'S4 - Summ PRS Characteristics'!$C$13:$Q$20,14,FALSE)*$J19</f>
        <v>4491.3637799301532</v>
      </c>
      <c r="AE19" s="706">
        <f t="shared" si="14"/>
        <v>21828.636220069846</v>
      </c>
      <c r="AF19" s="706">
        <f>IF($C19="other",(1-$C7)*AD19,(1-(VLOOKUP($C19,'S3 - Screening Tool Metrics'!$C$3:$G$17,5,FALSE)/100))*AD19)</f>
        <v>898.27275598603046</v>
      </c>
      <c r="AG19" s="706">
        <f>IF($C19="other",$C7*AD19,(VLOOKUP($C19,'S3 - Screening Tool Metrics'!$C$3:$G$17,5,FALSE)/100)*AD19)</f>
        <v>3593.0910239441228</v>
      </c>
      <c r="AH19" s="708">
        <f t="shared" si="5"/>
        <v>13.651561641125088</v>
      </c>
      <c r="AI19" s="707">
        <f t="shared" si="6"/>
        <v>81266.893333333341</v>
      </c>
      <c r="AJ19" s="706">
        <f>VLOOKUP("*"&amp;$B19&amp;"*",'S4 - Summ PRS Characteristics'!$C$13:$Q$20,15,FALSE)*$J19</f>
        <v>1348.1720309200916</v>
      </c>
      <c r="AK19" s="706">
        <f t="shared" si="13"/>
        <v>24971.82796907991</v>
      </c>
      <c r="AL19" s="706">
        <f>IF($C19="other",(1-$C7)*AJ19,(1-(VLOOKUP($C19,'S3 - Screening Tool Metrics'!$C$3:$G$17,5,FALSE)/100))*AJ19)</f>
        <v>269.63440618401825</v>
      </c>
      <c r="AM19" s="706">
        <f>IF($C19="other",$C7*AJ19,(VLOOKUP($C19,'S3 - Screening Tool Metrics'!$C$3:$G$17,5,FALSE)/100)*AJ19)</f>
        <v>1078.5376247360734</v>
      </c>
      <c r="AN19" s="709">
        <f t="shared" si="7"/>
        <v>4.0977873280245953</v>
      </c>
    </row>
    <row r="20" spans="2:40" x14ac:dyDescent="0.15">
      <c r="B20" s="700" t="s">
        <v>8</v>
      </c>
      <c r="C20" s="721" t="str">
        <f>$C9</f>
        <v>Other</v>
      </c>
      <c r="D20" s="552" t="s">
        <v>292</v>
      </c>
      <c r="E20" s="710">
        <f>VLOOKUP($B20&amp;"_"&amp;$D20,'App5 - CRUK Inci Rates'!C:H,6,FALSE)</f>
        <v>0</v>
      </c>
      <c r="F20" s="711">
        <f>VLOOKUP($B20&amp;"_"&amp;$D20,'App5 - CRUK Inci Rates'!C:H,3,FALSE)</f>
        <v>374.17267503121917</v>
      </c>
      <c r="G20" s="712">
        <f>VLOOKUP($B20&amp;"_"&amp;$D20,'App5 - CRUK Inci Rates'!C:J,8,FALSE)</f>
        <v>5245973.666666667</v>
      </c>
      <c r="H20" s="713">
        <f>VLOOKUP($B20&amp;"_"&amp;$D20,'App5 - CRUK Inci Rates'!C:J,7,FALSE)</f>
        <v>0</v>
      </c>
      <c r="I20" s="713">
        <f>VLOOKUP($B20&amp;"_"&amp;$D20,'App5 - CRUK Inci Rates'!C:J,4,FALSE)</f>
        <v>5245973.666666667</v>
      </c>
      <c r="J20" s="709">
        <f>VLOOKUP($B20&amp;"_"&amp;$D20,'App5 - CRUK Inci Rates'!C:K,9,FALSE)</f>
        <v>19629</v>
      </c>
      <c r="K20" s="706">
        <f t="shared" si="8"/>
        <v>2622986.8333333335</v>
      </c>
      <c r="L20" s="706">
        <f>VLOOKUP("*"&amp;$B20&amp;"*",'S4 - Summ PRS Characteristics'!$C$13:$Q$20,11,FALSE)*$J20</f>
        <v>14837.916322397554</v>
      </c>
      <c r="M20" s="706">
        <f t="shared" si="9"/>
        <v>4791.0836776024462</v>
      </c>
      <c r="N20" s="706">
        <f>IF($C20="other",(1-$C$7)*L20,(1-(VLOOKUP($C20,'S3 - Screening Tool Metrics'!$C$3:$G$17,5,FALSE)/100))*L20)</f>
        <v>2967.58326447951</v>
      </c>
      <c r="O20" s="706">
        <f>IF($C20="other",$C$7*L20,(VLOOKUP($C20,'S3 - Screening Tool Metrics'!$C$3:$G$17,5,FALSE)/100)*L20)</f>
        <v>11870.333057918044</v>
      </c>
      <c r="P20" s="706">
        <f t="shared" si="10"/>
        <v>60.473447745264885</v>
      </c>
      <c r="Q20" s="707">
        <f t="shared" si="0"/>
        <v>1049194.7333333334</v>
      </c>
      <c r="R20" s="706">
        <f>VLOOKUP("*"&amp;$B20&amp;"*",'S4 - Summ PRS Characteristics'!$C$13:$Q$20,12,FALSE)*$J20</f>
        <v>8656.7403713876138</v>
      </c>
      <c r="S20" s="706">
        <f t="shared" ref="S20" si="15">$J20-R20</f>
        <v>10972.259628612386</v>
      </c>
      <c r="T20" s="706">
        <f>IF($C20="other",(1-$C7)*R20,(1-(VLOOKUP($C20,'S3 - Screening Tool Metrics'!$C$3:$G$17,5,FALSE)/100))*R20)</f>
        <v>1731.3480742775223</v>
      </c>
      <c r="U20" s="706">
        <f>IF($C20="other",$C7*R20,(VLOOKUP($C20,'S3 - Screening Tool Metrics'!$C$3:$G$17,5,FALSE)/100)*R20)</f>
        <v>6925.392297110091</v>
      </c>
      <c r="V20" s="706">
        <f t="shared" si="1"/>
        <v>35.281432050079431</v>
      </c>
      <c r="W20" s="707">
        <f t="shared" si="2"/>
        <v>524597.3666666667</v>
      </c>
      <c r="X20" s="706">
        <f>VLOOKUP("*"&amp;$B20&amp;"*",'S4 - Summ PRS Characteristics'!$C$13:$Q$20,13,FALSE)*$J20</f>
        <v>5459.9829079656402</v>
      </c>
      <c r="Y20" s="706">
        <f t="shared" ref="Y20" si="16">$J20-X20</f>
        <v>14169.017092034359</v>
      </c>
      <c r="Z20" s="706">
        <f>IF($C20="other",(1-$C7)*X20,(1-(VLOOKUP($C20,'S3 - Screening Tool Metrics'!$C$3:$G$17,5,FALSE)/100))*X20)</f>
        <v>1091.9965815931278</v>
      </c>
      <c r="AA20" s="706">
        <f>IF($C20="other",$C7*X20,(VLOOKUP($C20,'S3 - Screening Tool Metrics'!$C$3:$G$17,5,FALSE)/100)*X20)</f>
        <v>4367.9863263725119</v>
      </c>
      <c r="AB20" s="709">
        <f t="shared" si="3"/>
        <v>22.252719580072913</v>
      </c>
      <c r="AC20" s="706">
        <f t="shared" si="4"/>
        <v>262298.68333333335</v>
      </c>
      <c r="AD20" s="706">
        <f>VLOOKUP("*"&amp;$B20&amp;"*",'S4 - Summ PRS Characteristics'!$C$13:$Q$20,14,FALSE)*$J20</f>
        <v>3349.5812931705536</v>
      </c>
      <c r="AE20" s="706">
        <f t="shared" ref="AE20" si="17">$J20-AD20</f>
        <v>16279.418706829447</v>
      </c>
      <c r="AF20" s="706">
        <f>IF($C20="other",(1-$C7)*AD20,(1-(VLOOKUP($C20,'S3 - Screening Tool Metrics'!$C$3:$G$17,5,FALSE)/100))*AD20)</f>
        <v>669.91625863411059</v>
      </c>
      <c r="AG20" s="706">
        <f>IF($C20="other",$C7*AD20,(VLOOKUP($C20,'S3 - Screening Tool Metrics'!$C$3:$G$17,5,FALSE)/100)*AD20)</f>
        <v>2679.6650345364433</v>
      </c>
      <c r="AH20" s="708">
        <f t="shared" si="5"/>
        <v>13.651561641125088</v>
      </c>
      <c r="AI20" s="707">
        <f t="shared" si="6"/>
        <v>52459.736666666671</v>
      </c>
      <c r="AJ20" s="706">
        <f>VLOOKUP("*"&amp;$B20&amp;"*",'S4 - Summ PRS Characteristics'!$C$13:$Q$20,15,FALSE)*$J20</f>
        <v>1005.4433432724346</v>
      </c>
      <c r="AK20" s="706">
        <f t="shared" ref="AK20" si="18">$J20-AJ20</f>
        <v>18623.556656727564</v>
      </c>
      <c r="AL20" s="706">
        <f>IF($C20="other",(1-$C7)*AJ20,(1-(VLOOKUP($C20,'S3 - Screening Tool Metrics'!$C$3:$G$17,5,FALSE)/100))*AJ20)</f>
        <v>201.08866865448687</v>
      </c>
      <c r="AM20" s="706">
        <f>IF($C20="other",$C7*AJ20,(VLOOKUP($C20,'S3 - Screening Tool Metrics'!$C$3:$G$17,5,FALSE)/100)*AJ20)</f>
        <v>804.35467461794769</v>
      </c>
      <c r="AN20" s="709">
        <f t="shared" si="7"/>
        <v>4.0977873280245953</v>
      </c>
    </row>
    <row r="21" spans="2:40" x14ac:dyDescent="0.15">
      <c r="B21" s="700" t="s">
        <v>8</v>
      </c>
      <c r="C21" s="721" t="str">
        <f>$C8</f>
        <v>Other</v>
      </c>
      <c r="D21" s="552" t="s">
        <v>204</v>
      </c>
      <c r="E21" s="710">
        <f>VLOOKUP($B21&amp;"_"&amp;$D21,'App5 - CRUK Inci Rates'!C:H,6,FALSE)</f>
        <v>0</v>
      </c>
      <c r="F21" s="711">
        <f>VLOOKUP($B21&amp;"_"&amp;$D21,'App5 - CRUK Inci Rates'!C:H,3,FALSE)</f>
        <v>291.80100809814547</v>
      </c>
      <c r="G21" s="712">
        <f>VLOOKUP($B21&amp;"_"&amp;$D21,'App5 - CRUK Inci Rates'!C:J,8,FALSE)</f>
        <v>15281647</v>
      </c>
      <c r="H21" s="713">
        <f>VLOOKUP($B21&amp;"_"&amp;$D21,'App5 - CRUK Inci Rates'!C:J,7,FALSE)</f>
        <v>0</v>
      </c>
      <c r="I21" s="713">
        <f>VLOOKUP($B21&amp;"_"&amp;$D21,'App5 - CRUK Inci Rates'!C:J,4,FALSE)</f>
        <v>15281647</v>
      </c>
      <c r="J21" s="709">
        <f>VLOOKUP($B21&amp;"_"&amp;$D21,'App5 - CRUK Inci Rates'!C:K,9,FALSE)</f>
        <v>44592</v>
      </c>
      <c r="K21" s="706">
        <f t="shared" si="8"/>
        <v>7640823.5</v>
      </c>
      <c r="L21" s="706">
        <f>VLOOKUP("*"&amp;$B21&amp;"*",'S4 - Summ PRS Characteristics'!$C$13:$Q$20,11,FALSE)*$J21</f>
        <v>33707.899773210644</v>
      </c>
      <c r="M21" s="706">
        <f t="shared" si="9"/>
        <v>10884.100226789356</v>
      </c>
      <c r="N21" s="706">
        <f>IF($C21="other",(1-$C$7)*L21,(1-(VLOOKUP($C21,'S3 - Screening Tool Metrics'!$C$3:$G$17,5,FALSE)/100))*L21)</f>
        <v>6741.5799546421276</v>
      </c>
      <c r="O21" s="706">
        <f>IF($C21="other",$C$7*L21,(VLOOKUP($C21,'S3 - Screening Tool Metrics'!$C$3:$G$17,5,FALSE)/100)*L21)</f>
        <v>26966.319818568518</v>
      </c>
      <c r="P21" s="706">
        <f t="shared" si="10"/>
        <v>60.473447745264885</v>
      </c>
      <c r="Q21" s="707">
        <f t="shared" si="0"/>
        <v>3056329.4000000004</v>
      </c>
      <c r="R21" s="706">
        <f>VLOOKUP("*"&amp;$B21&amp;"*",'S4 - Summ PRS Characteristics'!$C$13:$Q$20,12,FALSE)*$J21</f>
        <v>19665.870224714272</v>
      </c>
      <c r="S21" s="706">
        <f t="shared" si="11"/>
        <v>24926.129775285728</v>
      </c>
      <c r="T21" s="706">
        <f>IF($C21="other",(1-$C7)*R21,(1-(VLOOKUP($C21,'S3 - Screening Tool Metrics'!$C$3:$G$17,5,FALSE)/100))*R21)</f>
        <v>3933.1740449428535</v>
      </c>
      <c r="U21" s="706">
        <f>IF($C21="other",$C7*R21,(VLOOKUP($C21,'S3 - Screening Tool Metrics'!$C$3:$G$17,5,FALSE)/100)*R21)</f>
        <v>15732.696179771418</v>
      </c>
      <c r="V21" s="706">
        <f t="shared" si="1"/>
        <v>35.281432050079424</v>
      </c>
      <c r="W21" s="707">
        <f t="shared" si="2"/>
        <v>1528164.7000000002</v>
      </c>
      <c r="X21" s="706">
        <f>VLOOKUP("*"&amp;$B21&amp;"*",'S4 - Summ PRS Characteristics'!$C$13:$Q$20,13,FALSE)*$J21</f>
        <v>12403.665893932643</v>
      </c>
      <c r="Y21" s="706">
        <f t="shared" si="12"/>
        <v>32188.334106067356</v>
      </c>
      <c r="Z21" s="706">
        <f>IF($C21="other",(1-$C7)*X21,(1-(VLOOKUP($C21,'S3 - Screening Tool Metrics'!$C$3:$G$17,5,FALSE)/100))*X21)</f>
        <v>2480.7331787865278</v>
      </c>
      <c r="AA21" s="706">
        <f>IF($C21="other",$C7*X21,(VLOOKUP($C21,'S3 - Screening Tool Metrics'!$C$3:$G$17,5,FALSE)/100)*X21)</f>
        <v>9922.9327151461148</v>
      </c>
      <c r="AB21" s="709">
        <f t="shared" si="3"/>
        <v>22.252719580072917</v>
      </c>
      <c r="AC21" s="706">
        <f t="shared" si="4"/>
        <v>764082.35000000009</v>
      </c>
      <c r="AD21" s="706">
        <f>VLOOKUP("*"&amp;$B21&amp;"*",'S4 - Summ PRS Characteristics'!$C$13:$Q$20,14,FALSE)*$J21</f>
        <v>7609.3804587631221</v>
      </c>
      <c r="AE21" s="706">
        <f t="shared" si="14"/>
        <v>36982.619541236876</v>
      </c>
      <c r="AF21" s="706">
        <f>IF($C21="other",(1-$C7)*AD21,(1-(VLOOKUP($C21,'S3 - Screening Tool Metrics'!$C$3:$G$17,5,FALSE)/100))*AD21)</f>
        <v>1521.876091752624</v>
      </c>
      <c r="AG21" s="706">
        <f>IF($C21="other",$C7*AD21,(VLOOKUP($C21,'S3 - Screening Tool Metrics'!$C$3:$G$17,5,FALSE)/100)*AD21)</f>
        <v>6087.5043670104978</v>
      </c>
      <c r="AH21" s="708">
        <f t="shared" si="5"/>
        <v>13.651561641125085</v>
      </c>
      <c r="AI21" s="707">
        <f t="shared" si="6"/>
        <v>152816.47</v>
      </c>
      <c r="AJ21" s="706">
        <f>VLOOKUP("*"&amp;$B21&amp;"*",'S4 - Summ PRS Characteristics'!$C$13:$Q$20,15,FALSE)*$J21</f>
        <v>2284.106656640909</v>
      </c>
      <c r="AK21" s="706">
        <f t="shared" si="13"/>
        <v>42307.893343359094</v>
      </c>
      <c r="AL21" s="706">
        <f>IF($C21="other",(1-$C7)*AJ21,(1-(VLOOKUP($C21,'S3 - Screening Tool Metrics'!$C$3:$G$17,5,FALSE)/100))*AJ21)</f>
        <v>456.82133132818171</v>
      </c>
      <c r="AM21" s="706">
        <f>IF($C21="other",$C7*AJ21,(VLOOKUP($C21,'S3 - Screening Tool Metrics'!$C$3:$G$17,5,FALSE)/100)*AJ21)</f>
        <v>1827.2853253127273</v>
      </c>
      <c r="AN21" s="709">
        <f t="shared" si="7"/>
        <v>4.0977873280245953</v>
      </c>
    </row>
    <row r="22" spans="2:40" ht="14" thickBot="1" x14ac:dyDescent="0.2">
      <c r="B22" s="700" t="s">
        <v>8</v>
      </c>
      <c r="C22" s="721"/>
      <c r="D22" s="552" t="s">
        <v>205</v>
      </c>
      <c r="E22" s="710">
        <f>VLOOKUP($B22&amp;"_"&amp;$D22,'App5 - CRUK Inci Rates'!C:H,6,FALSE)</f>
        <v>0</v>
      </c>
      <c r="F22" s="711">
        <f>VLOOKUP($B22&amp;"_"&amp;$D22,'App5 - CRUK Inci Rates'!C:H,3,FALSE)</f>
        <v>166.0138492223038</v>
      </c>
      <c r="G22" s="712">
        <f>VLOOKUP($B22&amp;"_"&amp;$D22,'App5 - CRUK Inci Rates'!C:J,8,FALSE)</f>
        <v>33458051.999999996</v>
      </c>
      <c r="H22" s="713">
        <f>VLOOKUP($B22&amp;"_"&amp;$D22,'App5 - CRUK Inci Rates'!C:J,7,FALSE)</f>
        <v>0</v>
      </c>
      <c r="I22" s="713">
        <f>VLOOKUP($B22&amp;"_"&amp;$D22,'App5 - CRUK Inci Rates'!C:J,4,FALSE)</f>
        <v>33458051.999999996</v>
      </c>
      <c r="J22" s="709">
        <f>VLOOKUP($B22&amp;"_"&amp;$D22,'App5 - CRUK Inci Rates'!C:K,9,FALSE)</f>
        <v>55545</v>
      </c>
      <c r="K22" s="716"/>
      <c r="L22" s="716"/>
      <c r="M22" s="716"/>
      <c r="N22" s="716"/>
      <c r="O22" s="716"/>
      <c r="P22" s="716"/>
      <c r="Q22" s="715"/>
      <c r="R22" s="716"/>
      <c r="S22" s="716"/>
      <c r="T22" s="716"/>
      <c r="U22" s="716"/>
      <c r="V22" s="716"/>
      <c r="W22" s="715"/>
      <c r="X22" s="716"/>
      <c r="Y22" s="716"/>
      <c r="Z22" s="716"/>
      <c r="AA22" s="716"/>
      <c r="AB22" s="718"/>
      <c r="AC22" s="716"/>
      <c r="AD22" s="716"/>
      <c r="AE22" s="716"/>
      <c r="AF22" s="716"/>
      <c r="AG22" s="716"/>
      <c r="AH22" s="717"/>
      <c r="AI22" s="715"/>
      <c r="AJ22" s="716"/>
      <c r="AK22" s="716"/>
      <c r="AL22" s="716"/>
      <c r="AM22" s="716"/>
      <c r="AN22" s="718"/>
    </row>
    <row r="23" spans="2:40" ht="21" customHeight="1" thickBot="1" x14ac:dyDescent="0.2">
      <c r="B23" s="686" t="s">
        <v>10</v>
      </c>
      <c r="C23" s="687">
        <v>0.8</v>
      </c>
      <c r="D23" s="688"/>
      <c r="E23" s="689"/>
      <c r="F23" s="690"/>
      <c r="G23" s="691"/>
      <c r="H23" s="692"/>
      <c r="I23" s="692"/>
      <c r="J23" s="693"/>
      <c r="K23" s="694"/>
      <c r="L23" s="694"/>
      <c r="M23" s="694"/>
      <c r="N23" s="694"/>
      <c r="O23" s="694"/>
      <c r="P23" s="694"/>
      <c r="Q23" s="695"/>
      <c r="R23" s="696"/>
      <c r="S23" s="696"/>
      <c r="T23" s="696"/>
      <c r="U23" s="696"/>
      <c r="V23" s="696"/>
      <c r="W23" s="695"/>
      <c r="X23" s="696"/>
      <c r="Y23" s="696"/>
      <c r="Z23" s="696"/>
      <c r="AA23" s="696"/>
      <c r="AB23" s="699"/>
      <c r="AC23" s="696"/>
      <c r="AD23" s="696"/>
      <c r="AE23" s="696"/>
      <c r="AF23" s="696"/>
      <c r="AG23" s="696"/>
      <c r="AH23" s="697"/>
      <c r="AI23" s="695"/>
      <c r="AJ23" s="696"/>
      <c r="AK23" s="696"/>
      <c r="AL23" s="696"/>
      <c r="AM23" s="696"/>
      <c r="AN23" s="699"/>
    </row>
    <row r="24" spans="2:40" x14ac:dyDescent="0.15">
      <c r="B24" s="700" t="s">
        <v>10</v>
      </c>
      <c r="C24" s="741" t="s">
        <v>180</v>
      </c>
      <c r="D24" s="593" t="s">
        <v>192</v>
      </c>
      <c r="E24" s="701">
        <f>VLOOKUP($B24&amp;"_"&amp;$D24,'App5 - CRUK Inci Rates'!C:H,6,FALSE)</f>
        <v>4.3</v>
      </c>
      <c r="F24" s="702">
        <f>VLOOKUP($B24&amp;"_"&amp;$D24,'App5 - CRUK Inci Rates'!C:H,3,FALSE)</f>
        <v>0</v>
      </c>
      <c r="G24" s="703">
        <f>VLOOKUP($B24&amp;"_"&amp;$D24,'App5 - CRUK Inci Rates'!C:J,8,FALSE)</f>
        <v>2021384.6666666667</v>
      </c>
      <c r="H24" s="704">
        <f>VLOOKUP($B24&amp;"_"&amp;$D24,'App5 - CRUK Inci Rates'!C:J,7,FALSE)</f>
        <v>2021384.6666666667</v>
      </c>
      <c r="I24" s="704">
        <f>VLOOKUP($B24&amp;"_"&amp;$D24,'App5 - CRUK Inci Rates'!C:J,4,FALSE)</f>
        <v>0</v>
      </c>
      <c r="J24" s="705">
        <f>VLOOKUP($B24&amp;"_"&amp;$D24,'App5 - CRUK Inci Rates'!C:K,9,FALSE)</f>
        <v>88</v>
      </c>
      <c r="K24" s="706">
        <f t="shared" si="8"/>
        <v>1010692.3333333334</v>
      </c>
      <c r="L24" s="706">
        <f>VLOOKUP("*"&amp;$B24&amp;"*",'S4 - Summ PRS Characteristics'!$C$13:$Q$20,11,FALSE)*$J24</f>
        <v>69.44191318506131</v>
      </c>
      <c r="M24" s="706">
        <f t="shared" si="9"/>
        <v>18.55808681493869</v>
      </c>
      <c r="N24" s="706">
        <f>IF($C24="other",(1-$C$7)*L24,(1-(VLOOKUP($C24,'S3 - Screening Tool Metrics'!$C$3:$G$17,5,FALSE)/100))*L24)</f>
        <v>13.888382637012258</v>
      </c>
      <c r="O24" s="706">
        <f>IF($C24="other",$C$7*L24,(VLOOKUP($C24,'S3 - Screening Tool Metrics'!$C$3:$G$17,5,FALSE)/100)*L24)</f>
        <v>55.553530548049054</v>
      </c>
      <c r="P24" s="706">
        <f t="shared" si="10"/>
        <v>63.129011986419378</v>
      </c>
      <c r="Q24" s="707">
        <f t="shared" ref="Q24:Q38" si="19">$G24*Q$3</f>
        <v>404276.93333333335</v>
      </c>
      <c r="R24" s="706">
        <f>VLOOKUP("*"&amp;$B24&amp;"*",'S4 - Summ PRS Characteristics'!$C$13:$Q$20,12,FALSE)*$J24</f>
        <v>42.656607099099226</v>
      </c>
      <c r="S24" s="706">
        <f>$J24-R24</f>
        <v>45.343392900900774</v>
      </c>
      <c r="T24" s="706">
        <f>IF($C24="other",(1-$C23)*R24,(1-(VLOOKUP($C24,'S3 - Screening Tool Metrics'!$C$3:$G$17,5,FALSE)/100))*R24)</f>
        <v>8.531321419819843</v>
      </c>
      <c r="U24" s="706">
        <f>IF($C24="other",$C23*R24,(VLOOKUP($C24,'S3 - Screening Tool Metrics'!$C$3:$G$17,5,FALSE)/100)*R24)</f>
        <v>34.125285679279379</v>
      </c>
      <c r="V24" s="706">
        <f t="shared" ref="V24:V38" si="20">U24/J24*100</f>
        <v>38.778733726453837</v>
      </c>
      <c r="W24" s="707">
        <f t="shared" ref="W24:W38" si="21">$G24*W$3</f>
        <v>202138.46666666667</v>
      </c>
      <c r="X24" s="706">
        <f>VLOOKUP("*"&amp;$B24&amp;"*",'S4 - Summ PRS Characteristics'!$C$13:$Q$20,13,FALSE)*$J24</f>
        <v>27.830175839912265</v>
      </c>
      <c r="Y24" s="706">
        <f>$J24-X24</f>
        <v>60.169824160087735</v>
      </c>
      <c r="Z24" s="706">
        <f>IF($C24="other",(1-$C23)*X24,(1-(VLOOKUP($C24,'S3 - Screening Tool Metrics'!$C$3:$G$17,5,FALSE)/100))*X24)</f>
        <v>5.5660351679824513</v>
      </c>
      <c r="AA24" s="706">
        <f>IF($C24="other",$C23*X24,(VLOOKUP($C24,'S3 - Screening Tool Metrics'!$C$3:$G$17,5,FALSE)/100)*X24)</f>
        <v>22.264140671929812</v>
      </c>
      <c r="AB24" s="709">
        <f t="shared" ref="AB24:AB38" si="22">$AA24/$J24*100</f>
        <v>25.300159854465697</v>
      </c>
      <c r="AC24" s="706">
        <f t="shared" ref="AC24:AC38" si="23">$G24*AC$3</f>
        <v>101069.23333333334</v>
      </c>
      <c r="AD24" s="706">
        <f>VLOOKUP("*"&amp;$B24&amp;"*",'S4 - Summ PRS Characteristics'!$C$13:$Q$20,14,FALSE)*$J24</f>
        <v>17.602802299153865</v>
      </c>
      <c r="AE24" s="706">
        <f>$J24-AD24</f>
        <v>70.397197700846135</v>
      </c>
      <c r="AF24" s="706">
        <f>IF($C24="other",(1-$C23)*AD24,(1-(VLOOKUP($C24,'S3 - Screening Tool Metrics'!$C$3:$G$17,5,FALSE)/100))*AD24)</f>
        <v>3.5205604598307723</v>
      </c>
      <c r="AG24" s="706">
        <f>IF($C24="other",$C23*AD24,(VLOOKUP($C24,'S3 - Screening Tool Metrics'!$C$3:$G$17,5,FALSE)/100)*AD24)</f>
        <v>14.082241839323093</v>
      </c>
      <c r="AH24" s="708">
        <f t="shared" ref="AH24:AH38" si="24">$AG24/$J24*100</f>
        <v>16.002547544685335</v>
      </c>
      <c r="AI24" s="707">
        <f t="shared" ref="AI24:AI38" si="25">$G24*AI$3</f>
        <v>20213.846666666668</v>
      </c>
      <c r="AJ24" s="706">
        <f>VLOOKUP("*"&amp;$B24&amp;"*",'S4 - Summ PRS Characteristics'!$C$13:$Q$20,15,FALSE)*$J24</f>
        <v>5.6213638740423919</v>
      </c>
      <c r="AK24" s="706">
        <f>$J24-AJ24</f>
        <v>82.378636125957613</v>
      </c>
      <c r="AL24" s="706">
        <f>IF($C24="other",(1-$C23)*AJ24,(1-(VLOOKUP($C24,'S3 - Screening Tool Metrics'!$C$3:$G$17,5,FALSE)/100))*AJ24)</f>
        <v>1.1242727748084782</v>
      </c>
      <c r="AM24" s="706">
        <f>IF($C24="other",$C23*AJ24,(VLOOKUP($C24,'S3 - Screening Tool Metrics'!$C$3:$G$17,5,FALSE)/100)*AJ24)</f>
        <v>4.4970910992339137</v>
      </c>
      <c r="AN24" s="709">
        <f t="shared" ref="AN24:AN38" si="26">$AM24/$J24*100</f>
        <v>5.1103307945839926</v>
      </c>
    </row>
    <row r="25" spans="2:40" x14ac:dyDescent="0.15">
      <c r="B25" s="700" t="s">
        <v>10</v>
      </c>
      <c r="C25" s="721" t="str">
        <f>$C24</f>
        <v>Other</v>
      </c>
      <c r="D25" s="552" t="s">
        <v>193</v>
      </c>
      <c r="E25" s="710">
        <f>VLOOKUP($B25&amp;"_"&amp;$D25,'App5 - CRUK Inci Rates'!C:H,6,FALSE)</f>
        <v>20.5</v>
      </c>
      <c r="F25" s="711">
        <f>VLOOKUP($B25&amp;"_"&amp;$D25,'App5 - CRUK Inci Rates'!C:H,3,FALSE)</f>
        <v>0</v>
      </c>
      <c r="G25" s="712">
        <f>VLOOKUP($B25&amp;"_"&amp;$D25,'App5 - CRUK Inci Rates'!C:J,8,FALSE)</f>
        <v>2251680</v>
      </c>
      <c r="H25" s="713">
        <f>VLOOKUP($B25&amp;"_"&amp;$D25,'App5 - CRUK Inci Rates'!C:J,7,FALSE)</f>
        <v>2251680</v>
      </c>
      <c r="I25" s="713">
        <f>VLOOKUP($B25&amp;"_"&amp;$D25,'App5 - CRUK Inci Rates'!C:J,4,FALSE)</f>
        <v>0</v>
      </c>
      <c r="J25" s="709">
        <f>VLOOKUP($B25&amp;"_"&amp;$D25,'App5 - CRUK Inci Rates'!C:K,9,FALSE)</f>
        <v>461</v>
      </c>
      <c r="K25" s="706">
        <f t="shared" si="8"/>
        <v>1125840</v>
      </c>
      <c r="L25" s="706">
        <f>VLOOKUP("*"&amp;$B25&amp;"*",'S4 - Summ PRS Characteristics'!$C$13:$Q$20,11,FALSE)*$J25</f>
        <v>363.78093157174163</v>
      </c>
      <c r="M25" s="706">
        <f t="shared" si="9"/>
        <v>97.219068428258367</v>
      </c>
      <c r="N25" s="706">
        <f>IF($C25="other",(1-$C$7)*L25,(1-(VLOOKUP($C25,'S3 - Screening Tool Metrics'!$C$3:$G$17,5,FALSE)/100))*L25)</f>
        <v>72.756186314348312</v>
      </c>
      <c r="O25" s="706">
        <f>IF($C25="other",$C$7*L25,(VLOOKUP($C25,'S3 - Screening Tool Metrics'!$C$3:$G$17,5,FALSE)/100)*L25)</f>
        <v>291.02474525739331</v>
      </c>
      <c r="P25" s="706">
        <f t="shared" si="10"/>
        <v>63.129011986419371</v>
      </c>
      <c r="Q25" s="707">
        <f t="shared" si="19"/>
        <v>450336</v>
      </c>
      <c r="R25" s="706">
        <f>VLOOKUP("*"&amp;$B25&amp;"*",'S4 - Summ PRS Characteristics'!$C$13:$Q$20,12,FALSE)*$J25</f>
        <v>223.46245309869025</v>
      </c>
      <c r="S25" s="706">
        <f t="shared" ref="S25:S38" si="27">$J25-R25</f>
        <v>237.53754690130975</v>
      </c>
      <c r="T25" s="706">
        <f>IF($C25="other",(1-$C23)*R25,(1-(VLOOKUP($C25,'S3 - Screening Tool Metrics'!$C$3:$G$17,5,FALSE)/100))*R25)</f>
        <v>44.692490619738038</v>
      </c>
      <c r="U25" s="706">
        <f>IF($C25="other",$C23*R25,(VLOOKUP($C25,'S3 - Screening Tool Metrics'!$C$3:$G$17,5,FALSE)/100)*R25)</f>
        <v>178.76996247895221</v>
      </c>
      <c r="V25" s="706">
        <f t="shared" si="20"/>
        <v>38.778733726453837</v>
      </c>
      <c r="W25" s="707">
        <f t="shared" si="21"/>
        <v>225168</v>
      </c>
      <c r="X25" s="706">
        <f>VLOOKUP("*"&amp;$B25&amp;"*",'S4 - Summ PRS Characteristics'!$C$13:$Q$20,13,FALSE)*$J25</f>
        <v>145.79217116135857</v>
      </c>
      <c r="Y25" s="706">
        <f t="shared" ref="Y25:Y38" si="28">$J25-X25</f>
        <v>315.20782883864143</v>
      </c>
      <c r="Z25" s="706">
        <f>IF($C25="other",(1-$C23)*X25,(1-(VLOOKUP($C25,'S3 - Screening Tool Metrics'!$C$3:$G$17,5,FALSE)/100))*X25)</f>
        <v>29.158434232271706</v>
      </c>
      <c r="AA25" s="706">
        <f>IF($C25="other",$C23*X25,(VLOOKUP($C25,'S3 - Screening Tool Metrics'!$C$3:$G$17,5,FALSE)/100)*X25)</f>
        <v>116.63373692908687</v>
      </c>
      <c r="AB25" s="709">
        <f t="shared" si="22"/>
        <v>25.300159854465697</v>
      </c>
      <c r="AC25" s="706">
        <f t="shared" si="23"/>
        <v>112584</v>
      </c>
      <c r="AD25" s="706">
        <f>VLOOKUP("*"&amp;$B25&amp;"*",'S4 - Summ PRS Characteristics'!$C$13:$Q$20,14,FALSE)*$J25</f>
        <v>92.214680226249214</v>
      </c>
      <c r="AE25" s="706">
        <f>$J25-AD25</f>
        <v>368.78531977375076</v>
      </c>
      <c r="AF25" s="706">
        <f>IF($C25="other",(1-$C23)*AD25,(1-(VLOOKUP($C25,'S3 - Screening Tool Metrics'!$C$3:$G$17,5,FALSE)/100))*AD25)</f>
        <v>18.442936045249837</v>
      </c>
      <c r="AG25" s="706">
        <f>IF($C25="other",$C23*AD25,(VLOOKUP($C25,'S3 - Screening Tool Metrics'!$C$3:$G$17,5,FALSE)/100)*AD25)</f>
        <v>73.771744180999377</v>
      </c>
      <c r="AH25" s="708">
        <f t="shared" si="24"/>
        <v>16.002547544685331</v>
      </c>
      <c r="AI25" s="707">
        <f t="shared" si="25"/>
        <v>22516.799999999999</v>
      </c>
      <c r="AJ25" s="706">
        <f>VLOOKUP("*"&amp;$B25&amp;"*",'S4 - Summ PRS Characteristics'!$C$13:$Q$20,15,FALSE)*$J25</f>
        <v>29.448281203790259</v>
      </c>
      <c r="AK25" s="706">
        <f t="shared" ref="AK25:AK38" si="29">$J25-AJ25</f>
        <v>431.55171879620974</v>
      </c>
      <c r="AL25" s="706">
        <f>IF($C25="other",(1-$C23)*AJ25,(1-(VLOOKUP($C25,'S3 - Screening Tool Metrics'!$C$3:$G$17,5,FALSE)/100))*AJ25)</f>
        <v>5.8896562407580504</v>
      </c>
      <c r="AM25" s="706">
        <f>IF($C25="other",$C23*AJ25,(VLOOKUP($C25,'S3 - Screening Tool Metrics'!$C$3:$G$17,5,FALSE)/100)*AJ25)</f>
        <v>23.558624963032209</v>
      </c>
      <c r="AN25" s="709">
        <f t="shared" si="26"/>
        <v>5.1103307945839935</v>
      </c>
    </row>
    <row r="26" spans="2:40" x14ac:dyDescent="0.15">
      <c r="B26" s="700" t="s">
        <v>10</v>
      </c>
      <c r="C26" s="721" t="str">
        <f>$C24</f>
        <v>Other</v>
      </c>
      <c r="D26" s="552" t="s">
        <v>194</v>
      </c>
      <c r="E26" s="710">
        <f>VLOOKUP($B26&amp;"_"&amp;$D26,'App5 - CRUK Inci Rates'!C:H,6,FALSE)</f>
        <v>75.7</v>
      </c>
      <c r="F26" s="711">
        <f>VLOOKUP($B26&amp;"_"&amp;$D26,'App5 - CRUK Inci Rates'!C:H,3,FALSE)</f>
        <v>0</v>
      </c>
      <c r="G26" s="712">
        <f>VLOOKUP($B26&amp;"_"&amp;$D26,'App5 - CRUK Inci Rates'!C:J,8,FALSE)</f>
        <v>2293472.6666666665</v>
      </c>
      <c r="H26" s="713">
        <f>VLOOKUP($B26&amp;"_"&amp;$D26,'App5 - CRUK Inci Rates'!C:J,7,FALSE)</f>
        <v>2293472.6666666665</v>
      </c>
      <c r="I26" s="713">
        <f>VLOOKUP($B26&amp;"_"&amp;$D26,'App5 - CRUK Inci Rates'!C:J,4,FALSE)</f>
        <v>0</v>
      </c>
      <c r="J26" s="709">
        <f>VLOOKUP($B26&amp;"_"&amp;$D26,'App5 - CRUK Inci Rates'!C:K,9,FALSE)</f>
        <v>1737</v>
      </c>
      <c r="K26" s="706">
        <f t="shared" si="8"/>
        <v>1146736.3333333333</v>
      </c>
      <c r="L26" s="706">
        <f>VLOOKUP("*"&amp;$B26&amp;"*",'S4 - Summ PRS Characteristics'!$C$13:$Q$20,11,FALSE)*$J26</f>
        <v>1370.6886727551307</v>
      </c>
      <c r="M26" s="706">
        <f t="shared" si="9"/>
        <v>366.31132724486929</v>
      </c>
      <c r="N26" s="706">
        <f>IF($C26="other",(1-$C$7)*L26,(1-(VLOOKUP($C26,'S3 - Screening Tool Metrics'!$C$3:$G$17,5,FALSE)/100))*L26)</f>
        <v>274.13773455102609</v>
      </c>
      <c r="O26" s="706">
        <f>IF($C26="other",$C$7*L26,(VLOOKUP($C26,'S3 - Screening Tool Metrics'!$C$3:$G$17,5,FALSE)/100)*L26)</f>
        <v>1096.5509382041046</v>
      </c>
      <c r="P26" s="706">
        <f t="shared" si="10"/>
        <v>63.129011986419378</v>
      </c>
      <c r="Q26" s="707">
        <f t="shared" si="19"/>
        <v>458694.53333333333</v>
      </c>
      <c r="R26" s="706">
        <f>VLOOKUP("*"&amp;$B26&amp;"*",'S4 - Summ PRS Characteristics'!$C$13:$Q$20,12,FALSE)*$J26</f>
        <v>841.98325603562898</v>
      </c>
      <c r="S26" s="706">
        <f t="shared" si="27"/>
        <v>895.01674396437102</v>
      </c>
      <c r="T26" s="706">
        <f>IF($C26="other",(1-$C23)*R26,(1-(VLOOKUP($C26,'S3 - Screening Tool Metrics'!$C$3:$G$17,5,FALSE)/100))*R26)</f>
        <v>168.39665120712576</v>
      </c>
      <c r="U26" s="706">
        <f>IF($C26="other",$C23*R26,(VLOOKUP($C26,'S3 - Screening Tool Metrics'!$C$3:$G$17,5,FALSE)/100)*R26)</f>
        <v>673.58660482850325</v>
      </c>
      <c r="V26" s="706">
        <f t="shared" si="20"/>
        <v>38.778733726453844</v>
      </c>
      <c r="W26" s="707">
        <f t="shared" si="21"/>
        <v>229347.26666666666</v>
      </c>
      <c r="X26" s="706">
        <f>VLOOKUP("*"&amp;$B26&amp;"*",'S4 - Summ PRS Characteristics'!$C$13:$Q$20,13,FALSE)*$J26</f>
        <v>549.32972084008634</v>
      </c>
      <c r="Y26" s="706">
        <f t="shared" si="28"/>
        <v>1187.6702791599137</v>
      </c>
      <c r="Z26" s="706">
        <f>IF($C26="other",(1-$C23)*X26,(1-(VLOOKUP($C26,'S3 - Screening Tool Metrics'!$C$3:$G$17,5,FALSE)/100))*X26)</f>
        <v>109.86594416801724</v>
      </c>
      <c r="AA26" s="706">
        <f>IF($C26="other",$C23*X26,(VLOOKUP($C26,'S3 - Screening Tool Metrics'!$C$3:$G$17,5,FALSE)/100)*X26)</f>
        <v>439.46377667206912</v>
      </c>
      <c r="AB26" s="709">
        <f t="shared" si="22"/>
        <v>25.300159854465694</v>
      </c>
      <c r="AC26" s="706">
        <f t="shared" si="23"/>
        <v>114673.63333333333</v>
      </c>
      <c r="AD26" s="706">
        <f>VLOOKUP("*"&amp;$B26&amp;"*",'S4 - Summ PRS Characteristics'!$C$13:$Q$20,14,FALSE)*$J26</f>
        <v>347.45531356398021</v>
      </c>
      <c r="AE26" s="706">
        <f t="shared" ref="AE26:AE38" si="30">$J26-AD26</f>
        <v>1389.5446864360197</v>
      </c>
      <c r="AF26" s="706">
        <f>IF($C26="other",(1-$C23)*AD26,(1-(VLOOKUP($C26,'S3 - Screening Tool Metrics'!$C$3:$G$17,5,FALSE)/100))*AD26)</f>
        <v>69.491062712796023</v>
      </c>
      <c r="AG26" s="706">
        <f>IF($C26="other",$C23*AD26,(VLOOKUP($C26,'S3 - Screening Tool Metrics'!$C$3:$G$17,5,FALSE)/100)*AD26)</f>
        <v>277.9642508511842</v>
      </c>
      <c r="AH26" s="708">
        <f t="shared" si="24"/>
        <v>16.002547544685331</v>
      </c>
      <c r="AI26" s="707">
        <f t="shared" si="25"/>
        <v>22934.726666666666</v>
      </c>
      <c r="AJ26" s="706">
        <f>VLOOKUP("*"&amp;$B26&amp;"*",'S4 - Summ PRS Characteristics'!$C$13:$Q$20,15,FALSE)*$J26</f>
        <v>110.95805737740494</v>
      </c>
      <c r="AK26" s="706">
        <f t="shared" si="29"/>
        <v>1626.0419426225951</v>
      </c>
      <c r="AL26" s="706">
        <f>IF($C26="other",(1-$C23)*AJ26,(1-(VLOOKUP($C26,'S3 - Screening Tool Metrics'!$C$3:$G$17,5,FALSE)/100))*AJ26)</f>
        <v>22.191611475480983</v>
      </c>
      <c r="AM26" s="706">
        <f>IF($C26="other",$C23*AJ26,(VLOOKUP($C26,'S3 - Screening Tool Metrics'!$C$3:$G$17,5,FALSE)/100)*AJ26)</f>
        <v>88.766445901923959</v>
      </c>
      <c r="AN26" s="709">
        <f t="shared" si="26"/>
        <v>5.1103307945839926</v>
      </c>
    </row>
    <row r="27" spans="2:40" x14ac:dyDescent="0.15">
      <c r="B27" s="700" t="s">
        <v>10</v>
      </c>
      <c r="C27" s="721" t="str">
        <f>$C24</f>
        <v>Other</v>
      </c>
      <c r="D27" s="552" t="s">
        <v>195</v>
      </c>
      <c r="E27" s="710">
        <f>VLOOKUP($B27&amp;"_"&amp;$D27,'App5 - CRUK Inci Rates'!C:H,6,FALSE)</f>
        <v>201.8</v>
      </c>
      <c r="F27" s="711">
        <f>VLOOKUP($B27&amp;"_"&amp;$D27,'App5 - CRUK Inci Rates'!C:H,3,FALSE)</f>
        <v>0</v>
      </c>
      <c r="G27" s="712">
        <f>VLOOKUP($B27&amp;"_"&amp;$D27,'App5 - CRUK Inci Rates'!C:J,8,FALSE)</f>
        <v>2061918.6666666667</v>
      </c>
      <c r="H27" s="713">
        <f>VLOOKUP($B27&amp;"_"&amp;$D27,'App5 - CRUK Inci Rates'!C:J,7,FALSE)</f>
        <v>2061918.6666666667</v>
      </c>
      <c r="I27" s="713">
        <f>VLOOKUP($B27&amp;"_"&amp;$D27,'App5 - CRUK Inci Rates'!C:J,4,FALSE)</f>
        <v>0</v>
      </c>
      <c r="J27" s="709">
        <f>VLOOKUP($B27&amp;"_"&amp;$D27,'App5 - CRUK Inci Rates'!C:K,9,FALSE)</f>
        <v>4160</v>
      </c>
      <c r="K27" s="706">
        <f t="shared" si="8"/>
        <v>1030959.3333333334</v>
      </c>
      <c r="L27" s="706">
        <f>VLOOKUP("*"&amp;$B27&amp;"*",'S4 - Summ PRS Characteristics'!$C$13:$Q$20,11,FALSE)*$J27</f>
        <v>3282.7086232938077</v>
      </c>
      <c r="M27" s="706">
        <f t="shared" si="9"/>
        <v>877.2913767061923</v>
      </c>
      <c r="N27" s="706">
        <f>IF($C27="other",(1-$C$7)*L27,(1-(VLOOKUP($C27,'S3 - Screening Tool Metrics'!$C$3:$G$17,5,FALSE)/100))*L27)</f>
        <v>656.54172465876138</v>
      </c>
      <c r="O27" s="706">
        <f>IF($C27="other",$C$7*L27,(VLOOKUP($C27,'S3 - Screening Tool Metrics'!$C$3:$G$17,5,FALSE)/100)*L27)</f>
        <v>2626.1668986350464</v>
      </c>
      <c r="P27" s="706">
        <f t="shared" si="10"/>
        <v>63.129011986419378</v>
      </c>
      <c r="Q27" s="707">
        <f t="shared" si="19"/>
        <v>412383.7333333334</v>
      </c>
      <c r="R27" s="706">
        <f>VLOOKUP("*"&amp;$B27&amp;"*",'S4 - Summ PRS Characteristics'!$C$13:$Q$20,12,FALSE)*$J27</f>
        <v>2016.4941537755997</v>
      </c>
      <c r="S27" s="706">
        <f t="shared" si="27"/>
        <v>2143.5058462244006</v>
      </c>
      <c r="T27" s="706">
        <f>IF($C27="other",(1-$C23)*R27,(1-(VLOOKUP($C27,'S3 - Screening Tool Metrics'!$C$3:$G$17,5,FALSE)/100))*R27)</f>
        <v>403.29883075511987</v>
      </c>
      <c r="U27" s="706">
        <f>IF($C27="other",$C23*R27,(VLOOKUP($C27,'S3 - Screening Tool Metrics'!$C$3:$G$17,5,FALSE)/100)*R27)</f>
        <v>1613.1953230204799</v>
      </c>
      <c r="V27" s="706">
        <f t="shared" si="20"/>
        <v>38.778733726453844</v>
      </c>
      <c r="W27" s="707">
        <f t="shared" si="21"/>
        <v>206191.8666666667</v>
      </c>
      <c r="X27" s="706">
        <f>VLOOKUP("*"&amp;$B27&amp;"*",'S4 - Summ PRS Characteristics'!$C$13:$Q$20,13,FALSE)*$J27</f>
        <v>1315.6083124322161</v>
      </c>
      <c r="Y27" s="706">
        <f t="shared" si="28"/>
        <v>2844.3916875677842</v>
      </c>
      <c r="Z27" s="706">
        <f>IF($C27="other",(1-$C23)*X27,(1-(VLOOKUP($C27,'S3 - Screening Tool Metrics'!$C$3:$G$17,5,FALSE)/100))*X27)</f>
        <v>263.12166248644314</v>
      </c>
      <c r="AA27" s="706">
        <f>IF($C27="other",$C23*X27,(VLOOKUP($C27,'S3 - Screening Tool Metrics'!$C$3:$G$17,5,FALSE)/100)*X27)</f>
        <v>1052.4866499457728</v>
      </c>
      <c r="AB27" s="709">
        <f t="shared" si="22"/>
        <v>25.300159854465694</v>
      </c>
      <c r="AC27" s="706">
        <f t="shared" si="23"/>
        <v>103095.93333333335</v>
      </c>
      <c r="AD27" s="706">
        <f>VLOOKUP("*"&amp;$B27&amp;"*",'S4 - Summ PRS Characteristics'!$C$13:$Q$20,14,FALSE)*$J27</f>
        <v>832.13247232363722</v>
      </c>
      <c r="AE27" s="706">
        <f t="shared" si="30"/>
        <v>3327.8675276763629</v>
      </c>
      <c r="AF27" s="706">
        <f>IF($C27="other",(1-$C23)*AD27,(1-(VLOOKUP($C27,'S3 - Screening Tool Metrics'!$C$3:$G$17,5,FALSE)/100))*AD27)</f>
        <v>166.4264944647274</v>
      </c>
      <c r="AG27" s="706">
        <f>IF($C27="other",$C23*AD27,(VLOOKUP($C27,'S3 - Screening Tool Metrics'!$C$3:$G$17,5,FALSE)/100)*AD27)</f>
        <v>665.70597785890982</v>
      </c>
      <c r="AH27" s="708">
        <f t="shared" si="24"/>
        <v>16.002547544685335</v>
      </c>
      <c r="AI27" s="707">
        <f t="shared" si="25"/>
        <v>20619.186666666668</v>
      </c>
      <c r="AJ27" s="706">
        <f>VLOOKUP("*"&amp;$B27&amp;"*",'S4 - Summ PRS Characteristics'!$C$13:$Q$20,15,FALSE)*$J27</f>
        <v>265.73720131836762</v>
      </c>
      <c r="AK27" s="706">
        <f t="shared" si="29"/>
        <v>3894.2627986816324</v>
      </c>
      <c r="AL27" s="706">
        <f>IF($C27="other",(1-$C23)*AJ27,(1-(VLOOKUP($C27,'S3 - Screening Tool Metrics'!$C$3:$G$17,5,FALSE)/100))*AJ27)</f>
        <v>53.147440263673516</v>
      </c>
      <c r="AM27" s="706">
        <f>IF($C27="other",$C23*AJ27,(VLOOKUP($C27,'S3 - Screening Tool Metrics'!$C$3:$G$17,5,FALSE)/100)*AJ27)</f>
        <v>212.58976105469412</v>
      </c>
      <c r="AN27" s="709">
        <f t="shared" si="26"/>
        <v>5.1103307945839935</v>
      </c>
    </row>
    <row r="28" spans="2:40" x14ac:dyDescent="0.15">
      <c r="B28" s="700" t="s">
        <v>10</v>
      </c>
      <c r="C28" s="721" t="str">
        <f>$C24</f>
        <v>Other</v>
      </c>
      <c r="D28" s="552" t="s">
        <v>196</v>
      </c>
      <c r="E28" s="710">
        <f>VLOOKUP($B28&amp;"_"&amp;$D28,'App5 - CRUK Inci Rates'!C:H,6,FALSE)</f>
        <v>356.1</v>
      </c>
      <c r="F28" s="711">
        <f>VLOOKUP($B28&amp;"_"&amp;$D28,'App5 - CRUK Inci Rates'!C:H,3,FALSE)</f>
        <v>0</v>
      </c>
      <c r="G28" s="712">
        <f>VLOOKUP($B28&amp;"_"&amp;$D28,'App5 - CRUK Inci Rates'!C:J,8,FALSE)</f>
        <v>1764828</v>
      </c>
      <c r="H28" s="713">
        <f>VLOOKUP($B28&amp;"_"&amp;$D28,'App5 - CRUK Inci Rates'!C:J,7,FALSE)</f>
        <v>1764828</v>
      </c>
      <c r="I28" s="713">
        <f>VLOOKUP($B28&amp;"_"&amp;$D28,'App5 - CRUK Inci Rates'!C:J,4,FALSE)</f>
        <v>0</v>
      </c>
      <c r="J28" s="709">
        <f>VLOOKUP($B28&amp;"_"&amp;$D28,'App5 - CRUK Inci Rates'!C:K,9,FALSE)</f>
        <v>6285</v>
      </c>
      <c r="K28" s="706">
        <f t="shared" si="8"/>
        <v>882414</v>
      </c>
      <c r="L28" s="706">
        <f>VLOOKUP("*"&amp;$B28&amp;"*",'S4 - Summ PRS Characteristics'!$C$13:$Q$20,11,FALSE)*$J28</f>
        <v>4959.573004183072</v>
      </c>
      <c r="M28" s="706">
        <f t="shared" si="9"/>
        <v>1325.426995816928</v>
      </c>
      <c r="N28" s="706">
        <f>IF($C28="other",(1-$C$7)*L28,(1-(VLOOKUP($C28,'S3 - Screening Tool Metrics'!$C$3:$G$17,5,FALSE)/100))*L28)</f>
        <v>991.91460083661423</v>
      </c>
      <c r="O28" s="706">
        <f>IF($C28="other",$C$7*L28,(VLOOKUP($C28,'S3 - Screening Tool Metrics'!$C$3:$G$17,5,FALSE)/100)*L28)</f>
        <v>3967.6584033464578</v>
      </c>
      <c r="P28" s="706">
        <f t="shared" si="10"/>
        <v>63.129011986419378</v>
      </c>
      <c r="Q28" s="707">
        <f t="shared" si="19"/>
        <v>352965.60000000003</v>
      </c>
      <c r="R28" s="706">
        <f>VLOOKUP("*"&amp;$B28&amp;"*",'S4 - Summ PRS Characteristics'!$C$13:$Q$20,12,FALSE)*$J28</f>
        <v>3046.5542683845297</v>
      </c>
      <c r="S28" s="706">
        <f t="shared" si="27"/>
        <v>3238.4457316154703</v>
      </c>
      <c r="T28" s="706">
        <f>IF($C28="other",(1-$C23)*R28,(1-(VLOOKUP($C28,'S3 - Screening Tool Metrics'!$C$3:$G$17,5,FALSE)/100))*R28)</f>
        <v>609.31085367690582</v>
      </c>
      <c r="U28" s="706">
        <f>IF($C28="other",$C23*R28,(VLOOKUP($C28,'S3 - Screening Tool Metrics'!$C$3:$G$17,5,FALSE)/100)*R28)</f>
        <v>2437.2434147076237</v>
      </c>
      <c r="V28" s="706">
        <f t="shared" si="20"/>
        <v>38.778733726453837</v>
      </c>
      <c r="W28" s="707">
        <f t="shared" si="21"/>
        <v>176482.80000000002</v>
      </c>
      <c r="X28" s="706">
        <f>VLOOKUP("*"&amp;$B28&amp;"*",'S4 - Summ PRS Characteristics'!$C$13:$Q$20,13,FALSE)*$J28</f>
        <v>1987.6438085664611</v>
      </c>
      <c r="Y28" s="706">
        <f t="shared" si="28"/>
        <v>4297.3561914335387</v>
      </c>
      <c r="Z28" s="706">
        <f>IF($C28="other",(1-$C23)*X28,(1-(VLOOKUP($C28,'S3 - Screening Tool Metrics'!$C$3:$G$17,5,FALSE)/100))*X28)</f>
        <v>397.52876171329211</v>
      </c>
      <c r="AA28" s="706">
        <f>IF($C28="other",$C23*X28,(VLOOKUP($C28,'S3 - Screening Tool Metrics'!$C$3:$G$17,5,FALSE)/100)*X28)</f>
        <v>1590.1150468531689</v>
      </c>
      <c r="AB28" s="709">
        <f t="shared" si="22"/>
        <v>25.300159854465694</v>
      </c>
      <c r="AC28" s="706">
        <f t="shared" si="23"/>
        <v>88241.400000000009</v>
      </c>
      <c r="AD28" s="706">
        <f>VLOOKUP("*"&amp;$B28&amp;"*",'S4 - Summ PRS Characteristics'!$C$13:$Q$20,14,FALSE)*$J28</f>
        <v>1257.2001414793413</v>
      </c>
      <c r="AE28" s="706">
        <f t="shared" si="30"/>
        <v>5027.7998585206587</v>
      </c>
      <c r="AF28" s="706">
        <f>IF($C28="other",(1-$C23)*AD28,(1-(VLOOKUP($C28,'S3 - Screening Tool Metrics'!$C$3:$G$17,5,FALSE)/100))*AD28)</f>
        <v>251.44002829586819</v>
      </c>
      <c r="AG28" s="706">
        <f>IF($C28="other",$C23*AD28,(VLOOKUP($C28,'S3 - Screening Tool Metrics'!$C$3:$G$17,5,FALSE)/100)*AD28)</f>
        <v>1005.7601131834731</v>
      </c>
      <c r="AH28" s="708">
        <f t="shared" si="24"/>
        <v>16.002547544685331</v>
      </c>
      <c r="AI28" s="707">
        <f t="shared" si="25"/>
        <v>17648.28</v>
      </c>
      <c r="AJ28" s="706">
        <f>VLOOKUP("*"&amp;$B28&amp;"*",'S4 - Summ PRS Characteristics'!$C$13:$Q$20,15,FALSE)*$J28</f>
        <v>401.48036304950494</v>
      </c>
      <c r="AK28" s="706">
        <f t="shared" si="29"/>
        <v>5883.5196369504947</v>
      </c>
      <c r="AL28" s="706">
        <f>IF($C28="other",(1-$C23)*AJ28,(1-(VLOOKUP($C28,'S3 - Screening Tool Metrics'!$C$3:$G$17,5,FALSE)/100))*AJ28)</f>
        <v>80.296072609900975</v>
      </c>
      <c r="AM28" s="706">
        <f>IF($C28="other",$C23*AJ28,(VLOOKUP($C28,'S3 - Screening Tool Metrics'!$C$3:$G$17,5,FALSE)/100)*AJ28)</f>
        <v>321.18429043960396</v>
      </c>
      <c r="AN28" s="709">
        <f t="shared" si="26"/>
        <v>5.1103307945839926</v>
      </c>
    </row>
    <row r="29" spans="2:40" x14ac:dyDescent="0.15">
      <c r="B29" s="700" t="s">
        <v>10</v>
      </c>
      <c r="C29" s="721" t="str">
        <f>$C24</f>
        <v>Other</v>
      </c>
      <c r="D29" s="552" t="s">
        <v>197</v>
      </c>
      <c r="E29" s="710">
        <f>VLOOKUP($B29&amp;"_"&amp;$D29,'App5 - CRUK Inci Rates'!C:H,6,FALSE)</f>
        <v>622.70000000000005</v>
      </c>
      <c r="F29" s="711">
        <f>VLOOKUP($B29&amp;"_"&amp;$D29,'App5 - CRUK Inci Rates'!C:H,3,FALSE)</f>
        <v>0</v>
      </c>
      <c r="G29" s="712">
        <f>VLOOKUP($B29&amp;"_"&amp;$D29,'App5 - CRUK Inci Rates'!C:J,8,FALSE)</f>
        <v>1696993.3333333333</v>
      </c>
      <c r="H29" s="713">
        <f>VLOOKUP($B29&amp;"_"&amp;$D29,'App5 - CRUK Inci Rates'!C:J,7,FALSE)</f>
        <v>1696993.3333333333</v>
      </c>
      <c r="I29" s="713">
        <f>VLOOKUP($B29&amp;"_"&amp;$D29,'App5 - CRUK Inci Rates'!C:J,4,FALSE)</f>
        <v>0</v>
      </c>
      <c r="J29" s="709">
        <f>VLOOKUP($B29&amp;"_"&amp;$D29,'App5 - CRUK Inci Rates'!C:K,9,FALSE)</f>
        <v>10568</v>
      </c>
      <c r="K29" s="706">
        <f t="shared" si="8"/>
        <v>848496.66666666663</v>
      </c>
      <c r="L29" s="706">
        <f>VLOOKUP("*"&amp;$B29&amp;"*",'S4 - Summ PRS Characteristics'!$C$13:$Q$20,11,FALSE)*$J29</f>
        <v>8339.3424834059988</v>
      </c>
      <c r="M29" s="706">
        <f t="shared" si="9"/>
        <v>2228.6575165940012</v>
      </c>
      <c r="N29" s="706">
        <f>IF($C29="other",(1-$C$7)*L29,(1-(VLOOKUP($C29,'S3 - Screening Tool Metrics'!$C$3:$G$17,5,FALSE)/100))*L29)</f>
        <v>1667.8684966811993</v>
      </c>
      <c r="O29" s="706">
        <f>IF($C29="other",$C$7*L29,(VLOOKUP($C29,'S3 - Screening Tool Metrics'!$C$3:$G$17,5,FALSE)/100)*L29)</f>
        <v>6671.473986724799</v>
      </c>
      <c r="P29" s="706">
        <f t="shared" si="10"/>
        <v>63.129011986419371</v>
      </c>
      <c r="Q29" s="707">
        <f t="shared" si="19"/>
        <v>339398.66666666669</v>
      </c>
      <c r="R29" s="706">
        <f>VLOOKUP("*"&amp;$B29&amp;"*",'S4 - Summ PRS Characteristics'!$C$13:$Q$20,12,FALSE)*$J29</f>
        <v>5122.6707252645519</v>
      </c>
      <c r="S29" s="706">
        <f t="shared" si="27"/>
        <v>5445.3292747354481</v>
      </c>
      <c r="T29" s="706">
        <f>IF($C29="other",(1-$C23)*R29,(1-(VLOOKUP($C29,'S3 - Screening Tool Metrics'!$C$3:$G$17,5,FALSE)/100))*R29)</f>
        <v>1024.5341450529102</v>
      </c>
      <c r="U29" s="706">
        <f>IF($C29="other",$C23*R29,(VLOOKUP($C29,'S3 - Screening Tool Metrics'!$C$3:$G$17,5,FALSE)/100)*R29)</f>
        <v>4098.1365802116416</v>
      </c>
      <c r="V29" s="706">
        <f t="shared" si="20"/>
        <v>38.778733726453837</v>
      </c>
      <c r="W29" s="707">
        <f t="shared" si="21"/>
        <v>169699.33333333334</v>
      </c>
      <c r="X29" s="706">
        <f>VLOOKUP("*"&amp;$B29&amp;"*",'S4 - Summ PRS Characteristics'!$C$13:$Q$20,13,FALSE)*$J29</f>
        <v>3342.1511167749181</v>
      </c>
      <c r="Y29" s="706">
        <f t="shared" si="28"/>
        <v>7225.8488832250823</v>
      </c>
      <c r="Z29" s="706">
        <f>IF($C29="other",(1-$C23)*X29,(1-(VLOOKUP($C29,'S3 - Screening Tool Metrics'!$C$3:$G$17,5,FALSE)/100))*X29)</f>
        <v>668.43022335498347</v>
      </c>
      <c r="AA29" s="706">
        <f>IF($C29="other",$C23*X29,(VLOOKUP($C29,'S3 - Screening Tool Metrics'!$C$3:$G$17,5,FALSE)/100)*X29)</f>
        <v>2673.7208934199348</v>
      </c>
      <c r="AB29" s="709">
        <f t="shared" si="22"/>
        <v>25.300159854465697</v>
      </c>
      <c r="AC29" s="706">
        <f t="shared" si="23"/>
        <v>84849.666666666672</v>
      </c>
      <c r="AD29" s="706">
        <f>VLOOKUP("*"&amp;$B29&amp;"*",'S4 - Summ PRS Characteristics'!$C$13:$Q$20,14,FALSE)*$J29</f>
        <v>2113.9365306529321</v>
      </c>
      <c r="AE29" s="706">
        <f t="shared" si="30"/>
        <v>8454.0634693470674</v>
      </c>
      <c r="AF29" s="706">
        <f>IF($C29="other",(1-$C23)*AD29,(1-(VLOOKUP($C29,'S3 - Screening Tool Metrics'!$C$3:$G$17,5,FALSE)/100))*AD29)</f>
        <v>422.78730613058633</v>
      </c>
      <c r="AG29" s="706">
        <f>IF($C29="other",$C23*AD29,(VLOOKUP($C29,'S3 - Screening Tool Metrics'!$C$3:$G$17,5,FALSE)/100)*AD29)</f>
        <v>1691.1492245223458</v>
      </c>
      <c r="AH29" s="708">
        <f t="shared" si="24"/>
        <v>16.002547544685331</v>
      </c>
      <c r="AI29" s="707">
        <f t="shared" si="25"/>
        <v>16969.933333333334</v>
      </c>
      <c r="AJ29" s="706">
        <f>VLOOKUP("*"&amp;$B29&amp;"*",'S4 - Summ PRS Characteristics'!$C$13:$Q$20,15,FALSE)*$J29</f>
        <v>675.07469796454541</v>
      </c>
      <c r="AK29" s="706">
        <f t="shared" si="29"/>
        <v>9892.9253020354554</v>
      </c>
      <c r="AL29" s="706">
        <f>IF($C29="other",(1-$C23)*AJ29,(1-(VLOOKUP($C29,'S3 - Screening Tool Metrics'!$C$3:$G$17,5,FALSE)/100))*AJ29)</f>
        <v>135.01493959290906</v>
      </c>
      <c r="AM29" s="706">
        <f>IF($C29="other",$C23*AJ29,(VLOOKUP($C29,'S3 - Screening Tool Metrics'!$C$3:$G$17,5,FALSE)/100)*AJ29)</f>
        <v>540.05975837163635</v>
      </c>
      <c r="AN29" s="709">
        <f t="shared" si="26"/>
        <v>5.1103307945839926</v>
      </c>
    </row>
    <row r="30" spans="2:40" x14ac:dyDescent="0.15">
      <c r="B30" s="700" t="s">
        <v>10</v>
      </c>
      <c r="C30" s="721" t="str">
        <f>$C24</f>
        <v>Other</v>
      </c>
      <c r="D30" s="552" t="s">
        <v>198</v>
      </c>
      <c r="E30" s="710">
        <f>VLOOKUP($B30&amp;"_"&amp;$D30,'App5 - CRUK Inci Rates'!C:H,6,FALSE)</f>
        <v>759.8</v>
      </c>
      <c r="F30" s="711">
        <f>VLOOKUP($B30&amp;"_"&amp;$D30,'App5 - CRUK Inci Rates'!C:H,3,FALSE)</f>
        <v>0</v>
      </c>
      <c r="G30" s="712">
        <f>VLOOKUP($B30&amp;"_"&amp;$D30,'App5 - CRUK Inci Rates'!C:J,8,FALSE)</f>
        <v>1467965</v>
      </c>
      <c r="H30" s="713">
        <f>VLOOKUP($B30&amp;"_"&amp;$D30,'App5 - CRUK Inci Rates'!C:J,7,FALSE)</f>
        <v>1467965</v>
      </c>
      <c r="I30" s="713">
        <f>VLOOKUP($B30&amp;"_"&amp;$D30,'App5 - CRUK Inci Rates'!C:J,4,FALSE)</f>
        <v>0</v>
      </c>
      <c r="J30" s="709">
        <f>VLOOKUP($B30&amp;"_"&amp;$D30,'App5 - CRUK Inci Rates'!C:K,9,FALSE)</f>
        <v>11153</v>
      </c>
      <c r="K30" s="706">
        <f t="shared" si="8"/>
        <v>733982.5</v>
      </c>
      <c r="L30" s="706">
        <f>VLOOKUP("*"&amp;$B30&amp;"*",'S4 - Summ PRS Characteristics'!$C$13:$Q$20,11,FALSE)*$J30</f>
        <v>8800.9733835566913</v>
      </c>
      <c r="M30" s="706">
        <f t="shared" si="9"/>
        <v>2352.0266164433087</v>
      </c>
      <c r="N30" s="706">
        <f>IF($C30="other",(1-$C$7)*L30,(1-(VLOOKUP($C30,'S3 - Screening Tool Metrics'!$C$3:$G$17,5,FALSE)/100))*L30)</f>
        <v>1760.1946767113379</v>
      </c>
      <c r="O30" s="706">
        <f>IF($C30="other",$C$7*L30,(VLOOKUP($C30,'S3 - Screening Tool Metrics'!$C$3:$G$17,5,FALSE)/100)*L30)</f>
        <v>7040.7787068453536</v>
      </c>
      <c r="P30" s="706">
        <f t="shared" si="10"/>
        <v>63.129011986419378</v>
      </c>
      <c r="Q30" s="707">
        <f t="shared" si="19"/>
        <v>293593</v>
      </c>
      <c r="R30" s="706">
        <f>VLOOKUP("*"&amp;$B30&amp;"*",'S4 - Summ PRS Characteristics'!$C$13:$Q$20,12,FALSE)*$J30</f>
        <v>5406.2402156392463</v>
      </c>
      <c r="S30" s="706">
        <f t="shared" si="27"/>
        <v>5746.7597843607537</v>
      </c>
      <c r="T30" s="706">
        <f>IF($C30="other",(1-$C23)*R30,(1-(VLOOKUP($C30,'S3 - Screening Tool Metrics'!$C$3:$G$17,5,FALSE)/100))*R30)</f>
        <v>1081.2480431278491</v>
      </c>
      <c r="U30" s="706">
        <f>IF($C30="other",$C23*R30,(VLOOKUP($C30,'S3 - Screening Tool Metrics'!$C$3:$G$17,5,FALSE)/100)*R30)</f>
        <v>4324.9921725113973</v>
      </c>
      <c r="V30" s="706">
        <f t="shared" si="20"/>
        <v>38.778733726453844</v>
      </c>
      <c r="W30" s="707">
        <f t="shared" si="21"/>
        <v>146796.5</v>
      </c>
      <c r="X30" s="706">
        <f>VLOOKUP("*"&amp;$B30&amp;"*",'S4 - Summ PRS Characteristics'!$C$13:$Q$20,13,FALSE)*$J30</f>
        <v>3527.1585357106983</v>
      </c>
      <c r="Y30" s="706">
        <f t="shared" si="28"/>
        <v>7625.8414642893022</v>
      </c>
      <c r="Z30" s="706">
        <f>IF($C30="other",(1-$C23)*X30,(1-(VLOOKUP($C30,'S3 - Screening Tool Metrics'!$C$3:$G$17,5,FALSE)/100))*X30)</f>
        <v>705.43170714213954</v>
      </c>
      <c r="AA30" s="706">
        <f>IF($C30="other",$C23*X30,(VLOOKUP($C30,'S3 - Screening Tool Metrics'!$C$3:$G$17,5,FALSE)/100)*X30)</f>
        <v>2821.7268285685586</v>
      </c>
      <c r="AB30" s="709">
        <f t="shared" si="22"/>
        <v>25.300159854465694</v>
      </c>
      <c r="AC30" s="706">
        <f t="shared" si="23"/>
        <v>73398.25</v>
      </c>
      <c r="AD30" s="706">
        <f>VLOOKUP("*"&amp;$B30&amp;"*",'S4 - Summ PRS Characteristics'!$C$13:$Q$20,14,FALSE)*$J30</f>
        <v>2230.9551595734438</v>
      </c>
      <c r="AE30" s="706">
        <f t="shared" si="30"/>
        <v>8922.0448404265553</v>
      </c>
      <c r="AF30" s="706">
        <f>IF($C30="other",(1-$C23)*AD30,(1-(VLOOKUP($C30,'S3 - Screening Tool Metrics'!$C$3:$G$17,5,FALSE)/100))*AD30)</f>
        <v>446.19103191468866</v>
      </c>
      <c r="AG30" s="706">
        <f>IF($C30="other",$C23*AD30,(VLOOKUP($C30,'S3 - Screening Tool Metrics'!$C$3:$G$17,5,FALSE)/100)*AD30)</f>
        <v>1784.7641276587551</v>
      </c>
      <c r="AH30" s="708">
        <f t="shared" si="24"/>
        <v>16.002547544685335</v>
      </c>
      <c r="AI30" s="707">
        <f t="shared" si="25"/>
        <v>14679.65</v>
      </c>
      <c r="AJ30" s="706">
        <f>VLOOKUP("*"&amp;$B30&amp;"*",'S4 - Summ PRS Characteristics'!$C$13:$Q$20,15,FALSE)*$J30</f>
        <v>712.4439918999409</v>
      </c>
      <c r="AK30" s="706">
        <f t="shared" si="29"/>
        <v>10440.556008100059</v>
      </c>
      <c r="AL30" s="706">
        <f>IF($C30="other",(1-$C23)*AJ30,(1-(VLOOKUP($C30,'S3 - Screening Tool Metrics'!$C$3:$G$17,5,FALSE)/100))*AJ30)</f>
        <v>142.48879837998814</v>
      </c>
      <c r="AM30" s="706">
        <f>IF($C30="other",$C23*AJ30,(VLOOKUP($C30,'S3 - Screening Tool Metrics'!$C$3:$G$17,5,FALSE)/100)*AJ30)</f>
        <v>569.95519351995279</v>
      </c>
      <c r="AN30" s="709">
        <f t="shared" si="26"/>
        <v>5.1103307945839935</v>
      </c>
    </row>
    <row r="31" spans="2:40" x14ac:dyDescent="0.15">
      <c r="B31" s="700" t="s">
        <v>10</v>
      </c>
      <c r="C31" s="721" t="str">
        <f>$C24</f>
        <v>Other</v>
      </c>
      <c r="D31" s="552" t="s">
        <v>199</v>
      </c>
      <c r="E31" s="710">
        <f>VLOOKUP($B31&amp;"_"&amp;$D31,'App5 - CRUK Inci Rates'!C:H,6,FALSE)</f>
        <v>867.2</v>
      </c>
      <c r="F31" s="711">
        <f>VLOOKUP($B31&amp;"_"&amp;$D31,'App5 - CRUK Inci Rates'!C:H,3,FALSE)</f>
        <v>0</v>
      </c>
      <c r="G31" s="712">
        <f>VLOOKUP($B31&amp;"_"&amp;$D31,'App5 - CRUK Inci Rates'!C:J,8,FALSE)</f>
        <v>1007365.3333333334</v>
      </c>
      <c r="H31" s="713">
        <f>VLOOKUP($B31&amp;"_"&amp;$D31,'App5 - CRUK Inci Rates'!C:J,7,FALSE)</f>
        <v>1007365.3333333334</v>
      </c>
      <c r="I31" s="713">
        <f>VLOOKUP($B31&amp;"_"&amp;$D31,'App5 - CRUK Inci Rates'!C:J,4,FALSE)</f>
        <v>0</v>
      </c>
      <c r="J31" s="709">
        <f>VLOOKUP($B31&amp;"_"&amp;$D31,'App5 - CRUK Inci Rates'!C:K,9,FALSE)</f>
        <v>8736</v>
      </c>
      <c r="K31" s="706">
        <f t="shared" si="8"/>
        <v>503682.66666666669</v>
      </c>
      <c r="L31" s="706">
        <f>VLOOKUP("*"&amp;$B31&amp;"*",'S4 - Summ PRS Characteristics'!$C$13:$Q$20,11,FALSE)*$J31</f>
        <v>6893.6881089169956</v>
      </c>
      <c r="M31" s="706">
        <f t="shared" si="9"/>
        <v>1842.3118910830044</v>
      </c>
      <c r="N31" s="706">
        <f>IF($C31="other",(1-$C$7)*L31,(1-(VLOOKUP($C31,'S3 - Screening Tool Metrics'!$C$3:$G$17,5,FALSE)/100))*L31)</f>
        <v>1378.7376217833987</v>
      </c>
      <c r="O31" s="706">
        <f>IF($C31="other",$C$7*L31,(VLOOKUP($C31,'S3 - Screening Tool Metrics'!$C$3:$G$17,5,FALSE)/100)*L31)</f>
        <v>5514.9504871335967</v>
      </c>
      <c r="P31" s="706">
        <f t="shared" si="10"/>
        <v>63.129011986419378</v>
      </c>
      <c r="Q31" s="707">
        <f t="shared" si="19"/>
        <v>201473.06666666668</v>
      </c>
      <c r="R31" s="706">
        <f>VLOOKUP("*"&amp;$B31&amp;"*",'S4 - Summ PRS Characteristics'!$C$13:$Q$20,12,FALSE)*$J31</f>
        <v>4234.6377229287591</v>
      </c>
      <c r="S31" s="706">
        <f t="shared" si="27"/>
        <v>4501.3622770712409</v>
      </c>
      <c r="T31" s="706">
        <f>IF($C31="other",(1-$C23)*R31,(1-(VLOOKUP($C31,'S3 - Screening Tool Metrics'!$C$3:$G$17,5,FALSE)/100))*R31)</f>
        <v>846.92754458575166</v>
      </c>
      <c r="U31" s="706">
        <f>IF($C31="other",$C23*R31,(VLOOKUP($C31,'S3 - Screening Tool Metrics'!$C$3:$G$17,5,FALSE)/100)*R31)</f>
        <v>3387.7101783430076</v>
      </c>
      <c r="V31" s="706">
        <f t="shared" si="20"/>
        <v>38.778733726453837</v>
      </c>
      <c r="W31" s="707">
        <f t="shared" si="21"/>
        <v>100736.53333333334</v>
      </c>
      <c r="X31" s="706">
        <f>VLOOKUP("*"&amp;$B31&amp;"*",'S4 - Summ PRS Characteristics'!$C$13:$Q$20,13,FALSE)*$J31</f>
        <v>2762.777456107654</v>
      </c>
      <c r="Y31" s="706">
        <f t="shared" si="28"/>
        <v>5973.222543892346</v>
      </c>
      <c r="Z31" s="706">
        <f>IF($C31="other",(1-$C23)*X31,(1-(VLOOKUP($C31,'S3 - Screening Tool Metrics'!$C$3:$G$17,5,FALSE)/100))*X31)</f>
        <v>552.5554912215307</v>
      </c>
      <c r="AA31" s="706">
        <f>IF($C31="other",$C23*X31,(VLOOKUP($C31,'S3 - Screening Tool Metrics'!$C$3:$G$17,5,FALSE)/100)*X31)</f>
        <v>2210.2219648861233</v>
      </c>
      <c r="AB31" s="709">
        <f t="shared" si="22"/>
        <v>25.300159854465697</v>
      </c>
      <c r="AC31" s="706">
        <f t="shared" si="23"/>
        <v>50368.26666666667</v>
      </c>
      <c r="AD31" s="706">
        <f>VLOOKUP("*"&amp;$B31&amp;"*",'S4 - Summ PRS Characteristics'!$C$13:$Q$20,14,FALSE)*$J31</f>
        <v>1747.4781918796382</v>
      </c>
      <c r="AE31" s="706">
        <f t="shared" si="30"/>
        <v>6988.521808120362</v>
      </c>
      <c r="AF31" s="706">
        <f>IF($C31="other",(1-$C23)*AD31,(1-(VLOOKUP($C31,'S3 - Screening Tool Metrics'!$C$3:$G$17,5,FALSE)/100))*AD31)</f>
        <v>349.49563837592757</v>
      </c>
      <c r="AG31" s="706">
        <f>IF($C31="other",$C23*AD31,(VLOOKUP($C31,'S3 - Screening Tool Metrics'!$C$3:$G$17,5,FALSE)/100)*AD31)</f>
        <v>1397.9825535037107</v>
      </c>
      <c r="AH31" s="708">
        <f t="shared" si="24"/>
        <v>16.002547544685335</v>
      </c>
      <c r="AI31" s="707">
        <f t="shared" si="25"/>
        <v>10073.653333333334</v>
      </c>
      <c r="AJ31" s="706">
        <f>VLOOKUP("*"&amp;$B31&amp;"*",'S4 - Summ PRS Characteristics'!$C$13:$Q$20,15,FALSE)*$J31</f>
        <v>558.04812276857194</v>
      </c>
      <c r="AK31" s="706">
        <f t="shared" si="29"/>
        <v>8177.9518772314277</v>
      </c>
      <c r="AL31" s="706">
        <f>IF($C31="other",(1-$C23)*AJ31,(1-(VLOOKUP($C31,'S3 - Screening Tool Metrics'!$C$3:$G$17,5,FALSE)/100))*AJ31)</f>
        <v>111.60962455371437</v>
      </c>
      <c r="AM31" s="706">
        <f>IF($C31="other",$C23*AJ31,(VLOOKUP($C31,'S3 - Screening Tool Metrics'!$C$3:$G$17,5,FALSE)/100)*AJ31)</f>
        <v>446.43849821485759</v>
      </c>
      <c r="AN31" s="709">
        <f t="shared" si="26"/>
        <v>5.1103307945839926</v>
      </c>
    </row>
    <row r="32" spans="2:40" x14ac:dyDescent="0.15">
      <c r="B32" s="700" t="s">
        <v>10</v>
      </c>
      <c r="C32" s="721" t="str">
        <f>$C24</f>
        <v>Other</v>
      </c>
      <c r="D32" s="552" t="s">
        <v>200</v>
      </c>
      <c r="E32" s="710">
        <f>VLOOKUP($B32&amp;"_"&amp;$D32,'App5 - CRUK Inci Rates'!C:H,6,FALSE)</f>
        <v>192.70856538388753</v>
      </c>
      <c r="F32" s="711">
        <f>VLOOKUP($B32&amp;"_"&amp;$D32,'App5 - CRUK Inci Rates'!C:H,3,FALSE)</f>
        <v>0</v>
      </c>
      <c r="G32" s="712">
        <f>VLOOKUP($B32&amp;"_"&amp;$D32,'App5 - CRUK Inci Rates'!C:J,8,FALSE)</f>
        <v>12090277.333333334</v>
      </c>
      <c r="H32" s="713">
        <f>VLOOKUP($B32&amp;"_"&amp;$D32,'App5 - CRUK Inci Rates'!C:J,7,FALSE)</f>
        <v>12090277.333333334</v>
      </c>
      <c r="I32" s="713">
        <f>VLOOKUP($B32&amp;"_"&amp;$D32,'App5 - CRUK Inci Rates'!C:J,4,FALSE)</f>
        <v>0</v>
      </c>
      <c r="J32" s="709">
        <f>VLOOKUP($B32&amp;"_"&amp;$D32,'App5 - CRUK Inci Rates'!C:K,9,FALSE)</f>
        <v>23299</v>
      </c>
      <c r="K32" s="706">
        <f t="shared" si="8"/>
        <v>6045138.666666667</v>
      </c>
      <c r="L32" s="706">
        <f>VLOOKUP("*"&amp;$B32&amp;"*",'S4 - Summ PRS Characteristics'!$C$13:$Q$20,11,FALSE)*$J32</f>
        <v>18385.535628394813</v>
      </c>
      <c r="M32" s="706">
        <f t="shared" si="9"/>
        <v>4913.4643716051869</v>
      </c>
      <c r="N32" s="706">
        <f>IF($C32="other",(1-$C$7)*L32,(1-(VLOOKUP($C32,'S3 - Screening Tool Metrics'!$C$3:$G$17,5,FALSE)/100))*L32)</f>
        <v>3677.1071256789619</v>
      </c>
      <c r="O32" s="706">
        <f>IF($C32="other",$C$7*L32,(VLOOKUP($C32,'S3 - Screening Tool Metrics'!$C$3:$G$17,5,FALSE)/100)*L32)</f>
        <v>14708.428502715851</v>
      </c>
      <c r="P32" s="706">
        <f t="shared" si="10"/>
        <v>63.129011986419378</v>
      </c>
      <c r="Q32" s="707">
        <f t="shared" si="19"/>
        <v>2418055.4666666668</v>
      </c>
      <c r="R32" s="706">
        <f>VLOOKUP("*"&amp;$B32&amp;"*",'S4 - Summ PRS Characteristics'!$C$13:$Q$20,12,FALSE)*$J32</f>
        <v>11293.8214636581</v>
      </c>
      <c r="S32" s="706">
        <f t="shared" si="27"/>
        <v>12005.1785363419</v>
      </c>
      <c r="T32" s="706">
        <f>IF($C32="other",(1-$C23)*R32,(1-(VLOOKUP($C32,'S3 - Screening Tool Metrics'!$C$3:$G$17,5,FALSE)/100))*R32)</f>
        <v>2258.7642927316192</v>
      </c>
      <c r="U32" s="706">
        <f>IF($C32="other",$C23*R32,(VLOOKUP($C32,'S3 - Screening Tool Metrics'!$C$3:$G$17,5,FALSE)/100)*R32)</f>
        <v>9035.0571709264805</v>
      </c>
      <c r="V32" s="706">
        <f t="shared" si="20"/>
        <v>38.778733726453837</v>
      </c>
      <c r="W32" s="707">
        <f t="shared" si="21"/>
        <v>1209027.7333333334</v>
      </c>
      <c r="X32" s="706">
        <f>VLOOKUP("*"&amp;$B32&amp;"*",'S4 - Summ PRS Characteristics'!$C$13:$Q$20,13,FALSE)*$J32</f>
        <v>7368.3553056149522</v>
      </c>
      <c r="Y32" s="706">
        <f t="shared" si="28"/>
        <v>15930.644694385048</v>
      </c>
      <c r="Z32" s="706">
        <f>IF($C32="other",(1-$C23)*X32,(1-(VLOOKUP($C32,'S3 - Screening Tool Metrics'!$C$3:$G$17,5,FALSE)/100))*X32)</f>
        <v>1473.6710611229901</v>
      </c>
      <c r="AA32" s="706">
        <f>IF($C32="other",$C23*X32,(VLOOKUP($C32,'S3 - Screening Tool Metrics'!$C$3:$G$17,5,FALSE)/100)*X32)</f>
        <v>5894.6842444919621</v>
      </c>
      <c r="AB32" s="709">
        <f t="shared" si="22"/>
        <v>25.300159854465694</v>
      </c>
      <c r="AC32" s="706">
        <f t="shared" si="23"/>
        <v>604513.8666666667</v>
      </c>
      <c r="AD32" s="706">
        <f>VLOOKUP("*"&amp;$B32&amp;"*",'S4 - Summ PRS Characteristics'!$C$13:$Q$20,14,FALSE)*$J32</f>
        <v>4660.541940545294</v>
      </c>
      <c r="AE32" s="706">
        <f t="shared" si="30"/>
        <v>18638.458059454708</v>
      </c>
      <c r="AF32" s="706">
        <f>IF($C32="other",(1-$C23)*AD32,(1-(VLOOKUP($C32,'S3 - Screening Tool Metrics'!$C$3:$G$17,5,FALSE)/100))*AD32)</f>
        <v>932.10838810905864</v>
      </c>
      <c r="AG32" s="706">
        <f>IF($C32="other",$C23*AD32,(VLOOKUP($C32,'S3 - Screening Tool Metrics'!$C$3:$G$17,5,FALSE)/100)*AD32)</f>
        <v>3728.4335524362355</v>
      </c>
      <c r="AH32" s="708">
        <f t="shared" si="24"/>
        <v>16.002547544685331</v>
      </c>
      <c r="AI32" s="707">
        <f t="shared" si="25"/>
        <v>120902.77333333335</v>
      </c>
      <c r="AJ32" s="706">
        <f>VLOOKUP("*"&amp;$B32&amp;"*",'S4 - Summ PRS Characteristics'!$C$13:$Q$20,15,FALSE)*$J32</f>
        <v>1488.3199647876556</v>
      </c>
      <c r="AK32" s="706">
        <f t="shared" si="29"/>
        <v>21810.680035212343</v>
      </c>
      <c r="AL32" s="706">
        <f>IF($C32="other",(1-$C23)*AJ32,(1-(VLOOKUP($C32,'S3 - Screening Tool Metrics'!$C$3:$G$17,5,FALSE)/100))*AJ32)</f>
        <v>297.66399295753104</v>
      </c>
      <c r="AM32" s="706">
        <f>IF($C32="other",$C23*AJ32,(VLOOKUP($C32,'S3 - Screening Tool Metrics'!$C$3:$G$17,5,FALSE)/100)*AJ32)</f>
        <v>1190.6559718301246</v>
      </c>
      <c r="AN32" s="709">
        <f t="shared" si="26"/>
        <v>5.1103307945839935</v>
      </c>
    </row>
    <row r="33" spans="2:40" x14ac:dyDescent="0.15">
      <c r="B33" s="700" t="s">
        <v>10</v>
      </c>
      <c r="C33" s="721" t="str">
        <f>$C24</f>
        <v>Other</v>
      </c>
      <c r="D33" s="552" t="s">
        <v>201</v>
      </c>
      <c r="E33" s="710">
        <f>VLOOKUP($B33&amp;"_"&amp;$D33,'App5 - CRUK Inci Rates'!C:H,6,FALSE)</f>
        <v>12.847921640003264</v>
      </c>
      <c r="F33" s="711">
        <f>VLOOKUP($B33&amp;"_"&amp;$D33,'App5 - CRUK Inci Rates'!C:H,3,FALSE)</f>
        <v>0</v>
      </c>
      <c r="G33" s="712">
        <f>VLOOKUP($B33&amp;"_"&amp;$D33,'App5 - CRUK Inci Rates'!C:J,8,FALSE)</f>
        <v>4273064.666666667</v>
      </c>
      <c r="H33" s="713">
        <f>VLOOKUP($B33&amp;"_"&amp;$D33,'App5 - CRUK Inci Rates'!C:J,7,FALSE)</f>
        <v>4273064.666666667</v>
      </c>
      <c r="I33" s="713">
        <f>VLOOKUP($B33&amp;"_"&amp;$D33,'App5 - CRUK Inci Rates'!C:J,4,FALSE)</f>
        <v>0</v>
      </c>
      <c r="J33" s="709">
        <f>VLOOKUP($B33&amp;"_"&amp;$D33,'App5 - CRUK Inci Rates'!C:K,9,FALSE)</f>
        <v>549</v>
      </c>
      <c r="K33" s="706">
        <f t="shared" si="8"/>
        <v>2136532.3333333335</v>
      </c>
      <c r="L33" s="706">
        <f>VLOOKUP("*"&amp;$B33&amp;"*",'S4 - Summ PRS Characteristics'!$C$13:$Q$20,11,FALSE)*$J33</f>
        <v>433.222844756803</v>
      </c>
      <c r="M33" s="706">
        <f t="shared" si="9"/>
        <v>115.777155243197</v>
      </c>
      <c r="N33" s="706">
        <f>IF($C33="other",(1-$C$7)*L33,(1-(VLOOKUP($C33,'S3 - Screening Tool Metrics'!$C$3:$G$17,5,FALSE)/100))*L33)</f>
        <v>86.644568951360583</v>
      </c>
      <c r="O33" s="706">
        <f>IF($C33="other",$C$7*L33,(VLOOKUP($C33,'S3 - Screening Tool Metrics'!$C$3:$G$17,5,FALSE)/100)*L33)</f>
        <v>346.57827580544244</v>
      </c>
      <c r="P33" s="706">
        <f t="shared" si="10"/>
        <v>63.129011986419393</v>
      </c>
      <c r="Q33" s="707">
        <f t="shared" si="19"/>
        <v>854612.93333333347</v>
      </c>
      <c r="R33" s="706">
        <f>VLOOKUP("*"&amp;$B33&amp;"*",'S4 - Summ PRS Characteristics'!$C$13:$Q$20,12,FALSE)*$J33</f>
        <v>266.11906019778945</v>
      </c>
      <c r="S33" s="706">
        <f t="shared" si="27"/>
        <v>282.88093980221055</v>
      </c>
      <c r="T33" s="706">
        <f>IF($C33="other",(1-$C23)*R33,(1-(VLOOKUP($C33,'S3 - Screening Tool Metrics'!$C$3:$G$17,5,FALSE)/100))*R33)</f>
        <v>53.223812039557878</v>
      </c>
      <c r="U33" s="706">
        <f>IF($C33="other",$C23*R33,(VLOOKUP($C33,'S3 - Screening Tool Metrics'!$C$3:$G$17,5,FALSE)/100)*R33)</f>
        <v>212.89524815823157</v>
      </c>
      <c r="V33" s="706">
        <f t="shared" si="20"/>
        <v>38.778733726453837</v>
      </c>
      <c r="W33" s="707">
        <f t="shared" si="21"/>
        <v>427306.46666666673</v>
      </c>
      <c r="X33" s="706">
        <f>VLOOKUP("*"&amp;$B33&amp;"*",'S4 - Summ PRS Characteristics'!$C$13:$Q$20,13,FALSE)*$J33</f>
        <v>173.62234700127081</v>
      </c>
      <c r="Y33" s="706">
        <f t="shared" si="28"/>
        <v>375.37765299872922</v>
      </c>
      <c r="Z33" s="706">
        <f>IF($C33="other",(1-$C23)*X33,(1-(VLOOKUP($C33,'S3 - Screening Tool Metrics'!$C$3:$G$17,5,FALSE)/100))*X33)</f>
        <v>34.724469400254158</v>
      </c>
      <c r="AA33" s="706">
        <f>IF($C33="other",$C23*X33,(VLOOKUP($C33,'S3 - Screening Tool Metrics'!$C$3:$G$17,5,FALSE)/100)*X33)</f>
        <v>138.89787760101666</v>
      </c>
      <c r="AB33" s="709">
        <f t="shared" si="22"/>
        <v>25.300159854465694</v>
      </c>
      <c r="AC33" s="706">
        <f t="shared" si="23"/>
        <v>213653.23333333337</v>
      </c>
      <c r="AD33" s="706">
        <f>VLOOKUP("*"&amp;$B33&amp;"*",'S4 - Summ PRS Characteristics'!$C$13:$Q$20,14,FALSE)*$J33</f>
        <v>109.81748252540308</v>
      </c>
      <c r="AE33" s="706">
        <f t="shared" si="30"/>
        <v>439.18251747459692</v>
      </c>
      <c r="AF33" s="706">
        <f>IF($C33="other",(1-$C23)*AD33,(1-(VLOOKUP($C33,'S3 - Screening Tool Metrics'!$C$3:$G$17,5,FALSE)/100))*AD33)</f>
        <v>21.963496505080609</v>
      </c>
      <c r="AG33" s="706">
        <f>IF($C33="other",$C23*AD33,(VLOOKUP($C33,'S3 - Screening Tool Metrics'!$C$3:$G$17,5,FALSE)/100)*AD33)</f>
        <v>87.853986020322466</v>
      </c>
      <c r="AH33" s="708">
        <f t="shared" si="24"/>
        <v>16.002547544685331</v>
      </c>
      <c r="AI33" s="707">
        <f t="shared" si="25"/>
        <v>42730.646666666667</v>
      </c>
      <c r="AJ33" s="706">
        <f>VLOOKUP("*"&amp;$B33&amp;"*",'S4 - Summ PRS Characteristics'!$C$13:$Q$20,15,FALSE)*$J33</f>
        <v>35.069645077832647</v>
      </c>
      <c r="AK33" s="706">
        <f t="shared" si="29"/>
        <v>513.93035492216734</v>
      </c>
      <c r="AL33" s="706">
        <f>IF($C33="other",(1-$C23)*AJ33,(1-(VLOOKUP($C33,'S3 - Screening Tool Metrics'!$C$3:$G$17,5,FALSE)/100))*AJ33)</f>
        <v>7.0139290155665277</v>
      </c>
      <c r="AM33" s="706">
        <f>IF($C33="other",$C23*AJ33,(VLOOKUP($C33,'S3 - Screening Tool Metrics'!$C$3:$G$17,5,FALSE)/100)*AJ33)</f>
        <v>28.055716062266118</v>
      </c>
      <c r="AN33" s="709">
        <f t="shared" si="26"/>
        <v>5.1103307945839918</v>
      </c>
    </row>
    <row r="34" spans="2:40" x14ac:dyDescent="0.15">
      <c r="B34" s="700" t="s">
        <v>10</v>
      </c>
      <c r="C34" s="721" t="str">
        <f>$C24</f>
        <v>Other</v>
      </c>
      <c r="D34" s="552" t="s">
        <v>202</v>
      </c>
      <c r="E34" s="710">
        <f>VLOOKUP($B34&amp;"_"&amp;$D34,'App5 - CRUK Inci Rates'!C:H,6,FALSE)</f>
        <v>135.39541108208113</v>
      </c>
      <c r="F34" s="711">
        <f>VLOOKUP($B34&amp;"_"&amp;$D34,'App5 - CRUK Inci Rates'!C:H,3,FALSE)</f>
        <v>0</v>
      </c>
      <c r="G34" s="712">
        <f>VLOOKUP($B34&amp;"_"&amp;$D34,'App5 - CRUK Inci Rates'!C:J,8,FALSE)</f>
        <v>4355391.333333333</v>
      </c>
      <c r="H34" s="713">
        <f>VLOOKUP($B34&amp;"_"&amp;$D34,'App5 - CRUK Inci Rates'!C:J,7,FALSE)</f>
        <v>4355391.333333333</v>
      </c>
      <c r="I34" s="713">
        <f>VLOOKUP($B34&amp;"_"&amp;$D34,'App5 - CRUK Inci Rates'!C:J,4,FALSE)</f>
        <v>0</v>
      </c>
      <c r="J34" s="709">
        <f>VLOOKUP($B34&amp;"_"&amp;$D34,'App5 - CRUK Inci Rates'!C:K,9,FALSE)</f>
        <v>5897</v>
      </c>
      <c r="K34" s="706">
        <f t="shared" si="8"/>
        <v>2177695.6666666665</v>
      </c>
      <c r="L34" s="706">
        <f>VLOOKUP("*"&amp;$B34&amp;"*",'S4 - Summ PRS Characteristics'!$C$13:$Q$20,11,FALSE)*$J34</f>
        <v>4653.3972960489382</v>
      </c>
      <c r="M34" s="706">
        <f t="shared" si="9"/>
        <v>1243.6027039510618</v>
      </c>
      <c r="N34" s="706">
        <f>IF($C34="other",(1-$C$7)*L34,(1-(VLOOKUP($C34,'S3 - Screening Tool Metrics'!$C$3:$G$17,5,FALSE)/100))*L34)</f>
        <v>930.67945920978741</v>
      </c>
      <c r="O34" s="706">
        <f>IF($C34="other",$C$7*L34,(VLOOKUP($C34,'S3 - Screening Tool Metrics'!$C$3:$G$17,5,FALSE)/100)*L34)</f>
        <v>3722.7178368391506</v>
      </c>
      <c r="P34" s="706">
        <f t="shared" si="10"/>
        <v>63.129011986419371</v>
      </c>
      <c r="Q34" s="707">
        <f t="shared" si="19"/>
        <v>871078.2666666666</v>
      </c>
      <c r="R34" s="706">
        <f>VLOOKUP("*"&amp;$B34&amp;"*",'S4 - Summ PRS Characteristics'!$C$13:$Q$20,12,FALSE)*$J34</f>
        <v>2858.4774098112289</v>
      </c>
      <c r="S34" s="706">
        <f t="shared" si="27"/>
        <v>3038.5225901887711</v>
      </c>
      <c r="T34" s="706">
        <f>IF($C34="other",(1-$C$23)*R34,(1-(VLOOKUP($C34,'S3 - Screening Tool Metrics'!$C$3:$G$17,5,FALSE)/100))*R34)</f>
        <v>571.69548196224559</v>
      </c>
      <c r="U34" s="706">
        <f>IF($C34="other",$C$23*R34,(VLOOKUP($C34,'S3 - Screening Tool Metrics'!$C$3:$G$17,5,FALSE)/100)*R34)</f>
        <v>2286.7819278489833</v>
      </c>
      <c r="V34" s="706">
        <f t="shared" si="20"/>
        <v>38.778733726453844</v>
      </c>
      <c r="W34" s="707">
        <f t="shared" si="21"/>
        <v>435539.1333333333</v>
      </c>
      <c r="X34" s="706">
        <f>VLOOKUP("*"&amp;$B34&amp;"*",'S4 - Summ PRS Characteristics'!$C$13:$Q$20,13,FALSE)*$J34</f>
        <v>1864.9380332723024</v>
      </c>
      <c r="Y34" s="706">
        <f t="shared" si="28"/>
        <v>4032.0619667276978</v>
      </c>
      <c r="Z34" s="706">
        <f>IF($C34="other",(1-$C$23)*X34,(1-(VLOOKUP($C34,'S3 - Screening Tool Metrics'!$C$3:$G$17,5,FALSE)/100))*X34)</f>
        <v>372.98760665446042</v>
      </c>
      <c r="AA34" s="706">
        <f>IF($C34="other",$C$23*X34,(VLOOKUP($C34,'S3 - Screening Tool Metrics'!$C$3:$G$17,5,FALSE)/100)*X34)</f>
        <v>1491.9504266178419</v>
      </c>
      <c r="AB34" s="709">
        <f t="shared" si="22"/>
        <v>25.300159854465694</v>
      </c>
      <c r="AC34" s="706">
        <f t="shared" si="23"/>
        <v>217769.56666666665</v>
      </c>
      <c r="AD34" s="706">
        <f>VLOOKUP("*"&amp;$B34&amp;"*",'S4 - Summ PRS Characteristics'!$C$13:$Q$20,14,FALSE)*$J34</f>
        <v>1179.5877858876174</v>
      </c>
      <c r="AE34" s="706">
        <f t="shared" si="30"/>
        <v>4717.4122141123826</v>
      </c>
      <c r="AF34" s="706">
        <f>IF($C34="other",(1-$C$23)*AD34,(1-(VLOOKUP($C34,'S3 - Screening Tool Metrics'!$C$3:$G$17,5,FALSE)/100))*AD34)</f>
        <v>235.91755717752343</v>
      </c>
      <c r="AG34" s="706">
        <f>IF($C34="other",$C$23*AD34,(VLOOKUP($C34,'S3 - Screening Tool Metrics'!$C$3:$G$17,5,FALSE)/100)*AD34)</f>
        <v>943.67022871009397</v>
      </c>
      <c r="AH34" s="708">
        <f t="shared" si="24"/>
        <v>16.002547544685331</v>
      </c>
      <c r="AI34" s="707">
        <f t="shared" si="25"/>
        <v>43553.91333333333</v>
      </c>
      <c r="AJ34" s="706">
        <f>VLOOKUP("*"&amp;$B34&amp;"*",'S4 - Summ PRS Characteristics'!$C$13:$Q$20,15,FALSE)*$J34</f>
        <v>376.69525869577257</v>
      </c>
      <c r="AK34" s="706">
        <f t="shared" si="29"/>
        <v>5520.3047413042277</v>
      </c>
      <c r="AL34" s="706">
        <f>IF($C34="other",(1-$C$23)*AJ34,(1-(VLOOKUP($C34,'S3 - Screening Tool Metrics'!$C$3:$G$17,5,FALSE)/100))*AJ34)</f>
        <v>75.339051739154499</v>
      </c>
      <c r="AM34" s="706">
        <f>IF($C34="other",$C$23*AJ34,(VLOOKUP($C34,'S3 - Screening Tool Metrics'!$C$3:$G$17,5,FALSE)/100)*AJ34)</f>
        <v>301.35620695661805</v>
      </c>
      <c r="AN34" s="709">
        <f t="shared" si="26"/>
        <v>5.1103307945839926</v>
      </c>
    </row>
    <row r="35" spans="2:40" x14ac:dyDescent="0.15">
      <c r="B35" s="700" t="s">
        <v>10</v>
      </c>
      <c r="C35" s="721" t="str">
        <f t="shared" ref="C35:C36" si="31">$C25</f>
        <v>Other</v>
      </c>
      <c r="D35" s="552" t="s">
        <v>272</v>
      </c>
      <c r="E35" s="710">
        <f>VLOOKUP($B35&amp;"_"&amp;$D35,'App5 - CRUK Inci Rates'!C:H,6,FALSE)</f>
        <v>486.82466185429951</v>
      </c>
      <c r="F35" s="711">
        <f>VLOOKUP($B35&amp;"_"&amp;$D35,'App5 - CRUK Inci Rates'!C:H,3,FALSE)</f>
        <v>0</v>
      </c>
      <c r="G35" s="712">
        <f>VLOOKUP($B35&amp;"_"&amp;$D35,'App5 - CRUK Inci Rates'!C:J,8,FALSE)</f>
        <v>3461821.333333333</v>
      </c>
      <c r="H35" s="713">
        <f>VLOOKUP($B35&amp;"_"&amp;$D35,'App5 - CRUK Inci Rates'!C:J,7,FALSE)</f>
        <v>3461821.333333333</v>
      </c>
      <c r="I35" s="713">
        <f>VLOOKUP($B35&amp;"_"&amp;$D35,'App5 - CRUK Inci Rates'!C:J,4,FALSE)</f>
        <v>0</v>
      </c>
      <c r="J35" s="709">
        <f>VLOOKUP($B35&amp;"_"&amp;$D35,'App5 - CRUK Inci Rates'!C:K,9,FALSE)</f>
        <v>16853</v>
      </c>
      <c r="K35" s="706">
        <f t="shared" si="8"/>
        <v>1730910.6666666665</v>
      </c>
      <c r="L35" s="706">
        <f>VLOOKUP("*"&amp;$B35&amp;"*",'S4 - Summ PRS Characteristics'!$C$13:$Q$20,11,FALSE)*$J35</f>
        <v>13298.915487589073</v>
      </c>
      <c r="M35" s="706">
        <f t="shared" si="9"/>
        <v>3554.0845124109273</v>
      </c>
      <c r="N35" s="706">
        <f>IF($C35="other",(1-$C$7)*L35,(1-(VLOOKUP($C35,'S3 - Screening Tool Metrics'!$C$3:$G$17,5,FALSE)/100))*L35)</f>
        <v>2659.783097517814</v>
      </c>
      <c r="O35" s="706">
        <f>IF($C35="other",$C$7*L35,(VLOOKUP($C35,'S3 - Screening Tool Metrics'!$C$3:$G$17,5,FALSE)/100)*L35)</f>
        <v>10639.13239007126</v>
      </c>
      <c r="P35" s="706">
        <f t="shared" ref="P35:P36" si="32">O35/J35*100</f>
        <v>63.129011986419393</v>
      </c>
      <c r="Q35" s="707">
        <f t="shared" si="19"/>
        <v>692364.2666666666</v>
      </c>
      <c r="R35" s="706">
        <f>VLOOKUP("*"&amp;$B35&amp;"*",'S4 - Summ PRS Characteristics'!$C$13:$Q$20,12,FALSE)*$J35</f>
        <v>8169.2249936490825</v>
      </c>
      <c r="S35" s="706">
        <f t="shared" ref="S35:S36" si="33">$J35-R35</f>
        <v>8683.7750063509175</v>
      </c>
      <c r="T35" s="706">
        <f>IF($C35="other",(1-$C$23)*R35,(1-(VLOOKUP($C35,'S3 - Screening Tool Metrics'!$C$3:$G$17,5,FALSE)/100))*R35)</f>
        <v>1633.8449987298161</v>
      </c>
      <c r="U35" s="706">
        <f>IF($C35="other",$C$23*R35,(VLOOKUP($C35,'S3 - Screening Tool Metrics'!$C$3:$G$17,5,FALSE)/100)*R35)</f>
        <v>6535.3799949192662</v>
      </c>
      <c r="V35" s="706">
        <f t="shared" ref="V35:V37" si="34">U35/J35*100</f>
        <v>38.778733726453844</v>
      </c>
      <c r="W35" s="707">
        <f t="shared" si="21"/>
        <v>346182.1333333333</v>
      </c>
      <c r="X35" s="706">
        <f>VLOOKUP("*"&amp;$B35&amp;"*",'S4 - Summ PRS Characteristics'!$C$13:$Q$20,13,FALSE)*$J35</f>
        <v>5329.794925341379</v>
      </c>
      <c r="Y35" s="706">
        <f t="shared" ref="Y35:Y37" si="35">$J35-X35</f>
        <v>11523.205074658621</v>
      </c>
      <c r="Z35" s="706">
        <f>IF($C35="other",(1-$C$23)*X35,(1-(VLOOKUP($C35,'S3 - Screening Tool Metrics'!$C$3:$G$17,5,FALSE)/100))*X35)</f>
        <v>1065.9589850682755</v>
      </c>
      <c r="AA35" s="706">
        <f>IF($C35="other",$C$23*X35,(VLOOKUP($C35,'S3 - Screening Tool Metrics'!$C$3:$G$17,5,FALSE)/100)*X35)</f>
        <v>4263.835940273103</v>
      </c>
      <c r="AB35" s="709">
        <f t="shared" si="22"/>
        <v>25.300159854465694</v>
      </c>
      <c r="AC35" s="706">
        <f t="shared" si="23"/>
        <v>173091.06666666665</v>
      </c>
      <c r="AD35" s="706">
        <f>VLOOKUP("*"&amp;$B35&amp;"*",'S4 - Summ PRS Characteristics'!$C$13:$Q$20,14,FALSE)*$J35</f>
        <v>3371.1366721322734</v>
      </c>
      <c r="AE35" s="706">
        <f t="shared" ref="AE35:AE37" si="36">$J35-AD35</f>
        <v>13481.863327867726</v>
      </c>
      <c r="AF35" s="706">
        <f>IF($C35="other",(1-$C$23)*AD35,(1-(VLOOKUP($C35,'S3 - Screening Tool Metrics'!$C$3:$G$17,5,FALSE)/100))*AD35)</f>
        <v>674.22733442645449</v>
      </c>
      <c r="AG35" s="706">
        <f>IF($C35="other",$C$23*AD35,(VLOOKUP($C35,'S3 - Screening Tool Metrics'!$C$3:$G$17,5,FALSE)/100)*AD35)</f>
        <v>2696.9093377058189</v>
      </c>
      <c r="AH35" s="708">
        <f t="shared" si="24"/>
        <v>16.002547544685331</v>
      </c>
      <c r="AI35" s="707">
        <f t="shared" si="25"/>
        <v>34618.213333333333</v>
      </c>
      <c r="AJ35" s="706">
        <f>VLOOKUP("*"&amp;$B35&amp;"*",'S4 - Summ PRS Characteristics'!$C$13:$Q$20,15,FALSE)*$J35</f>
        <v>1076.5550610140504</v>
      </c>
      <c r="AK35" s="706">
        <f t="shared" ref="AK35:AK37" si="37">$J35-AJ35</f>
        <v>15776.444938985949</v>
      </c>
      <c r="AL35" s="706">
        <f>IF($C35="other",(1-$C$23)*AJ35,(1-(VLOOKUP($C35,'S3 - Screening Tool Metrics'!$C$3:$G$17,5,FALSE)/100))*AJ35)</f>
        <v>215.31101220281002</v>
      </c>
      <c r="AM35" s="706">
        <f>IF($C35="other",$C$23*AJ35,(VLOOKUP($C35,'S3 - Screening Tool Metrics'!$C$3:$G$17,5,FALSE)/100)*AJ35)</f>
        <v>861.2440488112403</v>
      </c>
      <c r="AN35" s="709">
        <f t="shared" si="26"/>
        <v>5.1103307945839926</v>
      </c>
    </row>
    <row r="36" spans="2:40" x14ac:dyDescent="0.15">
      <c r="B36" s="700" t="s">
        <v>10</v>
      </c>
      <c r="C36" s="721" t="str">
        <f t="shared" si="31"/>
        <v>Other</v>
      </c>
      <c r="D36" s="552" t="s">
        <v>203</v>
      </c>
      <c r="E36" s="710">
        <f>VLOOKUP($B36&amp;"_"&amp;$D36,'App5 - CRUK Inci Rates'!C:H,6,FALSE)</f>
        <v>291.02444784453866</v>
      </c>
      <c r="F36" s="711">
        <f>VLOOKUP($B36&amp;"_"&amp;$D36,'App5 - CRUK Inci Rates'!C:H,3,FALSE)</f>
        <v>0</v>
      </c>
      <c r="G36" s="712">
        <f>VLOOKUP($B36&amp;"_"&amp;$D36,'App5 - CRUK Inci Rates'!C:J,8,FALSE)</f>
        <v>7817212.666666666</v>
      </c>
      <c r="H36" s="713">
        <f>VLOOKUP($B36&amp;"_"&amp;$D36,'App5 - CRUK Inci Rates'!C:J,7,FALSE)</f>
        <v>7817212.666666666</v>
      </c>
      <c r="I36" s="713">
        <f>VLOOKUP($B36&amp;"_"&amp;$D36,'App5 - CRUK Inci Rates'!C:J,4,FALSE)</f>
        <v>0</v>
      </c>
      <c r="J36" s="709">
        <f>VLOOKUP($B36&amp;"_"&amp;$D36,'App5 - CRUK Inci Rates'!C:K,9,FALSE)</f>
        <v>22750</v>
      </c>
      <c r="K36" s="706">
        <f t="shared" si="8"/>
        <v>3908606.333333333</v>
      </c>
      <c r="L36" s="706">
        <f>VLOOKUP("*"&amp;$B36&amp;"*",'S4 - Summ PRS Characteristics'!$C$13:$Q$20,11,FALSE)*$J36</f>
        <v>17952.312783638012</v>
      </c>
      <c r="M36" s="706">
        <f t="shared" si="9"/>
        <v>4797.6872163619882</v>
      </c>
      <c r="N36" s="706">
        <f>IF($C36="other",(1-$C$7)*L36,(1-(VLOOKUP($C36,'S3 - Screening Tool Metrics'!$C$3:$G$17,5,FALSE)/100))*L36)</f>
        <v>3590.4625567276016</v>
      </c>
      <c r="O36" s="706">
        <f>IF($C36="other",$C$7*L36,(VLOOKUP($C36,'S3 - Screening Tool Metrics'!$C$3:$G$17,5,FALSE)/100)*L36)</f>
        <v>14361.85022691041</v>
      </c>
      <c r="P36" s="706">
        <f t="shared" si="32"/>
        <v>63.129011986419378</v>
      </c>
      <c r="Q36" s="707">
        <f t="shared" si="19"/>
        <v>1563442.5333333332</v>
      </c>
      <c r="R36" s="706">
        <f>VLOOKUP("*"&amp;$B36&amp;"*",'S4 - Summ PRS Characteristics'!$C$13:$Q$20,12,FALSE)*$J36</f>
        <v>11027.702403460311</v>
      </c>
      <c r="S36" s="706">
        <f t="shared" si="33"/>
        <v>11722.297596539689</v>
      </c>
      <c r="T36" s="706">
        <f>IF($C36="other",(1-$C$23)*R36,(1-(VLOOKUP($C36,'S3 - Screening Tool Metrics'!$C$3:$G$17,5,FALSE)/100))*R36)</f>
        <v>2205.5404806920619</v>
      </c>
      <c r="U36" s="706">
        <f>IF($C36="other",$C$23*R36,(VLOOKUP($C36,'S3 - Screening Tool Metrics'!$C$3:$G$17,5,FALSE)/100)*R36)</f>
        <v>8822.1619227682495</v>
      </c>
      <c r="V36" s="706">
        <f t="shared" si="34"/>
        <v>38.778733726453844</v>
      </c>
      <c r="W36" s="707">
        <f t="shared" si="21"/>
        <v>781721.2666666666</v>
      </c>
      <c r="X36" s="706">
        <f>VLOOKUP("*"&amp;$B36&amp;"*",'S4 - Summ PRS Characteristics'!$C$13:$Q$20,13,FALSE)*$J36</f>
        <v>7194.7329586136821</v>
      </c>
      <c r="Y36" s="706">
        <f t="shared" si="35"/>
        <v>15555.267041386318</v>
      </c>
      <c r="Z36" s="706">
        <f>IF($C36="other",(1-$C$23)*X36,(1-(VLOOKUP($C36,'S3 - Screening Tool Metrics'!$C$3:$G$17,5,FALSE)/100))*X36)</f>
        <v>1438.946591722736</v>
      </c>
      <c r="AA36" s="706">
        <f>IF($C36="other",$C$23*X36,(VLOOKUP($C36,'S3 - Screening Tool Metrics'!$C$3:$G$17,5,FALSE)/100)*X36)</f>
        <v>5755.7863668909458</v>
      </c>
      <c r="AB36" s="709">
        <f t="shared" si="22"/>
        <v>25.300159854465697</v>
      </c>
      <c r="AC36" s="706">
        <f t="shared" si="23"/>
        <v>390860.6333333333</v>
      </c>
      <c r="AD36" s="706">
        <f>VLOOKUP("*"&amp;$B36&amp;"*",'S4 - Summ PRS Characteristics'!$C$13:$Q$20,14,FALSE)*$J36</f>
        <v>4550.7244580198912</v>
      </c>
      <c r="AE36" s="706">
        <f t="shared" si="36"/>
        <v>18199.275541980111</v>
      </c>
      <c r="AF36" s="706">
        <f>IF($C36="other",(1-$C$23)*AD36,(1-(VLOOKUP($C36,'S3 - Screening Tool Metrics'!$C$3:$G$17,5,FALSE)/100))*AD36)</f>
        <v>910.14489160397807</v>
      </c>
      <c r="AG36" s="706">
        <f>IF($C36="other",$C$23*AD36,(VLOOKUP($C36,'S3 - Screening Tool Metrics'!$C$3:$G$17,5,FALSE)/100)*AD36)</f>
        <v>3640.5795664159132</v>
      </c>
      <c r="AH36" s="708">
        <f t="shared" si="24"/>
        <v>16.002547544685335</v>
      </c>
      <c r="AI36" s="707">
        <f t="shared" si="25"/>
        <v>78172.126666666663</v>
      </c>
      <c r="AJ36" s="706">
        <f>VLOOKUP("*"&amp;$B36&amp;"*",'S4 - Summ PRS Characteristics'!$C$13:$Q$20,15,FALSE)*$J36</f>
        <v>1453.2503197098229</v>
      </c>
      <c r="AK36" s="706">
        <f t="shared" si="37"/>
        <v>21296.749680290177</v>
      </c>
      <c r="AL36" s="706">
        <f>IF($C36="other",(1-$C$23)*AJ36,(1-(VLOOKUP($C36,'S3 - Screening Tool Metrics'!$C$3:$G$17,5,FALSE)/100))*AJ36)</f>
        <v>290.6500639419645</v>
      </c>
      <c r="AM36" s="706">
        <f>IF($C36="other",$C$23*AJ36,(VLOOKUP($C36,'S3 - Screening Tool Metrics'!$C$3:$G$17,5,FALSE)/100)*AJ36)</f>
        <v>1162.6002557678582</v>
      </c>
      <c r="AN36" s="709">
        <f t="shared" si="26"/>
        <v>5.1103307945839918</v>
      </c>
    </row>
    <row r="37" spans="2:40" x14ac:dyDescent="0.15">
      <c r="B37" s="700" t="s">
        <v>294</v>
      </c>
      <c r="C37" s="721" t="str">
        <f>$C25</f>
        <v>Other</v>
      </c>
      <c r="D37" s="552" t="s">
        <v>292</v>
      </c>
      <c r="E37" s="710">
        <f>VLOOKUP($B37&amp;"_"&amp;$D37,'App5 - CRUK Inci Rates'!C:H,6,FALSE)</f>
        <v>568.09764371802726</v>
      </c>
      <c r="F37" s="711">
        <f>VLOOKUP($B37&amp;"_"&amp;$D37,'App5 - CRUK Inci Rates'!C:H,3,FALSE)</f>
        <v>0</v>
      </c>
      <c r="G37" s="712">
        <f>VLOOKUP($B37&amp;"_"&amp;$D37,'App5 - CRUK Inci Rates'!C:J,8,FALSE)</f>
        <v>4929786.333333333</v>
      </c>
      <c r="H37" s="713">
        <f>VLOOKUP($B37&amp;"_"&amp;$D37,'App5 - CRUK Inci Rates'!C:J,7,FALSE)</f>
        <v>4929786.333333333</v>
      </c>
      <c r="I37" s="713">
        <f>VLOOKUP($B37&amp;"_"&amp;$D37,'App5 - CRUK Inci Rates'!C:J,4,FALSE)</f>
        <v>0</v>
      </c>
      <c r="J37" s="709">
        <f>VLOOKUP($B37&amp;"_"&amp;$D37,'App5 - CRUK Inci Rates'!C:K,9,FALSE)</f>
        <v>28006</v>
      </c>
      <c r="K37" s="706">
        <f t="shared" si="8"/>
        <v>2464893.1666666665</v>
      </c>
      <c r="L37" s="706">
        <f>VLOOKUP("*"&amp;$B37&amp;"*",'S4 - Summ PRS Characteristics'!$C$13:$Q$20,11,FALSE)*$J37</f>
        <v>22099.888871145762</v>
      </c>
      <c r="M37" s="706">
        <f t="shared" si="9"/>
        <v>5906.1111288542379</v>
      </c>
      <c r="N37" s="706">
        <f>IF($C37="other",(1-$C$7)*L37,(1-(VLOOKUP($C37,'S3 - Screening Tool Metrics'!$C$3:$G$17,5,FALSE)/100))*L37)</f>
        <v>4419.9777742291517</v>
      </c>
      <c r="O37" s="706">
        <f>IF($C37="other",$C$7*L37,(VLOOKUP($C37,'S3 - Screening Tool Metrics'!$C$3:$G$17,5,FALSE)/100)*L37)</f>
        <v>17679.91109691661</v>
      </c>
      <c r="P37" s="706">
        <f t="shared" si="10"/>
        <v>63.129011986419378</v>
      </c>
      <c r="Q37" s="707">
        <f t="shared" si="19"/>
        <v>985957.2666666666</v>
      </c>
      <c r="R37" s="706">
        <f>VLOOKUP("*"&amp;$B37&amp;"*",'S4 - Summ PRS Characteristics'!$C$13:$Q$20,12,FALSE)*$J37</f>
        <v>13575.465209288328</v>
      </c>
      <c r="S37" s="706">
        <f t="shared" si="27"/>
        <v>14430.534790711672</v>
      </c>
      <c r="T37" s="706">
        <f>IF($C37="other",(1-$C$23)*R37,(1-(VLOOKUP($C37,'S3 - Screening Tool Metrics'!$C$3:$G$17,5,FALSE)/100))*R37)</f>
        <v>2715.093041857665</v>
      </c>
      <c r="U37" s="706">
        <f>IF($C37="other",$C$23*R37,(VLOOKUP($C37,'S3 - Screening Tool Metrics'!$C$3:$G$17,5,FALSE)/100)*R37)</f>
        <v>10860.372167430663</v>
      </c>
      <c r="V37" s="706">
        <f t="shared" si="34"/>
        <v>38.778733726453844</v>
      </c>
      <c r="W37" s="707">
        <f t="shared" si="21"/>
        <v>492978.6333333333</v>
      </c>
      <c r="X37" s="706">
        <f>VLOOKUP("*"&amp;$B37&amp;"*",'S4 - Summ PRS Characteristics'!$C$13:$Q$20,13,FALSE)*$J37</f>
        <v>8856.9534610520768</v>
      </c>
      <c r="Y37" s="706">
        <f t="shared" si="35"/>
        <v>19149.046538947921</v>
      </c>
      <c r="Z37" s="706">
        <f>IF($C37="other",(1-$C$23)*X37,(1-(VLOOKUP($C37,'S3 - Screening Tool Metrics'!$C$3:$G$17,5,FALSE)/100))*X37)</f>
        <v>1771.390692210415</v>
      </c>
      <c r="AA37" s="706">
        <f>IF($C37="other",$C$23*X37,(VLOOKUP($C37,'S3 - Screening Tool Metrics'!$C$3:$G$17,5,FALSE)/100)*X37)</f>
        <v>7085.5627688416616</v>
      </c>
      <c r="AB37" s="709">
        <f t="shared" si="22"/>
        <v>25.300159854465694</v>
      </c>
      <c r="AC37" s="706">
        <f t="shared" si="23"/>
        <v>246489.31666666665</v>
      </c>
      <c r="AD37" s="706">
        <f>VLOOKUP("*"&amp;$B37&amp;"*",'S4 - Summ PRS Characteristics'!$C$13:$Q$20,14,FALSE)*$J37</f>
        <v>5602.0918317057167</v>
      </c>
      <c r="AE37" s="706">
        <f t="shared" si="36"/>
        <v>22403.908168294285</v>
      </c>
      <c r="AF37" s="706">
        <f>IF($C37="other",(1-$C$23)*AD37,(1-(VLOOKUP($C37,'S3 - Screening Tool Metrics'!$C$3:$G$17,5,FALSE)/100))*AD37)</f>
        <v>1120.4183663411432</v>
      </c>
      <c r="AG37" s="706">
        <f>IF($C37="other",$C$23*AD37,(VLOOKUP($C37,'S3 - Screening Tool Metrics'!$C$3:$G$17,5,FALSE)/100)*AD37)</f>
        <v>4481.6734653645735</v>
      </c>
      <c r="AH37" s="708">
        <f t="shared" si="24"/>
        <v>16.002547544685331</v>
      </c>
      <c r="AI37" s="707">
        <f t="shared" si="25"/>
        <v>49297.863333333335</v>
      </c>
      <c r="AJ37" s="706">
        <f>VLOOKUP("*"&amp;$B37&amp;"*",'S4 - Summ PRS Characteristics'!$C$13:$Q$20,15,FALSE)*$J37</f>
        <v>1788.9990529139911</v>
      </c>
      <c r="AK37" s="706">
        <f t="shared" si="37"/>
        <v>26217.00094708601</v>
      </c>
      <c r="AL37" s="706">
        <f>IF($C37="other",(1-$C$23)*AJ37,(1-(VLOOKUP($C37,'S3 - Screening Tool Metrics'!$C$3:$G$17,5,FALSE)/100))*AJ37)</f>
        <v>357.79981058279816</v>
      </c>
      <c r="AM37" s="706">
        <f>IF($C37="other",$C$23*AJ37,(VLOOKUP($C37,'S3 - Screening Tool Metrics'!$C$3:$G$17,5,FALSE)/100)*AJ37)</f>
        <v>1431.1992423311931</v>
      </c>
      <c r="AN37" s="709">
        <f t="shared" si="26"/>
        <v>5.1103307945839926</v>
      </c>
    </row>
    <row r="38" spans="2:40" x14ac:dyDescent="0.15">
      <c r="B38" s="700" t="s">
        <v>10</v>
      </c>
      <c r="C38" s="721" t="str">
        <f>$C24</f>
        <v>Other</v>
      </c>
      <c r="D38" s="552" t="s">
        <v>204</v>
      </c>
      <c r="E38" s="710">
        <f>VLOOKUP($B38&amp;"_"&amp;$D38,'App5 - CRUK Inci Rates'!C:H,6,FALSE)</f>
        <v>296.50668196175269</v>
      </c>
      <c r="F38" s="711">
        <f>VLOOKUP($B38&amp;"_"&amp;$D38,'App5 - CRUK Inci Rates'!C:H,3,FALSE)</f>
        <v>0</v>
      </c>
      <c r="G38" s="712">
        <f>VLOOKUP($B38&amp;"_"&amp;$D38,'App5 - CRUK Inci Rates'!C:J,8,FALSE)</f>
        <v>14565607.666666668</v>
      </c>
      <c r="H38" s="713">
        <f>VLOOKUP($B38&amp;"_"&amp;$D38,'App5 - CRUK Inci Rates'!C:J,7,FALSE)</f>
        <v>14565607.666666668</v>
      </c>
      <c r="I38" s="713">
        <f>VLOOKUP($B38&amp;"_"&amp;$D38,'App5 - CRUK Inci Rates'!C:J,4,FALSE)</f>
        <v>0</v>
      </c>
      <c r="J38" s="709">
        <f>VLOOKUP($B38&amp;"_"&amp;$D38,'App5 - CRUK Inci Rates'!C:K,9,FALSE)</f>
        <v>43188</v>
      </c>
      <c r="K38" s="706">
        <f t="shared" si="8"/>
        <v>7282803.833333334</v>
      </c>
      <c r="L38" s="706">
        <f>VLOOKUP("*"&amp;$B38&amp;"*",'S4 - Summ PRS Characteristics'!$C$13:$Q$20,11,FALSE)*$J38</f>
        <v>34080.197120868499</v>
      </c>
      <c r="M38" s="706">
        <f t="shared" si="9"/>
        <v>9107.802879131501</v>
      </c>
      <c r="N38" s="706">
        <f>IF($C38="other",(1-$C$7)*L38,(1-(VLOOKUP($C38,'S3 - Screening Tool Metrics'!$C$3:$G$17,5,FALSE)/100))*L38)</f>
        <v>6816.0394241736985</v>
      </c>
      <c r="O38" s="706">
        <f>IF($C38="other",$C$7*L38,(VLOOKUP($C38,'S3 - Screening Tool Metrics'!$C$3:$G$17,5,FALSE)/100)*L38)</f>
        <v>27264.157696694801</v>
      </c>
      <c r="P38" s="706">
        <f t="shared" si="10"/>
        <v>63.129011986419378</v>
      </c>
      <c r="Q38" s="707">
        <f t="shared" si="19"/>
        <v>2913121.5333333337</v>
      </c>
      <c r="R38" s="706">
        <f>VLOOKUP("*"&amp;$B38&amp;"*",'S4 - Summ PRS Characteristics'!$C$13:$Q$20,12,FALSE)*$J38</f>
        <v>20934.699402226106</v>
      </c>
      <c r="S38" s="706">
        <f t="shared" si="27"/>
        <v>22253.300597773894</v>
      </c>
      <c r="T38" s="706">
        <f>IF($C38="other",(1-$C23)*R38,(1-(VLOOKUP($C38,'S3 - Screening Tool Metrics'!$C$3:$G$17,5,FALSE)/100))*R38)</f>
        <v>4186.9398804452203</v>
      </c>
      <c r="U38" s="706">
        <f>IF($C38="other",$C23*R38,(VLOOKUP($C38,'S3 - Screening Tool Metrics'!$C$3:$G$17,5,FALSE)/100)*R38)</f>
        <v>16747.759521780885</v>
      </c>
      <c r="V38" s="706">
        <f t="shared" si="20"/>
        <v>38.778733726453837</v>
      </c>
      <c r="W38" s="707">
        <f t="shared" si="21"/>
        <v>1456560.7666666668</v>
      </c>
      <c r="X38" s="706">
        <f>VLOOKUP("*"&amp;$B38&amp;"*",'S4 - Summ PRS Characteristics'!$C$13:$Q$20,13,FALSE)*$J38</f>
        <v>13658.291297433305</v>
      </c>
      <c r="Y38" s="706">
        <f t="shared" si="28"/>
        <v>29529.708702566695</v>
      </c>
      <c r="Z38" s="706">
        <f>IF($C38="other",(1-$C23)*X38,(1-(VLOOKUP($C38,'S3 - Screening Tool Metrics'!$C$3:$G$17,5,FALSE)/100))*X38)</f>
        <v>2731.6582594866604</v>
      </c>
      <c r="AA38" s="706">
        <f>IF($C38="other",$C23*X38,(VLOOKUP($C38,'S3 - Screening Tool Metrics'!$C$3:$G$17,5,FALSE)/100)*X38)</f>
        <v>10926.633037946645</v>
      </c>
      <c r="AB38" s="709">
        <f t="shared" si="22"/>
        <v>25.300159854465697</v>
      </c>
      <c r="AC38" s="706">
        <f t="shared" si="23"/>
        <v>728280.38333333342</v>
      </c>
      <c r="AD38" s="706">
        <f>VLOOKUP("*"&amp;$B38&amp;"*",'S4 - Summ PRS Characteristics'!$C$13:$Q$20,14,FALSE)*$J38</f>
        <v>8638.9752919983748</v>
      </c>
      <c r="AE38" s="706">
        <f t="shared" si="30"/>
        <v>34549.024708001627</v>
      </c>
      <c r="AF38" s="706">
        <f>IF($C38="other",(1-$C23)*AD38,(1-(VLOOKUP($C38,'S3 - Screening Tool Metrics'!$C$3:$G$17,5,FALSE)/100))*AD38)</f>
        <v>1727.7950583996746</v>
      </c>
      <c r="AG38" s="706">
        <f>IF($C38="other",$C23*AD38,(VLOOKUP($C38,'S3 - Screening Tool Metrics'!$C$3:$G$17,5,FALSE)/100)*AD38)</f>
        <v>6911.1802335987004</v>
      </c>
      <c r="AH38" s="708">
        <f t="shared" si="24"/>
        <v>16.002547544685331</v>
      </c>
      <c r="AI38" s="707">
        <f t="shared" si="25"/>
        <v>145656.07666666669</v>
      </c>
      <c r="AJ38" s="706">
        <f>VLOOKUP("*"&amp;$B38&amp;"*",'S4 - Summ PRS Characteristics'!$C$13:$Q$20,15,FALSE)*$J38</f>
        <v>2758.8120794561682</v>
      </c>
      <c r="AK38" s="706">
        <f t="shared" si="29"/>
        <v>40429.187920543831</v>
      </c>
      <c r="AL38" s="706">
        <f>IF($C38="other",(1-$C23)*AJ38,(1-(VLOOKUP($C38,'S3 - Screening Tool Metrics'!$C$3:$G$17,5,FALSE)/100))*AJ38)</f>
        <v>551.76241589123356</v>
      </c>
      <c r="AM38" s="706">
        <f>IF($C38="other",$C23*AJ38,(VLOOKUP($C38,'S3 - Screening Tool Metrics'!$C$3:$G$17,5,FALSE)/100)*AJ38)</f>
        <v>2207.0496635649347</v>
      </c>
      <c r="AN38" s="709">
        <f t="shared" si="26"/>
        <v>5.1103307945839926</v>
      </c>
    </row>
    <row r="39" spans="2:40" ht="14" thickBot="1" x14ac:dyDescent="0.2">
      <c r="B39" s="700" t="s">
        <v>10</v>
      </c>
      <c r="C39" s="721"/>
      <c r="D39" s="552" t="s">
        <v>205</v>
      </c>
      <c r="E39" s="710">
        <f>VLOOKUP($B39&amp;"_"&amp;$D39,'App5 - CRUK Inci Rates'!C:H,6,FALSE)</f>
        <v>183.8</v>
      </c>
      <c r="F39" s="711">
        <f>VLOOKUP($B39&amp;"_"&amp;$D39,'App5 - CRUK Inci Rates'!C:H,3,FALSE)</f>
        <v>0</v>
      </c>
      <c r="G39" s="712">
        <f>VLOOKUP($B39&amp;"_"&amp;$D39,'App5 - CRUK Inci Rates'!C:J,8,FALSE)</f>
        <v>32583225.666666668</v>
      </c>
      <c r="H39" s="713">
        <f>VLOOKUP($B39&amp;"_"&amp;$D39,'App5 - CRUK Inci Rates'!C:J,7,FALSE)</f>
        <v>32583225.666666668</v>
      </c>
      <c r="I39" s="713">
        <f>VLOOKUP($B39&amp;"_"&amp;$D39,'App5 - CRUK Inci Rates'!C:J,4,FALSE)</f>
        <v>0</v>
      </c>
      <c r="J39" s="709">
        <f>VLOOKUP($B39&amp;"_"&amp;$D39,'App5 - CRUK Inci Rates'!C:K,9,FALSE)</f>
        <v>52254</v>
      </c>
      <c r="K39" s="716"/>
      <c r="L39" s="716"/>
      <c r="M39" s="716"/>
      <c r="N39" s="716"/>
      <c r="O39" s="716"/>
      <c r="P39" s="716"/>
      <c r="Q39" s="715"/>
      <c r="R39" s="716"/>
      <c r="S39" s="716"/>
      <c r="T39" s="716"/>
      <c r="U39" s="716"/>
      <c r="V39" s="716"/>
      <c r="W39" s="715"/>
      <c r="X39" s="716"/>
      <c r="Y39" s="716"/>
      <c r="Z39" s="716"/>
      <c r="AA39" s="716"/>
      <c r="AB39" s="718"/>
      <c r="AC39" s="716"/>
      <c r="AD39" s="716"/>
      <c r="AE39" s="716"/>
      <c r="AF39" s="716"/>
      <c r="AG39" s="716"/>
      <c r="AH39" s="717"/>
      <c r="AI39" s="715"/>
      <c r="AJ39" s="716"/>
      <c r="AK39" s="716"/>
      <c r="AL39" s="716"/>
      <c r="AM39" s="716"/>
      <c r="AN39" s="718"/>
    </row>
    <row r="40" spans="2:40" ht="21" customHeight="1" thickBot="1" x14ac:dyDescent="0.2">
      <c r="B40" s="686" t="s">
        <v>11</v>
      </c>
      <c r="C40" s="687">
        <v>0.8</v>
      </c>
      <c r="D40" s="688"/>
      <c r="E40" s="689"/>
      <c r="F40" s="690"/>
      <c r="G40" s="691"/>
      <c r="H40" s="692"/>
      <c r="I40" s="692"/>
      <c r="J40" s="693"/>
      <c r="K40" s="694"/>
      <c r="L40" s="694"/>
      <c r="M40" s="694"/>
      <c r="N40" s="694"/>
      <c r="O40" s="694"/>
      <c r="P40" s="694"/>
      <c r="Q40" s="695"/>
      <c r="R40" s="696"/>
      <c r="S40" s="696"/>
      <c r="T40" s="696"/>
      <c r="U40" s="696"/>
      <c r="V40" s="696"/>
      <c r="W40" s="695"/>
      <c r="X40" s="696"/>
      <c r="Y40" s="696"/>
      <c r="Z40" s="696"/>
      <c r="AA40" s="696"/>
      <c r="AB40" s="699"/>
      <c r="AC40" s="696"/>
      <c r="AD40" s="696"/>
      <c r="AE40" s="696"/>
      <c r="AF40" s="696"/>
      <c r="AG40" s="696"/>
      <c r="AH40" s="697"/>
      <c r="AI40" s="695"/>
      <c r="AJ40" s="696"/>
      <c r="AK40" s="696"/>
      <c r="AL40" s="696"/>
      <c r="AM40" s="696"/>
      <c r="AN40" s="699"/>
    </row>
    <row r="41" spans="2:40" x14ac:dyDescent="0.15">
      <c r="B41" s="700" t="s">
        <v>11</v>
      </c>
      <c r="C41" s="741" t="s">
        <v>180</v>
      </c>
      <c r="D41" s="593" t="s">
        <v>192</v>
      </c>
      <c r="E41" s="701">
        <f>VLOOKUP($B41&amp;"_"&amp;$D41,'App5 - CRUK Inci Rates'!C:H,6,FALSE)</f>
        <v>14.5</v>
      </c>
      <c r="F41" s="702">
        <f>VLOOKUP($B41&amp;"_"&amp;$D41,'App5 - CRUK Inci Rates'!C:H,3,FALSE)</f>
        <v>13.5</v>
      </c>
      <c r="G41" s="703">
        <f>VLOOKUP($B41&amp;"_"&amp;$D41,'App5 - CRUK Inci Rates'!C:J,8,FALSE)</f>
        <v>4075608</v>
      </c>
      <c r="H41" s="704">
        <f>VLOOKUP($B41&amp;"_"&amp;$D41,'App5 - CRUK Inci Rates'!C:J,7,FALSE)</f>
        <v>2021384.6666666667</v>
      </c>
      <c r="I41" s="704">
        <f>VLOOKUP($B41&amp;"_"&amp;$D41,'App5 - CRUK Inci Rates'!C:J,4,FALSE)</f>
        <v>2054223.3333333333</v>
      </c>
      <c r="J41" s="705">
        <f>VLOOKUP($B41&amp;"_"&amp;$D41,'App5 - CRUK Inci Rates'!C:K,9,FALSE)</f>
        <v>570</v>
      </c>
      <c r="K41" s="706">
        <f t="shared" si="8"/>
        <v>2037804</v>
      </c>
      <c r="L41" s="706">
        <f>VLOOKUP("*"&amp;$B41&amp;"*",'S4 - Summ PRS Characteristics'!$C$13:$Q$20,11,FALSE)*$J41</f>
        <v>396.27891385918321</v>
      </c>
      <c r="M41" s="706">
        <f t="shared" si="9"/>
        <v>173.72108614081679</v>
      </c>
      <c r="N41" s="706">
        <f>IF($C41="other",(1-$C$7)*L41,(1-(VLOOKUP($C41,'S3 - Screening Tool Metrics'!$C$3:$G$17,5,FALSE)/100))*L41)</f>
        <v>79.255782771836621</v>
      </c>
      <c r="O41" s="706">
        <f>IF($C41="other",$C$7*L41,(VLOOKUP($C41,'S3 - Screening Tool Metrics'!$C$3:$G$17,5,FALSE)/100)*L41)</f>
        <v>317.0231310873466</v>
      </c>
      <c r="P41" s="706">
        <f t="shared" si="10"/>
        <v>55.618093173218696</v>
      </c>
      <c r="Q41" s="707">
        <f t="shared" ref="Q41:Q54" si="38">$G41*Q$3</f>
        <v>815121.60000000009</v>
      </c>
      <c r="R41" s="706">
        <f>VLOOKUP("*"&amp;$B41&amp;"*",'S4 - Summ PRS Characteristics'!$C$13:$Q$20,12,FALSE)*$J41</f>
        <v>211.10477576214572</v>
      </c>
      <c r="S41" s="706">
        <f>$J41-R41</f>
        <v>358.89522423785428</v>
      </c>
      <c r="T41" s="706">
        <f>IF($C41="other",(1-$C40)*R41,(1-(VLOOKUP($C41,'S3 - Screening Tool Metrics'!$C$3:$G$17,5,FALSE)/100))*R41)</f>
        <v>42.220955152429134</v>
      </c>
      <c r="U41" s="706">
        <f>IF($C41="other",$C40*R41,(VLOOKUP($C41,'S3 - Screening Tool Metrics'!$C$3:$G$17,5,FALSE)/100)*R41)</f>
        <v>168.88382060971659</v>
      </c>
      <c r="V41" s="706">
        <f t="shared" ref="V41:V54" si="39">U41/J41*100</f>
        <v>29.628740457845016</v>
      </c>
      <c r="W41" s="707">
        <f t="shared" ref="W41:W54" si="40">$G41*W$3</f>
        <v>407560.80000000005</v>
      </c>
      <c r="X41" s="706">
        <f>VLOOKUP("*"&amp;$B41&amp;"*",'S4 - Summ PRS Characteristics'!$C$13:$Q$20,13,FALSE)*$J41</f>
        <v>125.62980134521608</v>
      </c>
      <c r="Y41" s="706">
        <f>$J41-X41</f>
        <v>444.37019865478391</v>
      </c>
      <c r="Z41" s="706">
        <f>IF($C41="other",(1-$C40)*X41,(1-(VLOOKUP($C41,'S3 - Screening Tool Metrics'!$C$3:$G$17,5,FALSE)/100))*X41)</f>
        <v>25.125960269043212</v>
      </c>
      <c r="AA41" s="706">
        <f>IF($C41="other",$C40*X41,(VLOOKUP($C41,'S3 - Screening Tool Metrics'!$C$3:$G$17,5,FALSE)/100)*X41)</f>
        <v>100.50384107617288</v>
      </c>
      <c r="AB41" s="709">
        <f t="shared" ref="AB41:AB54" si="41">$AA41/$J41*100</f>
        <v>17.632252820381204</v>
      </c>
      <c r="AC41" s="706">
        <f t="shared" ref="AC41:AC54" si="42">$G41*AC$3</f>
        <v>203780.40000000002</v>
      </c>
      <c r="AD41" s="706">
        <f>VLOOKUP("*"&amp;$B41&amp;"*",'S4 - Summ PRS Characteristics'!$C$13:$Q$20,14,FALSE)*$J41</f>
        <v>73.170380953298221</v>
      </c>
      <c r="AE41" s="706">
        <f>$J41-AD41</f>
        <v>496.82961904670179</v>
      </c>
      <c r="AF41" s="706">
        <f>IF($C41="other",(1-$C40)*AD41,(1-(VLOOKUP($C41,'S3 - Screening Tool Metrics'!$C$3:$G$17,5,FALSE)/100))*AD41)</f>
        <v>14.634076190659641</v>
      </c>
      <c r="AG41" s="706">
        <f>IF($C41="other",$C40*AD41,(VLOOKUP($C41,'S3 - Screening Tool Metrics'!$C$3:$G$17,5,FALSE)/100)*AD41)</f>
        <v>58.536304762638579</v>
      </c>
      <c r="AH41" s="708">
        <f t="shared" ref="AH41:AH54" si="43">$AG41/$J41*100</f>
        <v>10.269527151340101</v>
      </c>
      <c r="AI41" s="707">
        <f t="shared" ref="AI41:AI54" si="44">$G41*AI$3</f>
        <v>40756.080000000002</v>
      </c>
      <c r="AJ41" s="706">
        <f>VLOOKUP("*"&amp;$B41&amp;"*",'S4 - Summ PRS Characteristics'!$C$13:$Q$20,15,FALSE)*$J41</f>
        <v>19.786796802784338</v>
      </c>
      <c r="AK41" s="706">
        <f>$J41-AJ41</f>
        <v>550.21320319721565</v>
      </c>
      <c r="AL41" s="706">
        <f>IF($C41="other",(1-$C40)*AJ41,(1-(VLOOKUP($C41,'S3 - Screening Tool Metrics'!$C$3:$G$17,5,FALSE)/100))*AJ41)</f>
        <v>3.9573593605568664</v>
      </c>
      <c r="AM41" s="706">
        <f>IF($C41="other",$C40*AJ41,(VLOOKUP($C41,'S3 - Screening Tool Metrics'!$C$3:$G$17,5,FALSE)/100)*AJ41)</f>
        <v>15.829437442227471</v>
      </c>
      <c r="AN41" s="709">
        <f t="shared" ref="AN41:AN54" si="45">$AM41/$J41*100</f>
        <v>2.7770942881100829</v>
      </c>
    </row>
    <row r="42" spans="2:40" x14ac:dyDescent="0.15">
      <c r="B42" s="700" t="s">
        <v>11</v>
      </c>
      <c r="C42" s="721" t="str">
        <f>$C41</f>
        <v>Other</v>
      </c>
      <c r="D42" s="552" t="s">
        <v>193</v>
      </c>
      <c r="E42" s="710">
        <f>VLOOKUP($B42&amp;"_"&amp;$D42,'App5 - CRUK Inci Rates'!C:H,6,FALSE)</f>
        <v>24.4</v>
      </c>
      <c r="F42" s="711">
        <f>VLOOKUP($B42&amp;"_"&amp;$D42,'App5 - CRUK Inci Rates'!C:H,3,FALSE)</f>
        <v>21.6</v>
      </c>
      <c r="G42" s="712">
        <f>VLOOKUP($B42&amp;"_"&amp;$D42,'App5 - CRUK Inci Rates'!C:J,8,FALSE)</f>
        <v>4567159.333333334</v>
      </c>
      <c r="H42" s="713">
        <f>VLOOKUP($B42&amp;"_"&amp;$D42,'App5 - CRUK Inci Rates'!C:J,7,FALSE)</f>
        <v>2251680</v>
      </c>
      <c r="I42" s="713">
        <f>VLOOKUP($B42&amp;"_"&amp;$D42,'App5 - CRUK Inci Rates'!C:J,4,FALSE)</f>
        <v>2315479.3333333335</v>
      </c>
      <c r="J42" s="709">
        <f>VLOOKUP($B42&amp;"_"&amp;$D42,'App5 - CRUK Inci Rates'!C:K,9,FALSE)</f>
        <v>1047</v>
      </c>
      <c r="K42" s="706">
        <f t="shared" si="8"/>
        <v>2283579.666666667</v>
      </c>
      <c r="L42" s="706">
        <f>VLOOKUP("*"&amp;$B42&amp;"*",'S4 - Summ PRS Characteristics'!$C$13:$Q$20,11,FALSE)*$J42</f>
        <v>727.9017944044997</v>
      </c>
      <c r="M42" s="706">
        <f t="shared" si="9"/>
        <v>319.0982055955003</v>
      </c>
      <c r="N42" s="706">
        <f>IF($C42="other",(1-$C$7)*L42,(1-(VLOOKUP($C42,'S3 - Screening Tool Metrics'!$C$3:$G$17,5,FALSE)/100))*L42)</f>
        <v>145.58035888089989</v>
      </c>
      <c r="O42" s="706">
        <f>IF($C42="other",$C$7*L42,(VLOOKUP($C42,'S3 - Screening Tool Metrics'!$C$3:$G$17,5,FALSE)/100)*L42)</f>
        <v>582.3214355235998</v>
      </c>
      <c r="P42" s="706">
        <f t="shared" si="10"/>
        <v>55.618093173218696</v>
      </c>
      <c r="Q42" s="707">
        <f t="shared" si="38"/>
        <v>913431.86666666681</v>
      </c>
      <c r="R42" s="706">
        <f>VLOOKUP("*"&amp;$B42&amp;"*",'S4 - Summ PRS Characteristics'!$C$13:$Q$20,12,FALSE)*$J42</f>
        <v>387.76614074204662</v>
      </c>
      <c r="S42" s="706">
        <f t="shared" ref="S42:S54" si="46">$J42-R42</f>
        <v>659.23385925795333</v>
      </c>
      <c r="T42" s="706">
        <f>IF($C42="other",(1-$C40)*R42,(1-(VLOOKUP($C42,'S3 - Screening Tool Metrics'!$C$3:$G$17,5,FALSE)/100))*R42)</f>
        <v>77.553228148409303</v>
      </c>
      <c r="U42" s="706">
        <f>IF($C42="other",$C40*R42,(VLOOKUP($C42,'S3 - Screening Tool Metrics'!$C$3:$G$17,5,FALSE)/100)*R42)</f>
        <v>310.21291259363733</v>
      </c>
      <c r="V42" s="706">
        <f t="shared" si="39"/>
        <v>29.628740457845016</v>
      </c>
      <c r="W42" s="707">
        <f t="shared" si="40"/>
        <v>456715.93333333341</v>
      </c>
      <c r="X42" s="706">
        <f>VLOOKUP("*"&amp;$B42&amp;"*",'S4 - Summ PRS Characteristics'!$C$13:$Q$20,13,FALSE)*$J42</f>
        <v>230.76210878673902</v>
      </c>
      <c r="Y42" s="706">
        <f t="shared" ref="Y42:Y54" si="47">$J42-X42</f>
        <v>816.23789121326104</v>
      </c>
      <c r="Z42" s="706">
        <f>IF($C42="other",(1-$C40)*X42,(1-(VLOOKUP($C42,'S3 - Screening Tool Metrics'!$C$3:$G$17,5,FALSE)/100))*X42)</f>
        <v>46.152421757347796</v>
      </c>
      <c r="AA42" s="706">
        <f>IF($C42="other",$C40*X42,(VLOOKUP($C42,'S3 - Screening Tool Metrics'!$C$3:$G$17,5,FALSE)/100)*X42)</f>
        <v>184.60968702939124</v>
      </c>
      <c r="AB42" s="709">
        <f t="shared" si="41"/>
        <v>17.632252820381208</v>
      </c>
      <c r="AC42" s="706">
        <f t="shared" si="42"/>
        <v>228357.9666666667</v>
      </c>
      <c r="AD42" s="706">
        <f>VLOOKUP("*"&amp;$B42&amp;"*",'S4 - Summ PRS Characteristics'!$C$13:$Q$20,14,FALSE)*$J42</f>
        <v>134.40243659316357</v>
      </c>
      <c r="AE42" s="706">
        <f>$J42-AD42</f>
        <v>912.59756340683646</v>
      </c>
      <c r="AF42" s="706">
        <f>IF($C42="other",(1-$C40)*AD42,(1-(VLOOKUP($C42,'S3 - Screening Tool Metrics'!$C$3:$G$17,5,FALSE)/100))*AD42)</f>
        <v>26.88048731863271</v>
      </c>
      <c r="AG42" s="706">
        <f>IF($C42="other",$C40*AD42,(VLOOKUP($C42,'S3 - Screening Tool Metrics'!$C$3:$G$17,5,FALSE)/100)*AD42)</f>
        <v>107.52194927453087</v>
      </c>
      <c r="AH42" s="708">
        <f t="shared" si="43"/>
        <v>10.269527151340101</v>
      </c>
      <c r="AI42" s="707">
        <f t="shared" si="44"/>
        <v>45671.593333333338</v>
      </c>
      <c r="AJ42" s="706">
        <f>VLOOKUP("*"&amp;$B42&amp;"*",'S4 - Summ PRS Characteristics'!$C$13:$Q$20,15,FALSE)*$J42</f>
        <v>36.3452214956407</v>
      </c>
      <c r="AK42" s="706">
        <f t="shared" ref="AK42:AK54" si="48">$J42-AJ42</f>
        <v>1010.6547785043593</v>
      </c>
      <c r="AL42" s="706">
        <f>IF($C42="other",(1-$C40)*AJ42,(1-(VLOOKUP($C42,'S3 - Screening Tool Metrics'!$C$3:$G$17,5,FALSE)/100))*AJ42)</f>
        <v>7.2690442991281383</v>
      </c>
      <c r="AM42" s="706">
        <f>IF($C42="other",$C40*AJ42,(VLOOKUP($C42,'S3 - Screening Tool Metrics'!$C$3:$G$17,5,FALSE)/100)*AJ42)</f>
        <v>29.07617719651256</v>
      </c>
      <c r="AN42" s="709">
        <f t="shared" si="45"/>
        <v>2.777094288110082</v>
      </c>
    </row>
    <row r="43" spans="2:40" x14ac:dyDescent="0.15">
      <c r="B43" s="700" t="s">
        <v>11</v>
      </c>
      <c r="C43" s="721" t="str">
        <f>$C41</f>
        <v>Other</v>
      </c>
      <c r="D43" s="552" t="s">
        <v>194</v>
      </c>
      <c r="E43" s="710">
        <f>VLOOKUP($B43&amp;"_"&amp;$D43,'App5 - CRUK Inci Rates'!C:H,6,FALSE)</f>
        <v>47.1</v>
      </c>
      <c r="F43" s="711">
        <f>VLOOKUP($B43&amp;"_"&amp;$D43,'App5 - CRUK Inci Rates'!C:H,3,FALSE)</f>
        <v>37.1</v>
      </c>
      <c r="G43" s="712">
        <f>VLOOKUP($B43&amp;"_"&amp;$D43,'App5 - CRUK Inci Rates'!C:J,8,FALSE)</f>
        <v>4658110.666666666</v>
      </c>
      <c r="H43" s="713">
        <f>VLOOKUP($B43&amp;"_"&amp;$D43,'App5 - CRUK Inci Rates'!C:J,7,FALSE)</f>
        <v>2293472.6666666665</v>
      </c>
      <c r="I43" s="713">
        <f>VLOOKUP($B43&amp;"_"&amp;$D43,'App5 - CRUK Inci Rates'!C:J,4,FALSE)</f>
        <v>2364638</v>
      </c>
      <c r="J43" s="709">
        <f>VLOOKUP($B43&amp;"_"&amp;$D43,'App5 - CRUK Inci Rates'!C:K,9,FALSE)</f>
        <v>1958</v>
      </c>
      <c r="K43" s="706">
        <f t="shared" si="8"/>
        <v>2329055.333333333</v>
      </c>
      <c r="L43" s="706">
        <f>VLOOKUP("*"&amp;$B43&amp;"*",'S4 - Summ PRS Characteristics'!$C$13:$Q$20,11,FALSE)*$J43</f>
        <v>1361.2528304145276</v>
      </c>
      <c r="M43" s="706">
        <f t="shared" si="9"/>
        <v>596.74716958547242</v>
      </c>
      <c r="N43" s="706">
        <f>IF($C43="other",(1-$C$7)*L43,(1-(VLOOKUP($C43,'S3 - Screening Tool Metrics'!$C$3:$G$17,5,FALSE)/100))*L43)</f>
        <v>272.25056608290544</v>
      </c>
      <c r="O43" s="706">
        <f>IF($C43="other",$C$7*L43,(VLOOKUP($C43,'S3 - Screening Tool Metrics'!$C$3:$G$17,5,FALSE)/100)*L43)</f>
        <v>1089.0022643316222</v>
      </c>
      <c r="P43" s="706">
        <f t="shared" si="10"/>
        <v>55.61809317321871</v>
      </c>
      <c r="Q43" s="707">
        <f t="shared" si="38"/>
        <v>931622.1333333333</v>
      </c>
      <c r="R43" s="706">
        <f>VLOOKUP("*"&amp;$B43&amp;"*",'S4 - Summ PRS Characteristics'!$C$13:$Q$20,12,FALSE)*$J43</f>
        <v>725.16342270575672</v>
      </c>
      <c r="S43" s="706">
        <f t="shared" si="46"/>
        <v>1232.8365772942434</v>
      </c>
      <c r="T43" s="706">
        <f>IF($C43="other",(1-$C40)*R43,(1-(VLOOKUP($C43,'S3 - Screening Tool Metrics'!$C$3:$G$17,5,FALSE)/100))*R43)</f>
        <v>145.0326845411513</v>
      </c>
      <c r="U43" s="706">
        <f>IF($C43="other",$C40*R43,(VLOOKUP($C43,'S3 - Screening Tool Metrics'!$C$3:$G$17,5,FALSE)/100)*R43)</f>
        <v>580.13073816460542</v>
      </c>
      <c r="V43" s="706">
        <f t="shared" si="39"/>
        <v>29.628740457845016</v>
      </c>
      <c r="W43" s="707">
        <f t="shared" si="40"/>
        <v>465811.06666666665</v>
      </c>
      <c r="X43" s="706">
        <f>VLOOKUP("*"&amp;$B43&amp;"*",'S4 - Summ PRS Characteristics'!$C$13:$Q$20,13,FALSE)*$J43</f>
        <v>431.54938777883001</v>
      </c>
      <c r="Y43" s="706">
        <f t="shared" si="47"/>
        <v>1526.4506122211701</v>
      </c>
      <c r="Z43" s="706">
        <f>IF($C43="other",(1-$C40)*X43,(1-(VLOOKUP($C43,'S3 - Screening Tool Metrics'!$C$3:$G$17,5,FALSE)/100))*X43)</f>
        <v>86.309877555765979</v>
      </c>
      <c r="AA43" s="706">
        <f>IF($C43="other",$C40*X43,(VLOOKUP($C43,'S3 - Screening Tool Metrics'!$C$3:$G$17,5,FALSE)/100)*X43)</f>
        <v>345.23951022306403</v>
      </c>
      <c r="AB43" s="709">
        <f t="shared" si="41"/>
        <v>17.632252820381204</v>
      </c>
      <c r="AC43" s="706">
        <f t="shared" si="42"/>
        <v>232905.53333333333</v>
      </c>
      <c r="AD43" s="706">
        <f>VLOOKUP("*"&amp;$B43&amp;"*",'S4 - Summ PRS Characteristics'!$C$13:$Q$20,14,FALSE)*$J43</f>
        <v>251.34667702904898</v>
      </c>
      <c r="AE43" s="706">
        <f t="shared" ref="AE43:AE54" si="49">$J43-AD43</f>
        <v>1706.653322970951</v>
      </c>
      <c r="AF43" s="706">
        <f>IF($C43="other",(1-$C40)*AD43,(1-(VLOOKUP($C43,'S3 - Screening Tool Metrics'!$C$3:$G$17,5,FALSE)/100))*AD43)</f>
        <v>50.269335405809784</v>
      </c>
      <c r="AG43" s="706">
        <f>IF($C43="other",$C40*AD43,(VLOOKUP($C43,'S3 - Screening Tool Metrics'!$C$3:$G$17,5,FALSE)/100)*AD43)</f>
        <v>201.07734162323919</v>
      </c>
      <c r="AH43" s="708">
        <f t="shared" si="43"/>
        <v>10.269527151340101</v>
      </c>
      <c r="AI43" s="707">
        <f t="shared" si="44"/>
        <v>46581.106666666659</v>
      </c>
      <c r="AJ43" s="706">
        <f>VLOOKUP("*"&amp;$B43&amp;"*",'S4 - Summ PRS Characteristics'!$C$13:$Q$20,15,FALSE)*$J43</f>
        <v>67.969382701494268</v>
      </c>
      <c r="AK43" s="706">
        <f t="shared" si="48"/>
        <v>1890.0306172985058</v>
      </c>
      <c r="AL43" s="706">
        <f>IF($C43="other",(1-$C40)*AJ43,(1-(VLOOKUP($C43,'S3 - Screening Tool Metrics'!$C$3:$G$17,5,FALSE)/100))*AJ43)</f>
        <v>13.593876540298851</v>
      </c>
      <c r="AM43" s="706">
        <f>IF($C43="other",$C40*AJ43,(VLOOKUP($C43,'S3 - Screening Tool Metrics'!$C$3:$G$17,5,FALSE)/100)*AJ43)</f>
        <v>54.375506161195418</v>
      </c>
      <c r="AN43" s="709">
        <f t="shared" si="45"/>
        <v>2.7770942881100829</v>
      </c>
    </row>
    <row r="44" spans="2:40" x14ac:dyDescent="0.15">
      <c r="B44" s="700" t="s">
        <v>11</v>
      </c>
      <c r="C44" s="721" t="str">
        <f>$C41</f>
        <v>Other</v>
      </c>
      <c r="D44" s="552" t="s">
        <v>195</v>
      </c>
      <c r="E44" s="710">
        <f>VLOOKUP($B44&amp;"_"&amp;$D44,'App5 - CRUK Inci Rates'!C:H,6,FALSE)</f>
        <v>87.7</v>
      </c>
      <c r="F44" s="711">
        <f>VLOOKUP($B44&amp;"_"&amp;$D44,'App5 - CRUK Inci Rates'!C:H,3,FALSE)</f>
        <v>60.6</v>
      </c>
      <c r="G44" s="712">
        <f>VLOOKUP($B44&amp;"_"&amp;$D44,'App5 - CRUK Inci Rates'!C:J,8,FALSE)</f>
        <v>4181606</v>
      </c>
      <c r="H44" s="713">
        <f>VLOOKUP($B44&amp;"_"&amp;$D44,'App5 - CRUK Inci Rates'!C:J,7,FALSE)</f>
        <v>2061918.6666666667</v>
      </c>
      <c r="I44" s="713">
        <f>VLOOKUP($B44&amp;"_"&amp;$D44,'App5 - CRUK Inci Rates'!C:J,4,FALSE)</f>
        <v>2119687.3333333335</v>
      </c>
      <c r="J44" s="709">
        <f>VLOOKUP($B44&amp;"_"&amp;$D44,'App5 - CRUK Inci Rates'!C:K,9,FALSE)</f>
        <v>3094</v>
      </c>
      <c r="K44" s="706">
        <f t="shared" si="8"/>
        <v>2090803</v>
      </c>
      <c r="L44" s="706">
        <f>VLOOKUP("*"&amp;$B44&amp;"*",'S4 - Summ PRS Characteristics'!$C$13:$Q$20,11,FALSE)*$J44</f>
        <v>2151.0297534742331</v>
      </c>
      <c r="M44" s="706">
        <f t="shared" si="9"/>
        <v>942.97024652576692</v>
      </c>
      <c r="N44" s="706">
        <f>IF($C44="other",(1-$C$7)*L44,(1-(VLOOKUP($C44,'S3 - Screening Tool Metrics'!$C$3:$G$17,5,FALSE)/100))*L44)</f>
        <v>430.20595069484654</v>
      </c>
      <c r="O44" s="706">
        <f>IF($C44="other",$C$7*L44,(VLOOKUP($C44,'S3 - Screening Tool Metrics'!$C$3:$G$17,5,FALSE)/100)*L44)</f>
        <v>1720.8238027793866</v>
      </c>
      <c r="P44" s="706">
        <f t="shared" si="10"/>
        <v>55.618093173218696</v>
      </c>
      <c r="Q44" s="707">
        <f t="shared" si="38"/>
        <v>836321.20000000007</v>
      </c>
      <c r="R44" s="706">
        <f>VLOOKUP("*"&amp;$B44&amp;"*",'S4 - Summ PRS Characteristics'!$C$13:$Q$20,12,FALSE)*$J44</f>
        <v>1145.8915372071558</v>
      </c>
      <c r="S44" s="706">
        <f t="shared" si="46"/>
        <v>1948.1084627928442</v>
      </c>
      <c r="T44" s="706">
        <f>IF($C44="other",(1-$C40)*R44,(1-(VLOOKUP($C44,'S3 - Screening Tool Metrics'!$C$3:$G$17,5,FALSE)/100))*R44)</f>
        <v>229.17830744143112</v>
      </c>
      <c r="U44" s="706">
        <f>IF($C44="other",$C40*R44,(VLOOKUP($C44,'S3 - Screening Tool Metrics'!$C$3:$G$17,5,FALSE)/100)*R44)</f>
        <v>916.71322976572469</v>
      </c>
      <c r="V44" s="706">
        <f t="shared" si="39"/>
        <v>29.628740457845016</v>
      </c>
      <c r="W44" s="707">
        <f t="shared" si="40"/>
        <v>418160.60000000003</v>
      </c>
      <c r="X44" s="706">
        <f>VLOOKUP("*"&amp;$B44&amp;"*",'S4 - Summ PRS Characteristics'!$C$13:$Q$20,13,FALSE)*$J44</f>
        <v>681.92737782824304</v>
      </c>
      <c r="Y44" s="706">
        <f t="shared" si="47"/>
        <v>2412.0726221717568</v>
      </c>
      <c r="Z44" s="706">
        <f>IF($C44="other",(1-$C40)*X44,(1-(VLOOKUP($C44,'S3 - Screening Tool Metrics'!$C$3:$G$17,5,FALSE)/100))*X44)</f>
        <v>136.38547556564859</v>
      </c>
      <c r="AA44" s="706">
        <f>IF($C44="other",$C40*X44,(VLOOKUP($C44,'S3 - Screening Tool Metrics'!$C$3:$G$17,5,FALSE)/100)*X44)</f>
        <v>545.54190226259448</v>
      </c>
      <c r="AB44" s="709">
        <f t="shared" si="41"/>
        <v>17.632252820381204</v>
      </c>
      <c r="AC44" s="706">
        <f t="shared" si="42"/>
        <v>209080.30000000002</v>
      </c>
      <c r="AD44" s="706">
        <f>VLOOKUP("*"&amp;$B44&amp;"*",'S4 - Summ PRS Characteristics'!$C$13:$Q$20,14,FALSE)*$J44</f>
        <v>397.17396257807843</v>
      </c>
      <c r="AE44" s="706">
        <f t="shared" si="49"/>
        <v>2696.8260374219217</v>
      </c>
      <c r="AF44" s="706">
        <f>IF($C44="other",(1-$C40)*AD44,(1-(VLOOKUP($C44,'S3 - Screening Tool Metrics'!$C$3:$G$17,5,FALSE)/100))*AD44)</f>
        <v>79.434792515615669</v>
      </c>
      <c r="AG44" s="706">
        <f>IF($C44="other",$C40*AD44,(VLOOKUP($C44,'S3 - Screening Tool Metrics'!$C$3:$G$17,5,FALSE)/100)*AD44)</f>
        <v>317.73917006246279</v>
      </c>
      <c r="AH44" s="708">
        <f t="shared" si="43"/>
        <v>10.269527151340103</v>
      </c>
      <c r="AI44" s="707">
        <f t="shared" si="44"/>
        <v>41816.06</v>
      </c>
      <c r="AJ44" s="706">
        <f>VLOOKUP("*"&amp;$B44&amp;"*",'S4 - Summ PRS Characteristics'!$C$13:$Q$20,15,FALSE)*$J44</f>
        <v>107.40412159265743</v>
      </c>
      <c r="AK44" s="706">
        <f t="shared" si="48"/>
        <v>2986.5958784073428</v>
      </c>
      <c r="AL44" s="706">
        <f>IF($C44="other",(1-$C40)*AJ44,(1-(VLOOKUP($C44,'S3 - Screening Tool Metrics'!$C$3:$G$17,5,FALSE)/100))*AJ44)</f>
        <v>21.480824318531482</v>
      </c>
      <c r="AM44" s="706">
        <f>IF($C44="other",$C40*AJ44,(VLOOKUP($C44,'S3 - Screening Tool Metrics'!$C$3:$G$17,5,FALSE)/100)*AJ44)</f>
        <v>85.923297274125957</v>
      </c>
      <c r="AN44" s="709">
        <f t="shared" si="45"/>
        <v>2.7770942881100829</v>
      </c>
    </row>
    <row r="45" spans="2:40" x14ac:dyDescent="0.15">
      <c r="B45" s="700" t="s">
        <v>11</v>
      </c>
      <c r="C45" s="721" t="str">
        <f>$C41</f>
        <v>Other</v>
      </c>
      <c r="D45" s="552" t="s">
        <v>196</v>
      </c>
      <c r="E45" s="710">
        <f>VLOOKUP($B45&amp;"_"&amp;$D45,'App5 - CRUK Inci Rates'!C:H,6,FALSE)</f>
        <v>151.4</v>
      </c>
      <c r="F45" s="711">
        <f>VLOOKUP($B45&amp;"_"&amp;$D45,'App5 - CRUK Inci Rates'!C:H,3,FALSE)</f>
        <v>91</v>
      </c>
      <c r="G45" s="712">
        <f>VLOOKUP($B45&amp;"_"&amp;$D45,'App5 - CRUK Inci Rates'!C:J,8,FALSE)</f>
        <v>3602002</v>
      </c>
      <c r="H45" s="713">
        <f>VLOOKUP($B45&amp;"_"&amp;$D45,'App5 - CRUK Inci Rates'!C:J,7,FALSE)</f>
        <v>1764828</v>
      </c>
      <c r="I45" s="713">
        <f>VLOOKUP($B45&amp;"_"&amp;$D45,'App5 - CRUK Inci Rates'!C:J,4,FALSE)</f>
        <v>1837174</v>
      </c>
      <c r="J45" s="709">
        <f>VLOOKUP($B45&amp;"_"&amp;$D45,'App5 - CRUK Inci Rates'!C:K,9,FALSE)</f>
        <v>4345</v>
      </c>
      <c r="K45" s="706">
        <f t="shared" si="8"/>
        <v>1801001</v>
      </c>
      <c r="L45" s="706">
        <f>VLOOKUP("*"&amp;$B45&amp;"*",'S4 - Summ PRS Characteristics'!$C$13:$Q$20,11,FALSE)*$J45</f>
        <v>3020.7576854704403</v>
      </c>
      <c r="M45" s="706">
        <f t="shared" si="9"/>
        <v>1324.2423145295597</v>
      </c>
      <c r="N45" s="706">
        <f>IF($C45="other",(1-$C$7)*L45,(1-(VLOOKUP($C45,'S3 - Screening Tool Metrics'!$C$3:$G$17,5,FALSE)/100))*L45)</f>
        <v>604.15153709408787</v>
      </c>
      <c r="O45" s="706">
        <f>IF($C45="other",$C$7*L45,(VLOOKUP($C45,'S3 - Screening Tool Metrics'!$C$3:$G$17,5,FALSE)/100)*L45)</f>
        <v>2416.6061483763524</v>
      </c>
      <c r="P45" s="706">
        <f t="shared" si="10"/>
        <v>55.618093173218696</v>
      </c>
      <c r="Q45" s="707">
        <f t="shared" si="38"/>
        <v>720400.4</v>
      </c>
      <c r="R45" s="706">
        <f>VLOOKUP("*"&amp;$B45&amp;"*",'S4 - Summ PRS Characteristics'!$C$13:$Q$20,12,FALSE)*$J45</f>
        <v>1609.2109661167074</v>
      </c>
      <c r="S45" s="706">
        <f t="shared" si="46"/>
        <v>2735.7890338832926</v>
      </c>
      <c r="T45" s="706">
        <f>IF($C45="other",(1-$C40)*R45,(1-(VLOOKUP($C45,'S3 - Screening Tool Metrics'!$C$3:$G$17,5,FALSE)/100))*R45)</f>
        <v>321.84219322334138</v>
      </c>
      <c r="U45" s="706">
        <f>IF($C45="other",$C40*R45,(VLOOKUP($C45,'S3 - Screening Tool Metrics'!$C$3:$G$17,5,FALSE)/100)*R45)</f>
        <v>1287.368772893366</v>
      </c>
      <c r="V45" s="706">
        <f t="shared" si="39"/>
        <v>29.628740457845016</v>
      </c>
      <c r="W45" s="707">
        <f t="shared" si="40"/>
        <v>360200.2</v>
      </c>
      <c r="X45" s="706">
        <f>VLOOKUP("*"&amp;$B45&amp;"*",'S4 - Summ PRS Characteristics'!$C$13:$Q$20,13,FALSE)*$J45</f>
        <v>957.65173130695416</v>
      </c>
      <c r="Y45" s="706">
        <f t="shared" si="47"/>
        <v>3387.3482686930456</v>
      </c>
      <c r="Z45" s="706">
        <f>IF($C45="other",(1-$C40)*X45,(1-(VLOOKUP($C45,'S3 - Screening Tool Metrics'!$C$3:$G$17,5,FALSE)/100))*X45)</f>
        <v>191.5303462613908</v>
      </c>
      <c r="AA45" s="706">
        <f>IF($C45="other",$C40*X45,(VLOOKUP($C45,'S3 - Screening Tool Metrics'!$C$3:$G$17,5,FALSE)/100)*X45)</f>
        <v>766.12138504556333</v>
      </c>
      <c r="AB45" s="709">
        <f t="shared" si="41"/>
        <v>17.632252820381204</v>
      </c>
      <c r="AC45" s="706">
        <f t="shared" si="42"/>
        <v>180100.1</v>
      </c>
      <c r="AD45" s="706">
        <f>VLOOKUP("*"&amp;$B45&amp;"*",'S4 - Summ PRS Characteristics'!$C$13:$Q$20,14,FALSE)*$J45</f>
        <v>557.76369340715928</v>
      </c>
      <c r="AE45" s="706">
        <f t="shared" si="49"/>
        <v>3787.2363065928407</v>
      </c>
      <c r="AF45" s="706">
        <f>IF($C45="other",(1-$C40)*AD45,(1-(VLOOKUP($C45,'S3 - Screening Tool Metrics'!$C$3:$G$17,5,FALSE)/100))*AD45)</f>
        <v>111.55273868143183</v>
      </c>
      <c r="AG45" s="706">
        <f>IF($C45="other",$C40*AD45,(VLOOKUP($C45,'S3 - Screening Tool Metrics'!$C$3:$G$17,5,FALSE)/100)*AD45)</f>
        <v>446.21095472572745</v>
      </c>
      <c r="AH45" s="708">
        <f t="shared" si="43"/>
        <v>10.269527151340101</v>
      </c>
      <c r="AI45" s="707">
        <f t="shared" si="44"/>
        <v>36020.020000000004</v>
      </c>
      <c r="AJ45" s="706">
        <f>VLOOKUP("*"&amp;$B45&amp;"*",'S4 - Summ PRS Characteristics'!$C$13:$Q$20,15,FALSE)*$J45</f>
        <v>150.83093352297885</v>
      </c>
      <c r="AK45" s="706">
        <f t="shared" si="48"/>
        <v>4194.1690664770213</v>
      </c>
      <c r="AL45" s="706">
        <f>IF($C45="other",(1-$C40)*AJ45,(1-(VLOOKUP($C45,'S3 - Screening Tool Metrics'!$C$3:$G$17,5,FALSE)/100))*AJ45)</f>
        <v>30.166186704595763</v>
      </c>
      <c r="AM45" s="706">
        <f>IF($C45="other",$C40*AJ45,(VLOOKUP($C45,'S3 - Screening Tool Metrics'!$C$3:$G$17,5,FALSE)/100)*AJ45)</f>
        <v>120.66474681838309</v>
      </c>
      <c r="AN45" s="709">
        <f t="shared" si="45"/>
        <v>2.7770942881100829</v>
      </c>
    </row>
    <row r="46" spans="2:40" x14ac:dyDescent="0.15">
      <c r="B46" s="700" t="s">
        <v>11</v>
      </c>
      <c r="C46" s="721" t="str">
        <f>$C41</f>
        <v>Other</v>
      </c>
      <c r="D46" s="552" t="s">
        <v>197</v>
      </c>
      <c r="E46" s="710">
        <f>VLOOKUP($B46&amp;"_"&amp;$D46,'App5 - CRUK Inci Rates'!C:H,6,FALSE)</f>
        <v>198.3</v>
      </c>
      <c r="F46" s="711">
        <f>VLOOKUP($B46&amp;"_"&amp;$D46,'App5 - CRUK Inci Rates'!C:H,3,FALSE)</f>
        <v>119.1</v>
      </c>
      <c r="G46" s="712">
        <f>VLOOKUP($B46&amp;"_"&amp;$D46,'App5 - CRUK Inci Rates'!C:J,8,FALSE)</f>
        <v>3502183.333333333</v>
      </c>
      <c r="H46" s="713">
        <f>VLOOKUP($B46&amp;"_"&amp;$D46,'App5 - CRUK Inci Rates'!C:J,7,FALSE)</f>
        <v>1696993.3333333333</v>
      </c>
      <c r="I46" s="713">
        <f>VLOOKUP($B46&amp;"_"&amp;$D46,'App5 - CRUK Inci Rates'!C:J,4,FALSE)</f>
        <v>1805190</v>
      </c>
      <c r="J46" s="709">
        <f>VLOOKUP($B46&amp;"_"&amp;$D46,'App5 - CRUK Inci Rates'!C:K,9,FALSE)</f>
        <v>5516</v>
      </c>
      <c r="K46" s="706">
        <f t="shared" si="8"/>
        <v>1751091.6666666665</v>
      </c>
      <c r="L46" s="706">
        <f>VLOOKUP("*"&amp;$B46&amp;"*",'S4 - Summ PRS Characteristics'!$C$13:$Q$20,11,FALSE)*$J46</f>
        <v>3834.8675242934291</v>
      </c>
      <c r="M46" s="706">
        <f t="shared" si="9"/>
        <v>1681.1324757065709</v>
      </c>
      <c r="N46" s="706">
        <f>IF($C46="other",(1-$C$7)*L46,(1-(VLOOKUP($C46,'S3 - Screening Tool Metrics'!$C$3:$G$17,5,FALSE)/100))*L46)</f>
        <v>766.97350485868571</v>
      </c>
      <c r="O46" s="706">
        <f>IF($C46="other",$C$7*L46,(VLOOKUP($C46,'S3 - Screening Tool Metrics'!$C$3:$G$17,5,FALSE)/100)*L46)</f>
        <v>3067.8940194347433</v>
      </c>
      <c r="P46" s="706">
        <f t="shared" si="10"/>
        <v>55.618093173218696</v>
      </c>
      <c r="Q46" s="707">
        <f t="shared" si="38"/>
        <v>700436.66666666663</v>
      </c>
      <c r="R46" s="706">
        <f>VLOOKUP("*"&amp;$B46&amp;"*",'S4 - Summ PRS Characteristics'!$C$13:$Q$20,12,FALSE)*$J46</f>
        <v>2042.9016545684137</v>
      </c>
      <c r="S46" s="706">
        <f t="shared" si="46"/>
        <v>3473.0983454315865</v>
      </c>
      <c r="T46" s="706">
        <f>IF($C46="other",(1-$C40)*R46,(1-(VLOOKUP($C46,'S3 - Screening Tool Metrics'!$C$3:$G$17,5,FALSE)/100))*R46)</f>
        <v>408.58033091368264</v>
      </c>
      <c r="U46" s="706">
        <f>IF($C46="other",$C40*R46,(VLOOKUP($C46,'S3 - Screening Tool Metrics'!$C$3:$G$17,5,FALSE)/100)*R46)</f>
        <v>1634.321323654731</v>
      </c>
      <c r="V46" s="706">
        <f t="shared" si="39"/>
        <v>29.628740457845016</v>
      </c>
      <c r="W46" s="707">
        <f t="shared" si="40"/>
        <v>350218.33333333331</v>
      </c>
      <c r="X46" s="706">
        <f>VLOOKUP("*"&amp;$B46&amp;"*",'S4 - Summ PRS Characteristics'!$C$13:$Q$20,13,FALSE)*$J46</f>
        <v>1215.743831965284</v>
      </c>
      <c r="Y46" s="706">
        <f t="shared" si="47"/>
        <v>4300.2561680347162</v>
      </c>
      <c r="Z46" s="706">
        <f>IF($C46="other",(1-$C40)*X46,(1-(VLOOKUP($C46,'S3 - Screening Tool Metrics'!$C$3:$G$17,5,FALSE)/100))*X46)</f>
        <v>243.14876639305675</v>
      </c>
      <c r="AA46" s="706">
        <f>IF($C46="other",$C40*X46,(VLOOKUP($C46,'S3 - Screening Tool Metrics'!$C$3:$G$17,5,FALSE)/100)*X46)</f>
        <v>972.59506557222721</v>
      </c>
      <c r="AB46" s="709">
        <f t="shared" si="41"/>
        <v>17.632252820381204</v>
      </c>
      <c r="AC46" s="706">
        <f t="shared" si="42"/>
        <v>175109.16666666666</v>
      </c>
      <c r="AD46" s="706">
        <f>VLOOKUP("*"&amp;$B46&amp;"*",'S4 - Summ PRS Characteristics'!$C$13:$Q$20,14,FALSE)*$J46</f>
        <v>708.08389708489995</v>
      </c>
      <c r="AE46" s="706">
        <f t="shared" si="49"/>
        <v>4807.9161029151001</v>
      </c>
      <c r="AF46" s="706">
        <f>IF($C46="other",(1-$C40)*AD46,(1-(VLOOKUP($C46,'S3 - Screening Tool Metrics'!$C$3:$G$17,5,FALSE)/100))*AD46)</f>
        <v>141.61677941697997</v>
      </c>
      <c r="AG46" s="706">
        <f>IF($C46="other",$C40*AD46,(VLOOKUP($C46,'S3 - Screening Tool Metrics'!$C$3:$G$17,5,FALSE)/100)*AD46)</f>
        <v>566.46711766791998</v>
      </c>
      <c r="AH46" s="708">
        <f t="shared" si="43"/>
        <v>10.269527151340101</v>
      </c>
      <c r="AI46" s="707">
        <f t="shared" si="44"/>
        <v>35021.833333333328</v>
      </c>
      <c r="AJ46" s="706">
        <f>VLOOKUP("*"&amp;$B46&amp;"*",'S4 - Summ PRS Characteristics'!$C$13:$Q$20,15,FALSE)*$J46</f>
        <v>191.48065116519018</v>
      </c>
      <c r="AK46" s="706">
        <f t="shared" si="48"/>
        <v>5324.5193488348095</v>
      </c>
      <c r="AL46" s="706">
        <f>IF($C46="other",(1-$C40)*AJ46,(1-(VLOOKUP($C46,'S3 - Screening Tool Metrics'!$C$3:$G$17,5,FALSE)/100))*AJ46)</f>
        <v>38.296130233038028</v>
      </c>
      <c r="AM46" s="706">
        <f>IF($C46="other",$C40*AJ46,(VLOOKUP($C46,'S3 - Screening Tool Metrics'!$C$3:$G$17,5,FALSE)/100)*AJ46)</f>
        <v>153.18452093215214</v>
      </c>
      <c r="AN46" s="709">
        <f t="shared" si="45"/>
        <v>2.7770942881100824</v>
      </c>
    </row>
    <row r="47" spans="2:40" x14ac:dyDescent="0.15">
      <c r="B47" s="700" t="s">
        <v>11</v>
      </c>
      <c r="C47" s="721" t="str">
        <f>$C41</f>
        <v>Other</v>
      </c>
      <c r="D47" s="552" t="s">
        <v>198</v>
      </c>
      <c r="E47" s="710">
        <f>VLOOKUP($B47&amp;"_"&amp;$D47,'App5 - CRUK Inci Rates'!C:H,6,FALSE)</f>
        <v>273.5</v>
      </c>
      <c r="F47" s="711">
        <f>VLOOKUP($B47&amp;"_"&amp;$D47,'App5 - CRUK Inci Rates'!C:H,3,FALSE)</f>
        <v>171.2</v>
      </c>
      <c r="G47" s="712">
        <f>VLOOKUP($B47&amp;"_"&amp;$D47,'App5 - CRUK Inci Rates'!C:J,8,FALSE)</f>
        <v>3071574.666666667</v>
      </c>
      <c r="H47" s="713">
        <f>VLOOKUP($B47&amp;"_"&amp;$D47,'App5 - CRUK Inci Rates'!C:J,7,FALSE)</f>
        <v>1467965</v>
      </c>
      <c r="I47" s="713">
        <f>VLOOKUP($B47&amp;"_"&amp;$D47,'App5 - CRUK Inci Rates'!C:J,4,FALSE)</f>
        <v>1603609.6666666667</v>
      </c>
      <c r="J47" s="709">
        <f>VLOOKUP($B47&amp;"_"&amp;$D47,'App5 - CRUK Inci Rates'!C:K,9,FALSE)</f>
        <v>6760</v>
      </c>
      <c r="K47" s="706">
        <f t="shared" si="8"/>
        <v>1535787.3333333335</v>
      </c>
      <c r="L47" s="706">
        <f>VLOOKUP("*"&amp;$B47&amp;"*",'S4 - Summ PRS Characteristics'!$C$13:$Q$20,11,FALSE)*$J47</f>
        <v>4699.7288731369799</v>
      </c>
      <c r="M47" s="706">
        <f t="shared" si="9"/>
        <v>2060.2711268630201</v>
      </c>
      <c r="N47" s="706">
        <f>IF($C47="other",(1-$C$7)*L47,(1-(VLOOKUP($C47,'S3 - Screening Tool Metrics'!$C$3:$G$17,5,FALSE)/100))*L47)</f>
        <v>939.94577462739574</v>
      </c>
      <c r="O47" s="706">
        <f>IF($C47="other",$C$7*L47,(VLOOKUP($C47,'S3 - Screening Tool Metrics'!$C$3:$G$17,5,FALSE)/100)*L47)</f>
        <v>3759.7830985095843</v>
      </c>
      <c r="P47" s="706">
        <f t="shared" si="10"/>
        <v>55.61809317321871</v>
      </c>
      <c r="Q47" s="707">
        <f t="shared" si="38"/>
        <v>614314.93333333347</v>
      </c>
      <c r="R47" s="706">
        <f>VLOOKUP("*"&amp;$B47&amp;"*",'S4 - Summ PRS Characteristics'!$C$13:$Q$20,12,FALSE)*$J47</f>
        <v>2503.6285686879037</v>
      </c>
      <c r="S47" s="706">
        <f t="shared" si="46"/>
        <v>4256.3714313120963</v>
      </c>
      <c r="T47" s="706">
        <f>IF($C47="other",(1-$C40)*R47,(1-(VLOOKUP($C47,'S3 - Screening Tool Metrics'!$C$3:$G$17,5,FALSE)/100))*R47)</f>
        <v>500.72571373758063</v>
      </c>
      <c r="U47" s="706">
        <f>IF($C47="other",$C40*R47,(VLOOKUP($C47,'S3 - Screening Tool Metrics'!$C$3:$G$17,5,FALSE)/100)*R47)</f>
        <v>2002.902854950323</v>
      </c>
      <c r="V47" s="706">
        <f t="shared" si="39"/>
        <v>29.628740457845016</v>
      </c>
      <c r="W47" s="707">
        <f t="shared" si="40"/>
        <v>307157.46666666673</v>
      </c>
      <c r="X47" s="706">
        <f>VLOOKUP("*"&amp;$B47&amp;"*",'S4 - Summ PRS Characteristics'!$C$13:$Q$20,13,FALSE)*$J47</f>
        <v>1489.9253633222118</v>
      </c>
      <c r="Y47" s="706">
        <f t="shared" si="47"/>
        <v>5270.0746366777885</v>
      </c>
      <c r="Z47" s="706">
        <f>IF($C47="other",(1-$C40)*X47,(1-(VLOOKUP($C47,'S3 - Screening Tool Metrics'!$C$3:$G$17,5,FALSE)/100))*X47)</f>
        <v>297.98507266444227</v>
      </c>
      <c r="AA47" s="706">
        <f>IF($C47="other",$C40*X47,(VLOOKUP($C47,'S3 - Screening Tool Metrics'!$C$3:$G$17,5,FALSE)/100)*X47)</f>
        <v>1191.9402906577695</v>
      </c>
      <c r="AB47" s="709">
        <f t="shared" si="41"/>
        <v>17.632252820381204</v>
      </c>
      <c r="AC47" s="706">
        <f t="shared" si="42"/>
        <v>153578.73333333337</v>
      </c>
      <c r="AD47" s="706">
        <f>VLOOKUP("*"&amp;$B47&amp;"*",'S4 - Summ PRS Characteristics'!$C$13:$Q$20,14,FALSE)*$J47</f>
        <v>867.77504428823852</v>
      </c>
      <c r="AE47" s="706">
        <f t="shared" si="49"/>
        <v>5892.2249557117611</v>
      </c>
      <c r="AF47" s="706">
        <f>IF($C47="other",(1-$C40)*AD47,(1-(VLOOKUP($C47,'S3 - Screening Tool Metrics'!$C$3:$G$17,5,FALSE)/100))*AD47)</f>
        <v>173.55500885764766</v>
      </c>
      <c r="AG47" s="706">
        <f>IF($C47="other",$C40*AD47,(VLOOKUP($C47,'S3 - Screening Tool Metrics'!$C$3:$G$17,5,FALSE)/100)*AD47)</f>
        <v>694.22003543059088</v>
      </c>
      <c r="AH47" s="708">
        <f t="shared" si="43"/>
        <v>10.269527151340101</v>
      </c>
      <c r="AI47" s="707">
        <f t="shared" si="44"/>
        <v>30715.74666666667</v>
      </c>
      <c r="AJ47" s="706">
        <f>VLOOKUP("*"&amp;$B47&amp;"*",'S4 - Summ PRS Characteristics'!$C$13:$Q$20,15,FALSE)*$J47</f>
        <v>234.66446734530197</v>
      </c>
      <c r="AK47" s="706">
        <f t="shared" si="48"/>
        <v>6525.335532654698</v>
      </c>
      <c r="AL47" s="706">
        <f>IF($C47="other",(1-$C40)*AJ47,(1-(VLOOKUP($C47,'S3 - Screening Tool Metrics'!$C$3:$G$17,5,FALSE)/100))*AJ47)</f>
        <v>46.932893469060382</v>
      </c>
      <c r="AM47" s="706">
        <f>IF($C47="other",$C40*AJ47,(VLOOKUP($C47,'S3 - Screening Tool Metrics'!$C$3:$G$17,5,FALSE)/100)*AJ47)</f>
        <v>187.73157387624158</v>
      </c>
      <c r="AN47" s="709">
        <f t="shared" si="45"/>
        <v>2.7770942881100829</v>
      </c>
    </row>
    <row r="48" spans="2:40" x14ac:dyDescent="0.15">
      <c r="B48" s="700" t="s">
        <v>11</v>
      </c>
      <c r="C48" s="721" t="str">
        <f>$C41</f>
        <v>Other</v>
      </c>
      <c r="D48" s="552" t="s">
        <v>199</v>
      </c>
      <c r="E48" s="710">
        <f>VLOOKUP($B48&amp;"_"&amp;$D48,'App5 - CRUK Inci Rates'!C:H,6,FALSE)</f>
        <v>351.7</v>
      </c>
      <c r="F48" s="711">
        <f>VLOOKUP($B48&amp;"_"&amp;$D48,'App5 - CRUK Inci Rates'!C:H,3,FALSE)</f>
        <v>234.8</v>
      </c>
      <c r="G48" s="712">
        <f>VLOOKUP($B48&amp;"_"&amp;$D48,'App5 - CRUK Inci Rates'!C:J,8,FALSE)</f>
        <v>2189010.6666666665</v>
      </c>
      <c r="H48" s="713">
        <f>VLOOKUP($B48&amp;"_"&amp;$D48,'App5 - CRUK Inci Rates'!C:J,7,FALSE)</f>
        <v>1007365.3333333334</v>
      </c>
      <c r="I48" s="713">
        <f>VLOOKUP($B48&amp;"_"&amp;$D48,'App5 - CRUK Inci Rates'!C:J,4,FALSE)</f>
        <v>1181645.3333333333</v>
      </c>
      <c r="J48" s="709">
        <f>VLOOKUP($B48&amp;"_"&amp;$D48,'App5 - CRUK Inci Rates'!C:K,9,FALSE)</f>
        <v>6318</v>
      </c>
      <c r="K48" s="706">
        <f t="shared" si="8"/>
        <v>1094505.3333333333</v>
      </c>
      <c r="L48" s="706">
        <f>VLOOKUP("*"&amp;$B48&amp;"*",'S4 - Summ PRS Characteristics'!$C$13:$Q$20,11,FALSE)*$J48</f>
        <v>4392.4389083549468</v>
      </c>
      <c r="M48" s="706">
        <f t="shared" si="9"/>
        <v>1925.5610916450532</v>
      </c>
      <c r="N48" s="706">
        <f>IF($C48="other",(1-$C$7)*L48,(1-(VLOOKUP($C48,'S3 - Screening Tool Metrics'!$C$3:$G$17,5,FALSE)/100))*L48)</f>
        <v>878.48778167098919</v>
      </c>
      <c r="O48" s="706">
        <f>IF($C48="other",$C$7*L48,(VLOOKUP($C48,'S3 - Screening Tool Metrics'!$C$3:$G$17,5,FALSE)/100)*L48)</f>
        <v>3513.9511266839577</v>
      </c>
      <c r="P48" s="706">
        <f t="shared" si="10"/>
        <v>55.61809317321871</v>
      </c>
      <c r="Q48" s="707">
        <f t="shared" si="38"/>
        <v>437802.1333333333</v>
      </c>
      <c r="R48" s="706">
        <f>VLOOKUP("*"&amp;$B48&amp;"*",'S4 - Summ PRS Characteristics'!$C$13:$Q$20,12,FALSE)*$J48</f>
        <v>2339.9297776583098</v>
      </c>
      <c r="S48" s="706">
        <f t="shared" si="46"/>
        <v>3978.0702223416902</v>
      </c>
      <c r="T48" s="706">
        <f>IF($C48="other",(1-$C40)*R48,(1-(VLOOKUP($C48,'S3 - Screening Tool Metrics'!$C$3:$G$17,5,FALSE)/100))*R48)</f>
        <v>467.98595553166189</v>
      </c>
      <c r="U48" s="706">
        <f>IF($C48="other",$C40*R48,(VLOOKUP($C48,'S3 - Screening Tool Metrics'!$C$3:$G$17,5,FALSE)/100)*R48)</f>
        <v>1871.943822126648</v>
      </c>
      <c r="V48" s="706">
        <f t="shared" si="39"/>
        <v>29.628740457845016</v>
      </c>
      <c r="W48" s="707">
        <f t="shared" si="40"/>
        <v>218901.06666666665</v>
      </c>
      <c r="X48" s="706">
        <f>VLOOKUP("*"&amp;$B48&amp;"*",'S4 - Summ PRS Characteristics'!$C$13:$Q$20,13,FALSE)*$J48</f>
        <v>1392.5071664896057</v>
      </c>
      <c r="Y48" s="706">
        <f t="shared" si="47"/>
        <v>4925.4928335103941</v>
      </c>
      <c r="Z48" s="706">
        <f>IF($C48="other",(1-$C40)*X48,(1-(VLOOKUP($C48,'S3 - Screening Tool Metrics'!$C$3:$G$17,5,FALSE)/100))*X48)</f>
        <v>278.5014332979211</v>
      </c>
      <c r="AA48" s="706">
        <f>IF($C48="other",$C40*X48,(VLOOKUP($C48,'S3 - Screening Tool Metrics'!$C$3:$G$17,5,FALSE)/100)*X48)</f>
        <v>1114.0057331916846</v>
      </c>
      <c r="AB48" s="709">
        <f t="shared" si="41"/>
        <v>17.632252820381204</v>
      </c>
      <c r="AC48" s="706">
        <f t="shared" si="42"/>
        <v>109450.53333333333</v>
      </c>
      <c r="AD48" s="706">
        <f>VLOOKUP("*"&amp;$B48&amp;"*",'S4 - Summ PRS Characteristics'!$C$13:$Q$20,14,FALSE)*$J48</f>
        <v>811.03590677708451</v>
      </c>
      <c r="AE48" s="706">
        <f t="shared" si="49"/>
        <v>5506.9640932229158</v>
      </c>
      <c r="AF48" s="706">
        <f>IF($C48="other",(1-$C40)*AD48,(1-(VLOOKUP($C48,'S3 - Screening Tool Metrics'!$C$3:$G$17,5,FALSE)/100))*AD48)</f>
        <v>162.20718135541688</v>
      </c>
      <c r="AG48" s="706">
        <f>IF($C48="other",$C40*AD48,(VLOOKUP($C48,'S3 - Screening Tool Metrics'!$C$3:$G$17,5,FALSE)/100)*AD48)</f>
        <v>648.82872542166763</v>
      </c>
      <c r="AH48" s="708">
        <f t="shared" si="43"/>
        <v>10.269527151340101</v>
      </c>
      <c r="AI48" s="707">
        <f t="shared" si="44"/>
        <v>21890.106666666667</v>
      </c>
      <c r="AJ48" s="706">
        <f>VLOOKUP("*"&amp;$B48&amp;"*",'S4 - Summ PRS Characteristics'!$C$13:$Q$20,15,FALSE)*$J48</f>
        <v>219.32102140349375</v>
      </c>
      <c r="AK48" s="706">
        <f t="shared" si="48"/>
        <v>6098.6789785965066</v>
      </c>
      <c r="AL48" s="706">
        <f>IF($C48="other",(1-$C40)*AJ48,(1-(VLOOKUP($C48,'S3 - Screening Tool Metrics'!$C$3:$G$17,5,FALSE)/100))*AJ48)</f>
        <v>43.864204280698736</v>
      </c>
      <c r="AM48" s="706">
        <f>IF($C48="other",$C40*AJ48,(VLOOKUP($C48,'S3 - Screening Tool Metrics'!$C$3:$G$17,5,FALSE)/100)*AJ48)</f>
        <v>175.456817122795</v>
      </c>
      <c r="AN48" s="709">
        <f t="shared" si="45"/>
        <v>2.7770942881100824</v>
      </c>
    </row>
    <row r="49" spans="2:40" x14ac:dyDescent="0.15">
      <c r="B49" s="700" t="s">
        <v>11</v>
      </c>
      <c r="C49" s="721" t="str">
        <f>$C41</f>
        <v>Other</v>
      </c>
      <c r="D49" s="552" t="s">
        <v>200</v>
      </c>
      <c r="E49" s="710">
        <f>VLOOKUP($B49&amp;"_"&amp;$D49,'App5 - CRUK Inci Rates'!C:H,6,FALSE)</f>
        <v>80.808733585157356</v>
      </c>
      <c r="F49" s="711">
        <f>VLOOKUP($B49&amp;"_"&amp;$D49,'App5 - CRUK Inci Rates'!C:H,3,FALSE)</f>
        <v>54.095614158070582</v>
      </c>
      <c r="G49" s="712">
        <f>VLOOKUP($B49&amp;"_"&amp;$D49,'App5 - CRUK Inci Rates'!C:J,8,FALSE)</f>
        <v>24586669.333333336</v>
      </c>
      <c r="H49" s="713">
        <f>VLOOKUP($B49&amp;"_"&amp;$D49,'App5 - CRUK Inci Rates'!C:J,7,FALSE)</f>
        <v>12090277.333333334</v>
      </c>
      <c r="I49" s="713">
        <f>VLOOKUP($B49&amp;"_"&amp;$D49,'App5 - CRUK Inci Rates'!C:J,4,FALSE)</f>
        <v>12496392</v>
      </c>
      <c r="J49" s="709">
        <f>VLOOKUP($B49&amp;"_"&amp;$D49,'App5 - CRUK Inci Rates'!C:K,9,FALSE)</f>
        <v>16530</v>
      </c>
      <c r="K49" s="706">
        <f t="shared" si="8"/>
        <v>12293334.666666668</v>
      </c>
      <c r="L49" s="706">
        <f>VLOOKUP("*"&amp;$B49&amp;"*",'S4 - Summ PRS Characteristics'!$C$13:$Q$20,11,FALSE)*$J49</f>
        <v>11492.088501916312</v>
      </c>
      <c r="M49" s="706">
        <f t="shared" si="9"/>
        <v>5037.9114980836875</v>
      </c>
      <c r="N49" s="706">
        <f>IF($C49="other",(1-$C$7)*L49,(1-(VLOOKUP($C49,'S3 - Screening Tool Metrics'!$C$3:$G$17,5,FALSE)/100))*L49)</f>
        <v>2298.4177003832619</v>
      </c>
      <c r="O49" s="706">
        <f>IF($C49="other",$C$7*L49,(VLOOKUP($C49,'S3 - Screening Tool Metrics'!$C$3:$G$17,5,FALSE)/100)*L49)</f>
        <v>9193.6708015330496</v>
      </c>
      <c r="P49" s="706">
        <f t="shared" si="10"/>
        <v>55.618093173218682</v>
      </c>
      <c r="Q49" s="707">
        <f t="shared" si="38"/>
        <v>4917333.8666666672</v>
      </c>
      <c r="R49" s="706">
        <f>VLOOKUP("*"&amp;$B49&amp;"*",'S4 - Summ PRS Characteristics'!$C$13:$Q$20,12,FALSE)*$J49</f>
        <v>6122.0384971022258</v>
      </c>
      <c r="S49" s="706">
        <f t="shared" si="46"/>
        <v>10407.961502897775</v>
      </c>
      <c r="T49" s="706">
        <f>IF($C49="other",(1-$C40)*R49,(1-(VLOOKUP($C49,'S3 - Screening Tool Metrics'!$C$3:$G$17,5,FALSE)/100))*R49)</f>
        <v>1224.4076994204449</v>
      </c>
      <c r="U49" s="706">
        <f>IF($C49="other",$C40*R49,(VLOOKUP($C49,'S3 - Screening Tool Metrics'!$C$3:$G$17,5,FALSE)/100)*R49)</f>
        <v>4897.6307976817807</v>
      </c>
      <c r="V49" s="706">
        <f t="shared" si="39"/>
        <v>29.628740457845016</v>
      </c>
      <c r="W49" s="707">
        <f t="shared" si="40"/>
        <v>2458666.9333333336</v>
      </c>
      <c r="X49" s="706">
        <f>VLOOKUP("*"&amp;$B49&amp;"*",'S4 - Summ PRS Characteristics'!$C$13:$Q$20,13,FALSE)*$J49</f>
        <v>3643.2642390112665</v>
      </c>
      <c r="Y49" s="706">
        <f t="shared" si="47"/>
        <v>12886.735760988733</v>
      </c>
      <c r="Z49" s="706">
        <f>IF($C49="other",(1-$C40)*X49,(1-(VLOOKUP($C49,'S3 - Screening Tool Metrics'!$C$3:$G$17,5,FALSE)/100))*X49)</f>
        <v>728.65284780225318</v>
      </c>
      <c r="AA49" s="706">
        <f>IF($C49="other",$C40*X49,(VLOOKUP($C49,'S3 - Screening Tool Metrics'!$C$3:$G$17,5,FALSE)/100)*X49)</f>
        <v>2914.6113912090132</v>
      </c>
      <c r="AB49" s="709">
        <f t="shared" si="41"/>
        <v>17.632252820381204</v>
      </c>
      <c r="AC49" s="706">
        <f t="shared" si="42"/>
        <v>1229333.4666666668</v>
      </c>
      <c r="AD49" s="706">
        <f>VLOOKUP("*"&amp;$B49&amp;"*",'S4 - Summ PRS Characteristics'!$C$13:$Q$20,14,FALSE)*$J49</f>
        <v>2121.9410476456483</v>
      </c>
      <c r="AE49" s="706">
        <f t="shared" si="49"/>
        <v>14408.058952354351</v>
      </c>
      <c r="AF49" s="706">
        <f>IF($C49="other",(1-$C40)*AD49,(1-(VLOOKUP($C49,'S3 - Screening Tool Metrics'!$C$3:$G$17,5,FALSE)/100))*AD49)</f>
        <v>424.38820952912954</v>
      </c>
      <c r="AG49" s="706">
        <f>IF($C49="other",$C40*AD49,(VLOOKUP($C49,'S3 - Screening Tool Metrics'!$C$3:$G$17,5,FALSE)/100)*AD49)</f>
        <v>1697.5528381165186</v>
      </c>
      <c r="AH49" s="708">
        <f t="shared" si="43"/>
        <v>10.269527151340101</v>
      </c>
      <c r="AI49" s="707">
        <f t="shared" si="44"/>
        <v>245866.69333333336</v>
      </c>
      <c r="AJ49" s="706">
        <f>VLOOKUP("*"&amp;$B49&amp;"*",'S4 - Summ PRS Characteristics'!$C$13:$Q$20,15,FALSE)*$J49</f>
        <v>573.81710728074574</v>
      </c>
      <c r="AK49" s="706">
        <f t="shared" si="48"/>
        <v>15956.182892719255</v>
      </c>
      <c r="AL49" s="706">
        <f>IF($C49="other",(1-$C40)*AJ49,(1-(VLOOKUP($C49,'S3 - Screening Tool Metrics'!$C$3:$G$17,5,FALSE)/100))*AJ49)</f>
        <v>114.76342145614912</v>
      </c>
      <c r="AM49" s="706">
        <f>IF($C49="other",$C40*AJ49,(VLOOKUP($C49,'S3 - Screening Tool Metrics'!$C$3:$G$17,5,FALSE)/100)*AJ49)</f>
        <v>459.05368582459664</v>
      </c>
      <c r="AN49" s="709">
        <f t="shared" si="45"/>
        <v>2.7770942881100824</v>
      </c>
    </row>
    <row r="50" spans="2:40" x14ac:dyDescent="0.15">
      <c r="B50" s="700" t="s">
        <v>11</v>
      </c>
      <c r="C50" s="721" t="str">
        <f>$C41</f>
        <v>Other</v>
      </c>
      <c r="D50" s="552" t="s">
        <v>201</v>
      </c>
      <c r="E50" s="710">
        <f>VLOOKUP($B50&amp;"_"&amp;$D50,'App5 - CRUK Inci Rates'!C:H,6,FALSE)</f>
        <v>19.704826996143439</v>
      </c>
      <c r="F50" s="711">
        <f>VLOOKUP($B50&amp;"_"&amp;$D50,'App5 - CRUK Inci Rates'!C:H,3,FALSE)</f>
        <v>17.735760510936363</v>
      </c>
      <c r="G50" s="712">
        <f>VLOOKUP($B50&amp;"_"&amp;$D50,'App5 - CRUK Inci Rates'!C:J,8,FALSE)</f>
        <v>8642767.333333334</v>
      </c>
      <c r="H50" s="713">
        <f>VLOOKUP($B50&amp;"_"&amp;$D50,'App5 - CRUK Inci Rates'!C:J,7,FALSE)</f>
        <v>4273064.666666667</v>
      </c>
      <c r="I50" s="713">
        <f>VLOOKUP($B50&amp;"_"&amp;$D50,'App5 - CRUK Inci Rates'!C:J,4,FALSE)</f>
        <v>4369702.666666667</v>
      </c>
      <c r="J50" s="709">
        <f>VLOOKUP($B50&amp;"_"&amp;$D50,'App5 - CRUK Inci Rates'!C:K,9,FALSE)</f>
        <v>1617</v>
      </c>
      <c r="K50" s="706">
        <f t="shared" si="8"/>
        <v>4321383.666666667</v>
      </c>
      <c r="L50" s="706">
        <f>VLOOKUP("*"&amp;$B50&amp;"*",'S4 - Summ PRS Characteristics'!$C$13:$Q$20,11,FALSE)*$J50</f>
        <v>1124.1807082636828</v>
      </c>
      <c r="M50" s="706">
        <f t="shared" si="9"/>
        <v>492.81929173631715</v>
      </c>
      <c r="N50" s="706">
        <f>IF($C50="other",(1-$C$7)*L50,(1-(VLOOKUP($C50,'S3 - Screening Tool Metrics'!$C$3:$G$17,5,FALSE)/100))*L50)</f>
        <v>224.83614165273653</v>
      </c>
      <c r="O50" s="706">
        <f>IF($C50="other",$C$7*L50,(VLOOKUP($C50,'S3 - Screening Tool Metrics'!$C$3:$G$17,5,FALSE)/100)*L50)</f>
        <v>899.34456661094634</v>
      </c>
      <c r="P50" s="706">
        <f t="shared" si="10"/>
        <v>55.618093173218696</v>
      </c>
      <c r="Q50" s="707">
        <f t="shared" si="38"/>
        <v>1728553.4666666668</v>
      </c>
      <c r="R50" s="706">
        <f>VLOOKUP("*"&amp;$B50&amp;"*",'S4 - Summ PRS Characteristics'!$C$13:$Q$20,12,FALSE)*$J50</f>
        <v>598.87091650419234</v>
      </c>
      <c r="S50" s="706">
        <f t="shared" si="46"/>
        <v>1018.1290834958077</v>
      </c>
      <c r="T50" s="706">
        <f>IF($C50="other",(1-$C40)*R50,(1-(VLOOKUP($C50,'S3 - Screening Tool Metrics'!$C$3:$G$17,5,FALSE)/100))*R50)</f>
        <v>119.77418330083844</v>
      </c>
      <c r="U50" s="706">
        <f>IF($C50="other",$C40*R50,(VLOOKUP($C50,'S3 - Screening Tool Metrics'!$C$3:$G$17,5,FALSE)/100)*R50)</f>
        <v>479.09673320335389</v>
      </c>
      <c r="V50" s="706">
        <f t="shared" si="39"/>
        <v>29.628740457845016</v>
      </c>
      <c r="W50" s="707">
        <f t="shared" si="40"/>
        <v>864276.7333333334</v>
      </c>
      <c r="X50" s="706">
        <f>VLOOKUP("*"&amp;$B50&amp;"*",'S4 - Summ PRS Characteristics'!$C$13:$Q$20,13,FALSE)*$J50</f>
        <v>356.39191013195511</v>
      </c>
      <c r="Y50" s="706">
        <f t="shared" si="47"/>
        <v>1260.6080898680448</v>
      </c>
      <c r="Z50" s="706">
        <f>IF($C50="other",(1-$C40)*X50,(1-(VLOOKUP($C50,'S3 - Screening Tool Metrics'!$C$3:$G$17,5,FALSE)/100))*X50)</f>
        <v>71.278382026391</v>
      </c>
      <c r="AA50" s="706">
        <f>IF($C50="other",$C40*X50,(VLOOKUP($C50,'S3 - Screening Tool Metrics'!$C$3:$G$17,5,FALSE)/100)*X50)</f>
        <v>285.11352810556411</v>
      </c>
      <c r="AB50" s="709">
        <f t="shared" si="41"/>
        <v>17.632252820381204</v>
      </c>
      <c r="AC50" s="706">
        <f t="shared" si="42"/>
        <v>432138.3666666667</v>
      </c>
      <c r="AD50" s="706">
        <f>VLOOKUP("*"&amp;$B50&amp;"*",'S4 - Summ PRS Characteristics'!$C$13:$Q$20,14,FALSE)*$J50</f>
        <v>207.57281754646178</v>
      </c>
      <c r="AE50" s="706">
        <f t="shared" si="49"/>
        <v>1409.4271824535383</v>
      </c>
      <c r="AF50" s="706">
        <f>IF($C50="other",(1-$C40)*AD50,(1-(VLOOKUP($C50,'S3 - Screening Tool Metrics'!$C$3:$G$17,5,FALSE)/100))*AD50)</f>
        <v>41.514563509292344</v>
      </c>
      <c r="AG50" s="706">
        <f>IF($C50="other",$C40*AD50,(VLOOKUP($C50,'S3 - Screening Tool Metrics'!$C$3:$G$17,5,FALSE)/100)*AD50)</f>
        <v>166.05825403716943</v>
      </c>
      <c r="AH50" s="708">
        <f t="shared" si="43"/>
        <v>10.269527151340101</v>
      </c>
      <c r="AI50" s="707">
        <f t="shared" si="44"/>
        <v>86427.67333333334</v>
      </c>
      <c r="AJ50" s="706">
        <f>VLOOKUP("*"&amp;$B50&amp;"*",'S4 - Summ PRS Characteristics'!$C$13:$Q$20,15,FALSE)*$J50</f>
        <v>56.132018298425038</v>
      </c>
      <c r="AK50" s="706">
        <f t="shared" si="48"/>
        <v>1560.867981701575</v>
      </c>
      <c r="AL50" s="706">
        <f>IF($C50="other",(1-$C40)*AJ50,(1-(VLOOKUP($C50,'S3 - Screening Tool Metrics'!$C$3:$G$17,5,FALSE)/100))*AJ50)</f>
        <v>11.226403659685005</v>
      </c>
      <c r="AM50" s="706">
        <f>IF($C50="other",$C40*AJ50,(VLOOKUP($C50,'S3 - Screening Tool Metrics'!$C$3:$G$17,5,FALSE)/100)*AJ50)</f>
        <v>44.905614638740033</v>
      </c>
      <c r="AN50" s="709">
        <f t="shared" si="45"/>
        <v>2.7770942881100824</v>
      </c>
    </row>
    <row r="51" spans="2:40" x14ac:dyDescent="0.15">
      <c r="B51" s="700" t="s">
        <v>11</v>
      </c>
      <c r="C51" s="721" t="str">
        <f>$C41</f>
        <v>Other</v>
      </c>
      <c r="D51" s="552" t="s">
        <v>202</v>
      </c>
      <c r="E51" s="710">
        <f>VLOOKUP($B51&amp;"_"&amp;$D51,'App5 - CRUK Inci Rates'!C:H,6,FALSE)</f>
        <v>66.354542653419429</v>
      </c>
      <c r="F51" s="711">
        <f>VLOOKUP($B51&amp;"_"&amp;$D51,'App5 - CRUK Inci Rates'!C:H,3,FALSE)</f>
        <v>48.212380665809548</v>
      </c>
      <c r="G51" s="712">
        <f>VLOOKUP($B51&amp;"_"&amp;$D51,'App5 - CRUK Inci Rates'!C:J,8,FALSE)</f>
        <v>8839716.6666666679</v>
      </c>
      <c r="H51" s="713">
        <f>VLOOKUP($B51&amp;"_"&amp;$D51,'App5 - CRUK Inci Rates'!C:J,7,FALSE)</f>
        <v>4355391.333333333</v>
      </c>
      <c r="I51" s="713">
        <f>VLOOKUP($B51&amp;"_"&amp;$D51,'App5 - CRUK Inci Rates'!C:J,4,FALSE)</f>
        <v>4484325.333333334</v>
      </c>
      <c r="J51" s="709">
        <f>VLOOKUP($B51&amp;"_"&amp;$D51,'App5 - CRUK Inci Rates'!C:K,9,FALSE)</f>
        <v>5052</v>
      </c>
      <c r="K51" s="706">
        <f t="shared" si="8"/>
        <v>4419858.333333334</v>
      </c>
      <c r="L51" s="706">
        <f>VLOOKUP("*"&amp;$B51&amp;"*",'S4 - Summ PRS Characteristics'!$C$13:$Q$20,11,FALSE)*$J51</f>
        <v>3512.2825838887607</v>
      </c>
      <c r="M51" s="706">
        <f t="shared" si="9"/>
        <v>1539.7174161112393</v>
      </c>
      <c r="N51" s="706">
        <f>IF($C51="other",(1-$C$7)*L51,(1-(VLOOKUP($C51,'S3 - Screening Tool Metrics'!$C$3:$G$17,5,FALSE)/100))*L51)</f>
        <v>702.45651677775197</v>
      </c>
      <c r="O51" s="706">
        <f>IF($C51="other",$C$7*L51,(VLOOKUP($C51,'S3 - Screening Tool Metrics'!$C$3:$G$17,5,FALSE)/100)*L51)</f>
        <v>2809.8260671110088</v>
      </c>
      <c r="P51" s="706">
        <f t="shared" si="10"/>
        <v>55.618093173218696</v>
      </c>
      <c r="Q51" s="707">
        <f t="shared" si="38"/>
        <v>1767943.3333333337</v>
      </c>
      <c r="R51" s="706">
        <f>VLOOKUP("*"&amp;$B51&amp;"*",'S4 - Summ PRS Characteristics'!$C$13:$Q$20,12,FALSE)*$J51</f>
        <v>1871.0549599129126</v>
      </c>
      <c r="S51" s="706">
        <f t="shared" si="46"/>
        <v>3180.9450400870874</v>
      </c>
      <c r="T51" s="706">
        <f>IF($C51="other",(1-$C40)*R51,(1-(VLOOKUP($C51,'S3 - Screening Tool Metrics'!$C$3:$G$17,5,FALSE)/100))*R51)</f>
        <v>374.21099198258247</v>
      </c>
      <c r="U51" s="706">
        <f>IF($C51="other",$C40*R51,(VLOOKUP($C51,'S3 - Screening Tool Metrics'!$C$3:$G$17,5,FALSE)/100)*R51)</f>
        <v>1496.8439679303301</v>
      </c>
      <c r="V51" s="706">
        <f t="shared" si="39"/>
        <v>29.628740457845016</v>
      </c>
      <c r="W51" s="707">
        <f t="shared" si="40"/>
        <v>883971.66666666686</v>
      </c>
      <c r="X51" s="706">
        <f>VLOOKUP("*"&amp;$B51&amp;"*",'S4 - Summ PRS Characteristics'!$C$13:$Q$20,13,FALSE)*$J51</f>
        <v>1113.476765607073</v>
      </c>
      <c r="Y51" s="706">
        <f t="shared" si="47"/>
        <v>3938.523234392927</v>
      </c>
      <c r="Z51" s="706">
        <f>IF($C51="other",(1-$C40)*X51,(1-(VLOOKUP($C51,'S3 - Screening Tool Metrics'!$C$3:$G$17,5,FALSE)/100))*X51)</f>
        <v>222.69535312141457</v>
      </c>
      <c r="AA51" s="706">
        <f>IF($C51="other",$C40*X51,(VLOOKUP($C51,'S3 - Screening Tool Metrics'!$C$3:$G$17,5,FALSE)/100)*X51)</f>
        <v>890.78141248565851</v>
      </c>
      <c r="AB51" s="709">
        <f t="shared" si="41"/>
        <v>17.632252820381204</v>
      </c>
      <c r="AC51" s="706">
        <f t="shared" si="42"/>
        <v>441985.83333333343</v>
      </c>
      <c r="AD51" s="706">
        <f>VLOOKUP("*"&amp;$B51&amp;"*",'S4 - Summ PRS Characteristics'!$C$13:$Q$20,14,FALSE)*$J51</f>
        <v>648.52063960712735</v>
      </c>
      <c r="AE51" s="706">
        <f t="shared" si="49"/>
        <v>4403.4793603928729</v>
      </c>
      <c r="AF51" s="706">
        <f>IF($C51="other",(1-$C40)*AD51,(1-(VLOOKUP($C51,'S3 - Screening Tool Metrics'!$C$3:$G$17,5,FALSE)/100))*AD51)</f>
        <v>129.70412792142545</v>
      </c>
      <c r="AG51" s="706">
        <f>IF($C51="other",$C40*AD51,(VLOOKUP($C51,'S3 - Screening Tool Metrics'!$C$3:$G$17,5,FALSE)/100)*AD51)</f>
        <v>518.81651168570193</v>
      </c>
      <c r="AH51" s="708">
        <f t="shared" si="43"/>
        <v>10.269527151340101</v>
      </c>
      <c r="AI51" s="707">
        <f t="shared" si="44"/>
        <v>88397.166666666686</v>
      </c>
      <c r="AJ51" s="706">
        <f>VLOOKUP("*"&amp;$B51&amp;"*",'S4 - Summ PRS Characteristics'!$C$13:$Q$20,15,FALSE)*$J51</f>
        <v>175.3735042941517</v>
      </c>
      <c r="AK51" s="706">
        <f t="shared" si="48"/>
        <v>4876.6264957058484</v>
      </c>
      <c r="AL51" s="706">
        <f>IF($C51="other",(1-$C40)*AJ51,(1-(VLOOKUP($C51,'S3 - Screening Tool Metrics'!$C$3:$G$17,5,FALSE)/100))*AJ51)</f>
        <v>35.074700858830333</v>
      </c>
      <c r="AM51" s="706">
        <f>IF($C51="other",$C40*AJ51,(VLOOKUP($C51,'S3 - Screening Tool Metrics'!$C$3:$G$17,5,FALSE)/100)*AJ51)</f>
        <v>140.29880343532136</v>
      </c>
      <c r="AN51" s="709">
        <f t="shared" si="45"/>
        <v>2.7770942881100824</v>
      </c>
    </row>
    <row r="52" spans="2:40" x14ac:dyDescent="0.15">
      <c r="B52" s="700" t="s">
        <v>11</v>
      </c>
      <c r="C52" s="721" t="str">
        <f>$C41</f>
        <v>Other</v>
      </c>
      <c r="D52" s="552" t="s">
        <v>203</v>
      </c>
      <c r="E52" s="710">
        <f>VLOOKUP($B52&amp;"_"&amp;$D52,'App5 - CRUK Inci Rates'!C:H,6,FALSE)</f>
        <v>114.20950638927653</v>
      </c>
      <c r="F52" s="711">
        <f>VLOOKUP($B52&amp;"_"&amp;$D52,'App5 - CRUK Inci Rates'!C:H,3,FALSE)</f>
        <v>73.646226089279153</v>
      </c>
      <c r="G52" s="712">
        <f>VLOOKUP($B52&amp;"_"&amp;$D52,'App5 - CRUK Inci Rates'!C:J,8,FALSE)</f>
        <v>15943902</v>
      </c>
      <c r="H52" s="713">
        <f>VLOOKUP($B52&amp;"_"&amp;$D52,'App5 - CRUK Inci Rates'!C:J,7,FALSE)</f>
        <v>7817212.666666666</v>
      </c>
      <c r="I52" s="713">
        <f>VLOOKUP($B52&amp;"_"&amp;$D52,'App5 - CRUK Inci Rates'!C:J,4,FALSE)</f>
        <v>8126689.333333334</v>
      </c>
      <c r="J52" s="709">
        <f>VLOOKUP($B52&amp;"_"&amp;$D52,'App5 - CRUK Inci Rates'!C:K,9,FALSE)</f>
        <v>14913</v>
      </c>
      <c r="K52" s="706">
        <f t="shared" si="8"/>
        <v>7971951</v>
      </c>
      <c r="L52" s="706">
        <f>VLOOKUP("*"&amp;$B52&amp;"*",'S4 - Summ PRS Characteristics'!$C$13:$Q$20,11,FALSE)*$J52</f>
        <v>10367.90779365263</v>
      </c>
      <c r="M52" s="706">
        <f t="shared" si="9"/>
        <v>4545.0922063473699</v>
      </c>
      <c r="N52" s="706">
        <f>IF($C52="other",(1-$C$7)*L52,(1-(VLOOKUP($C52,'S3 - Screening Tool Metrics'!$C$3:$G$17,5,FALSE)/100))*L52)</f>
        <v>2073.5815587305256</v>
      </c>
      <c r="O52" s="706">
        <f>IF($C52="other",$C$7*L52,(VLOOKUP($C52,'S3 - Screening Tool Metrics'!$C$3:$G$17,5,FALSE)/100)*L52)</f>
        <v>8294.326234922104</v>
      </c>
      <c r="P52" s="706">
        <f t="shared" si="10"/>
        <v>55.618093173218696</v>
      </c>
      <c r="Q52" s="707">
        <f t="shared" si="38"/>
        <v>3188780.4000000004</v>
      </c>
      <c r="R52" s="706">
        <f>VLOOKUP("*"&amp;$B52&amp;"*",'S4 - Summ PRS Characteristics'!$C$13:$Q$20,12,FALSE)*$J52</f>
        <v>5523.1675805980331</v>
      </c>
      <c r="S52" s="706">
        <f t="shared" si="46"/>
        <v>9389.832419401966</v>
      </c>
      <c r="T52" s="706">
        <f>IF($C52="other",(1-$C40)*R52,(1-(VLOOKUP($C52,'S3 - Screening Tool Metrics'!$C$3:$G$17,5,FALSE)/100))*R52)</f>
        <v>1104.6335161196064</v>
      </c>
      <c r="U52" s="706">
        <f>IF($C52="other",$C40*R52,(VLOOKUP($C52,'S3 - Screening Tool Metrics'!$C$3:$G$17,5,FALSE)/100)*R52)</f>
        <v>4418.5340644784264</v>
      </c>
      <c r="V52" s="706">
        <f t="shared" si="39"/>
        <v>29.628740457845009</v>
      </c>
      <c r="W52" s="707">
        <f t="shared" si="40"/>
        <v>1594390.2000000002</v>
      </c>
      <c r="X52" s="706">
        <f>VLOOKUP("*"&amp;$B52&amp;"*",'S4 - Summ PRS Characteristics'!$C$13:$Q$20,13,FALSE)*$J52</f>
        <v>3286.8723288793112</v>
      </c>
      <c r="Y52" s="706">
        <f t="shared" si="47"/>
        <v>11626.127671120688</v>
      </c>
      <c r="Z52" s="706">
        <f>IF($C52="other",(1-$C40)*X52,(1-(VLOOKUP($C52,'S3 - Screening Tool Metrics'!$C$3:$G$17,5,FALSE)/100))*X52)</f>
        <v>657.37446577586206</v>
      </c>
      <c r="AA52" s="706">
        <f>IF($C52="other",$C40*X52,(VLOOKUP($C52,'S3 - Screening Tool Metrics'!$C$3:$G$17,5,FALSE)/100)*X52)</f>
        <v>2629.4978631034492</v>
      </c>
      <c r="AB52" s="709">
        <f t="shared" si="41"/>
        <v>17.632252820381204</v>
      </c>
      <c r="AC52" s="706">
        <f t="shared" si="42"/>
        <v>797195.10000000009</v>
      </c>
      <c r="AD52" s="706">
        <f>VLOOKUP("*"&amp;$B52&amp;"*",'S4 - Summ PRS Characteristics'!$C$13:$Q$20,14,FALSE)*$J52</f>
        <v>1914.3682300991866</v>
      </c>
      <c r="AE52" s="706">
        <f t="shared" si="49"/>
        <v>12998.631769900814</v>
      </c>
      <c r="AF52" s="706">
        <f>IF($C52="other",(1-$C40)*AD52,(1-(VLOOKUP($C52,'S3 - Screening Tool Metrics'!$C$3:$G$17,5,FALSE)/100))*AD52)</f>
        <v>382.87364601983722</v>
      </c>
      <c r="AG52" s="706">
        <f>IF($C52="other",$C40*AD52,(VLOOKUP($C52,'S3 - Screening Tool Metrics'!$C$3:$G$17,5,FALSE)/100)*AD52)</f>
        <v>1531.4945840793494</v>
      </c>
      <c r="AH52" s="708">
        <f t="shared" si="43"/>
        <v>10.269527151340101</v>
      </c>
      <c r="AI52" s="707">
        <f t="shared" si="44"/>
        <v>159439.01999999999</v>
      </c>
      <c r="AJ52" s="706">
        <f>VLOOKUP("*"&amp;$B52&amp;"*",'S4 - Summ PRS Characteristics'!$C$13:$Q$20,15,FALSE)*$J52</f>
        <v>517.68508898232074</v>
      </c>
      <c r="AK52" s="706">
        <f t="shared" si="48"/>
        <v>14395.31491101768</v>
      </c>
      <c r="AL52" s="706">
        <f>IF($C52="other",(1-$C40)*AJ52,(1-(VLOOKUP($C52,'S3 - Screening Tool Metrics'!$C$3:$G$17,5,FALSE)/100))*AJ52)</f>
        <v>103.53701779646413</v>
      </c>
      <c r="AM52" s="706">
        <f>IF($C52="other",$C40*AJ52,(VLOOKUP($C52,'S3 - Screening Tool Metrics'!$C$3:$G$17,5,FALSE)/100)*AJ52)</f>
        <v>414.14807118585662</v>
      </c>
      <c r="AN52" s="709">
        <f t="shared" si="45"/>
        <v>2.7770942881100829</v>
      </c>
    </row>
    <row r="53" spans="2:40" x14ac:dyDescent="0.15">
      <c r="B53" s="700" t="s">
        <v>11</v>
      </c>
      <c r="C53" s="721" t="str">
        <f>$C42</f>
        <v>Other</v>
      </c>
      <c r="D53" s="552" t="s">
        <v>292</v>
      </c>
      <c r="E53" s="710">
        <f>VLOOKUP($B53&amp;"_"&amp;$D53,'App5 - CRUK Inci Rates'!C:H,6,FALSE)</f>
        <v>203.90336051751802</v>
      </c>
      <c r="F53" s="711">
        <f>VLOOKUP($B53&amp;"_"&amp;$D53,'App5 - CRUK Inci Rates'!C:H,3,FALSE)</f>
        <v>125.21984320546531</v>
      </c>
      <c r="G53" s="712">
        <f>VLOOKUP($B53&amp;"_"&amp;$D53,'App5 - CRUK Inci Rates'!C:J,8,FALSE)</f>
        <v>8881256.9603638444</v>
      </c>
      <c r="H53" s="713">
        <f>VLOOKUP($B53&amp;"_"&amp;$D53,'App5 - CRUK Inci Rates'!C:J,7,FALSE)</f>
        <v>4929786.333333333</v>
      </c>
      <c r="I53" s="713">
        <f>VLOOKUP($B53&amp;"_"&amp;$D53,'App5 - CRUK Inci Rates'!C:J,4,FALSE)</f>
        <v>5245973.666666667</v>
      </c>
      <c r="J53" s="709">
        <f>VLOOKUP($B53&amp;"_"&amp;$D53,'App5 - CRUK Inci Rates'!C:K,9,FALSE)</f>
        <v>16621</v>
      </c>
      <c r="K53" s="706">
        <f t="shared" si="8"/>
        <v>4440628.4801819222</v>
      </c>
      <c r="L53" s="706">
        <f>VLOOKUP("*"&amp;$B53&amp;"*",'S4 - Summ PRS Characteristics'!$C$13:$Q$20,11,FALSE)*$J53</f>
        <v>11555.354082900849</v>
      </c>
      <c r="M53" s="706">
        <f t="shared" si="9"/>
        <v>5065.6459170991511</v>
      </c>
      <c r="N53" s="706">
        <f>IF($C53="other",(1-$C$7)*L53,(1-(VLOOKUP($C53,'S3 - Screening Tool Metrics'!$C$3:$G$17,5,FALSE)/100))*L53)</f>
        <v>2311.0708165801693</v>
      </c>
      <c r="O53" s="706">
        <f>IF($C53="other",$C$7*L53,(VLOOKUP($C53,'S3 - Screening Tool Metrics'!$C$3:$G$17,5,FALSE)/100)*L53)</f>
        <v>9244.2832663206791</v>
      </c>
      <c r="P53" s="706">
        <f t="shared" si="10"/>
        <v>55.618093173218696</v>
      </c>
      <c r="Q53" s="707">
        <f t="shared" si="38"/>
        <v>1776251.3920727689</v>
      </c>
      <c r="R53" s="706">
        <f>VLOOKUP("*"&amp;$B53&amp;"*",'S4 - Summ PRS Characteristics'!$C$13:$Q$20,12,FALSE)*$J53</f>
        <v>6155.7411893730241</v>
      </c>
      <c r="S53" s="706">
        <f t="shared" si="46"/>
        <v>10465.258810626976</v>
      </c>
      <c r="T53" s="706">
        <f>IF($C53="other",(1-$C40)*R53,(1-(VLOOKUP($C53,'S3 - Screening Tool Metrics'!$C$3:$G$17,5,FALSE)/100))*R53)</f>
        <v>1231.1482378746045</v>
      </c>
      <c r="U53" s="706">
        <f>IF($C53="other",$C40*R53,(VLOOKUP($C53,'S3 - Screening Tool Metrics'!$C$3:$G$17,5,FALSE)/100)*R53)</f>
        <v>4924.59295149842</v>
      </c>
      <c r="V53" s="706">
        <f t="shared" si="39"/>
        <v>29.628740457845016</v>
      </c>
      <c r="W53" s="707">
        <f t="shared" si="40"/>
        <v>888125.69603638444</v>
      </c>
      <c r="X53" s="706">
        <f>VLOOKUP("*"&amp;$B53&amp;"*",'S4 - Summ PRS Characteristics'!$C$13:$Q$20,13,FALSE)*$J53</f>
        <v>3663.3209265944502</v>
      </c>
      <c r="Y53" s="706">
        <f t="shared" si="47"/>
        <v>12957.67907340555</v>
      </c>
      <c r="Z53" s="706">
        <f>IF($C53="other",(1-$C40)*X53,(1-(VLOOKUP($C53,'S3 - Screening Tool Metrics'!$C$3:$G$17,5,FALSE)/100))*X53)</f>
        <v>732.66418531888985</v>
      </c>
      <c r="AA53" s="706">
        <f>IF($C53="other",$C40*X53,(VLOOKUP($C53,'S3 - Screening Tool Metrics'!$C$3:$G$17,5,FALSE)/100)*X53)</f>
        <v>2930.6567412755603</v>
      </c>
      <c r="AB53" s="709">
        <f t="shared" si="41"/>
        <v>17.632252820381204</v>
      </c>
      <c r="AC53" s="706">
        <f t="shared" si="42"/>
        <v>444062.84801819222</v>
      </c>
      <c r="AD53" s="706">
        <f>VLOOKUP("*"&amp;$B53&amp;"*",'S4 - Summ PRS Characteristics'!$C$13:$Q$20,14,FALSE)*$J53</f>
        <v>2133.6226347802976</v>
      </c>
      <c r="AE53" s="706">
        <f t="shared" si="49"/>
        <v>14487.377365219701</v>
      </c>
      <c r="AF53" s="706">
        <f>IF($C53="other",(1-$C40)*AD53,(1-(VLOOKUP($C53,'S3 - Screening Tool Metrics'!$C$3:$G$17,5,FALSE)/100))*AD53)</f>
        <v>426.72452695605944</v>
      </c>
      <c r="AG53" s="706">
        <f>IF($C53="other",$C40*AD53,(VLOOKUP($C53,'S3 - Screening Tool Metrics'!$C$3:$G$17,5,FALSE)/100)*AD53)</f>
        <v>1706.8981078242382</v>
      </c>
      <c r="AH53" s="708">
        <f t="shared" si="43"/>
        <v>10.269527151340101</v>
      </c>
      <c r="AI53" s="707">
        <f t="shared" si="44"/>
        <v>88812.569603638447</v>
      </c>
      <c r="AJ53" s="706">
        <f>VLOOKUP("*"&amp;$B53&amp;"*",'S4 - Summ PRS Characteristics'!$C$13:$Q$20,15,FALSE)*$J53</f>
        <v>576.97605203347098</v>
      </c>
      <c r="AK53" s="706">
        <f t="shared" si="48"/>
        <v>16044.023947966529</v>
      </c>
      <c r="AL53" s="706">
        <f>IF($C53="other",(1-$C40)*AJ53,(1-(VLOOKUP($C53,'S3 - Screening Tool Metrics'!$C$3:$G$17,5,FALSE)/100))*AJ53)</f>
        <v>115.39521040669418</v>
      </c>
      <c r="AM53" s="706">
        <f>IF($C53="other",$C40*AJ53,(VLOOKUP($C53,'S3 - Screening Tool Metrics'!$C$3:$G$17,5,FALSE)/100)*AJ53)</f>
        <v>461.58084162677682</v>
      </c>
      <c r="AN53" s="709">
        <f t="shared" si="45"/>
        <v>2.7770942881100824</v>
      </c>
    </row>
    <row r="54" spans="2:40" x14ac:dyDescent="0.15">
      <c r="B54" s="700" t="s">
        <v>11</v>
      </c>
      <c r="C54" s="721" t="str">
        <f>$C41</f>
        <v>Other</v>
      </c>
      <c r="D54" s="552" t="s">
        <v>204</v>
      </c>
      <c r="E54" s="710">
        <f>VLOOKUP($B54&amp;"_"&amp;$D54,'App5 - CRUK Inci Rates'!C:H,6,FALSE)</f>
        <v>118.95830504657053</v>
      </c>
      <c r="F54" s="711">
        <f>VLOOKUP($B54&amp;"_"&amp;$D54,'App5 - CRUK Inci Rates'!C:H,3,FALSE)</f>
        <v>80.364374337399624</v>
      </c>
      <c r="G54" s="712">
        <f>VLOOKUP($B54&amp;"_"&amp;$D54,'App5 - CRUK Inci Rates'!C:J,8,FALSE)</f>
        <v>29847254.666666668</v>
      </c>
      <c r="H54" s="713">
        <f>VLOOKUP($B54&amp;"_"&amp;$D54,'App5 - CRUK Inci Rates'!C:J,7,FALSE)</f>
        <v>14565607.666666668</v>
      </c>
      <c r="I54" s="713">
        <f>VLOOKUP($B54&amp;"_"&amp;$D54,'App5 - CRUK Inci Rates'!C:J,4,FALSE)</f>
        <v>15281647</v>
      </c>
      <c r="J54" s="709">
        <f>VLOOKUP($B54&amp;"_"&amp;$D54,'App5 - CRUK Inci Rates'!C:K,9,FALSE)</f>
        <v>29608</v>
      </c>
      <c r="K54" s="706">
        <f t="shared" si="8"/>
        <v>14923627.333333334</v>
      </c>
      <c r="L54" s="706">
        <f>VLOOKUP("*"&amp;$B54&amp;"*",'S4 - Summ PRS Characteristics'!$C$13:$Q$20,11,FALSE)*$J54</f>
        <v>20584.256283408238</v>
      </c>
      <c r="M54" s="706">
        <f t="shared" si="9"/>
        <v>9023.7437165917618</v>
      </c>
      <c r="N54" s="706">
        <f>IF($C54="other",(1-$C$7)*L54,(1-(VLOOKUP($C54,'S3 - Screening Tool Metrics'!$C$3:$G$17,5,FALSE)/100))*L54)</f>
        <v>4116.8512566816471</v>
      </c>
      <c r="O54" s="706">
        <f>IF($C54="other",$C$7*L54,(VLOOKUP($C54,'S3 - Screening Tool Metrics'!$C$3:$G$17,5,FALSE)/100)*L54)</f>
        <v>16467.405026726592</v>
      </c>
      <c r="P54" s="706">
        <f t="shared" si="10"/>
        <v>55.618093173218696</v>
      </c>
      <c r="Q54" s="707">
        <f t="shared" si="38"/>
        <v>5969450.9333333336</v>
      </c>
      <c r="R54" s="706">
        <f>VLOOKUP("*"&amp;$B54&amp;"*",'S4 - Summ PRS Characteristics'!$C$13:$Q$20,12,FALSE)*$J54</f>
        <v>10965.596843448438</v>
      </c>
      <c r="S54" s="706">
        <f t="shared" si="46"/>
        <v>18642.403156551562</v>
      </c>
      <c r="T54" s="706">
        <f>IF($C54="other",(1-$C40)*R54,(1-(VLOOKUP($C54,'S3 - Screening Tool Metrics'!$C$3:$G$17,5,FALSE)/100))*R54)</f>
        <v>2193.1193686896872</v>
      </c>
      <c r="U54" s="706">
        <f>IF($C54="other",$C40*R54,(VLOOKUP($C54,'S3 - Screening Tool Metrics'!$C$3:$G$17,5,FALSE)/100)*R54)</f>
        <v>8772.4774747587508</v>
      </c>
      <c r="V54" s="706">
        <f t="shared" si="39"/>
        <v>29.628740457845009</v>
      </c>
      <c r="W54" s="707">
        <f t="shared" si="40"/>
        <v>2984725.4666666668</v>
      </c>
      <c r="X54" s="706">
        <f>VLOOKUP("*"&amp;$B54&amp;"*",'S4 - Summ PRS Characteristics'!$C$13:$Q$20,13,FALSE)*$J54</f>
        <v>6525.6967688230834</v>
      </c>
      <c r="Y54" s="706">
        <f t="shared" si="47"/>
        <v>23082.303231176917</v>
      </c>
      <c r="Z54" s="706">
        <f>IF($C54="other",(1-$C40)*X54,(1-(VLOOKUP($C54,'S3 - Screening Tool Metrics'!$C$3:$G$17,5,FALSE)/100))*X54)</f>
        <v>1305.1393537646163</v>
      </c>
      <c r="AA54" s="706">
        <f>IF($C54="other",$C40*X54,(VLOOKUP($C54,'S3 - Screening Tool Metrics'!$C$3:$G$17,5,FALSE)/100)*X54)</f>
        <v>5220.5574150584671</v>
      </c>
      <c r="AB54" s="709">
        <f t="shared" si="41"/>
        <v>17.632252820381204</v>
      </c>
      <c r="AC54" s="706">
        <f t="shared" si="42"/>
        <v>1492362.7333333334</v>
      </c>
      <c r="AD54" s="706">
        <f>VLOOKUP("*"&amp;$B54&amp;"*",'S4 - Summ PRS Characteristics'!$C$13:$Q$20,14,FALSE)*$J54</f>
        <v>3800.7519987109713</v>
      </c>
      <c r="AE54" s="706">
        <f t="shared" si="49"/>
        <v>25807.24800128903</v>
      </c>
      <c r="AF54" s="706">
        <f>IF($C54="other",(1-$C40)*AD54,(1-(VLOOKUP($C54,'S3 - Screening Tool Metrics'!$C$3:$G$17,5,FALSE)/100))*AD54)</f>
        <v>760.15039974219405</v>
      </c>
      <c r="AG54" s="706">
        <f>IF($C54="other",$C40*AD54,(VLOOKUP($C54,'S3 - Screening Tool Metrics'!$C$3:$G$17,5,FALSE)/100)*AD54)</f>
        <v>3040.6015989687771</v>
      </c>
      <c r="AH54" s="708">
        <f t="shared" si="43"/>
        <v>10.269527151340101</v>
      </c>
      <c r="AI54" s="707">
        <f t="shared" si="44"/>
        <v>298472.54666666669</v>
      </c>
      <c r="AJ54" s="706">
        <f>VLOOKUP("*"&amp;$B54&amp;"*",'S4 - Summ PRS Characteristics'!$C$13:$Q$20,15,FALSE)*$J54</f>
        <v>1027.8025960295415</v>
      </c>
      <c r="AK54" s="706">
        <f t="shared" si="48"/>
        <v>28580.197403970458</v>
      </c>
      <c r="AL54" s="706">
        <f>IF($C54="other",(1-$C40)*AJ54,(1-(VLOOKUP($C54,'S3 - Screening Tool Metrics'!$C$3:$G$17,5,FALSE)/100))*AJ54)</f>
        <v>205.56051920590826</v>
      </c>
      <c r="AM54" s="706">
        <f>IF($C54="other",$C40*AJ54,(VLOOKUP($C54,'S3 - Screening Tool Metrics'!$C$3:$G$17,5,FALSE)/100)*AJ54)</f>
        <v>822.24207682363328</v>
      </c>
      <c r="AN54" s="709">
        <f t="shared" si="45"/>
        <v>2.7770942881100829</v>
      </c>
    </row>
    <row r="55" spans="2:40" ht="14" thickBot="1" x14ac:dyDescent="0.2">
      <c r="B55" s="700" t="s">
        <v>11</v>
      </c>
      <c r="C55" s="721"/>
      <c r="D55" s="552" t="s">
        <v>205</v>
      </c>
      <c r="E55" s="710">
        <f>VLOOKUP($B55&amp;"_"&amp;$D55,'App5 - CRUK Inci Rates'!C:H,6,FALSE)</f>
        <v>84.5</v>
      </c>
      <c r="F55" s="711">
        <f>VLOOKUP($B55&amp;"_"&amp;$D55,'App5 - CRUK Inci Rates'!C:H,3,FALSE)</f>
        <v>56.5</v>
      </c>
      <c r="G55" s="712">
        <f>VLOOKUP($B55&amp;"_"&amp;$D55,'App5 - CRUK Inci Rates'!C:J,8,FALSE)</f>
        <v>66041277.666666664</v>
      </c>
      <c r="H55" s="713">
        <f>VLOOKUP($B55&amp;"_"&amp;$D55,'App5 - CRUK Inci Rates'!C:J,7,FALSE)</f>
        <v>32583225.666666668</v>
      </c>
      <c r="I55" s="713">
        <f>VLOOKUP($B55&amp;"_"&amp;$D55,'App5 - CRUK Inci Rates'!C:J,4,FALSE)</f>
        <v>33458051.999999996</v>
      </c>
      <c r="J55" s="709">
        <f>VLOOKUP($B55&amp;"_"&amp;$D55,'App5 - CRUK Inci Rates'!C:K,9,FALSE)</f>
        <v>42885</v>
      </c>
      <c r="K55" s="716"/>
      <c r="L55" s="716"/>
      <c r="M55" s="716"/>
      <c r="N55" s="716"/>
      <c r="O55" s="716"/>
      <c r="P55" s="716"/>
      <c r="Q55" s="715"/>
      <c r="R55" s="716"/>
      <c r="S55" s="716"/>
      <c r="T55" s="716"/>
      <c r="U55" s="716"/>
      <c r="V55" s="716"/>
      <c r="W55" s="715"/>
      <c r="X55" s="716"/>
      <c r="Y55" s="716"/>
      <c r="Z55" s="716"/>
      <c r="AA55" s="716"/>
      <c r="AB55" s="718"/>
      <c r="AC55" s="716"/>
      <c r="AD55" s="716"/>
      <c r="AE55" s="716"/>
      <c r="AF55" s="716"/>
      <c r="AG55" s="716"/>
      <c r="AH55" s="717"/>
      <c r="AI55" s="715"/>
      <c r="AJ55" s="716"/>
      <c r="AK55" s="716"/>
      <c r="AL55" s="716"/>
      <c r="AM55" s="716"/>
      <c r="AN55" s="718"/>
    </row>
    <row r="56" spans="2:40" ht="21" customHeight="1" thickBot="1" x14ac:dyDescent="0.2">
      <c r="B56" s="686" t="s">
        <v>12</v>
      </c>
      <c r="C56" s="687">
        <v>0.8</v>
      </c>
      <c r="D56" s="688"/>
      <c r="E56" s="689"/>
      <c r="F56" s="690"/>
      <c r="G56" s="691"/>
      <c r="H56" s="692"/>
      <c r="I56" s="692"/>
      <c r="J56" s="693"/>
      <c r="K56" s="694"/>
      <c r="L56" s="694"/>
      <c r="M56" s="694"/>
      <c r="N56" s="694"/>
      <c r="O56" s="694"/>
      <c r="P56" s="694"/>
      <c r="Q56" s="695"/>
      <c r="R56" s="696"/>
      <c r="S56" s="696"/>
      <c r="T56" s="696"/>
      <c r="U56" s="696"/>
      <c r="V56" s="696"/>
      <c r="W56" s="695"/>
      <c r="X56" s="696"/>
      <c r="Y56" s="696"/>
      <c r="Z56" s="696"/>
      <c r="AA56" s="696"/>
      <c r="AB56" s="699"/>
      <c r="AC56" s="696"/>
      <c r="AD56" s="696"/>
      <c r="AE56" s="696"/>
      <c r="AF56" s="696"/>
      <c r="AG56" s="696"/>
      <c r="AH56" s="697"/>
      <c r="AI56" s="695"/>
      <c r="AJ56" s="696"/>
      <c r="AK56" s="696"/>
      <c r="AL56" s="696"/>
      <c r="AM56" s="696"/>
      <c r="AN56" s="699"/>
    </row>
    <row r="57" spans="2:40" x14ac:dyDescent="0.15">
      <c r="B57" s="700" t="s">
        <v>12</v>
      </c>
      <c r="C57" s="741" t="s">
        <v>180</v>
      </c>
      <c r="D57" s="593" t="s">
        <v>192</v>
      </c>
      <c r="E57" s="701">
        <f>VLOOKUP($B57&amp;"_"&amp;$D57,'App5 - CRUK Inci Rates'!C:H,6,FALSE)</f>
        <v>2.6</v>
      </c>
      <c r="F57" s="702">
        <f>VLOOKUP($B57&amp;"_"&amp;$D57,'App5 - CRUK Inci Rates'!C:H,3,FALSE)</f>
        <v>2</v>
      </c>
      <c r="G57" s="703">
        <f>VLOOKUP($B57&amp;"_"&amp;$D57,'App5 - CRUK Inci Rates'!C:J,8,FALSE)</f>
        <v>4075608</v>
      </c>
      <c r="H57" s="704">
        <f>VLOOKUP($B57&amp;"_"&amp;$D57,'App5 - CRUK Inci Rates'!C:J,7,FALSE)</f>
        <v>2021384.6666666667</v>
      </c>
      <c r="I57" s="704">
        <f>VLOOKUP($B57&amp;"_"&amp;$D57,'App5 - CRUK Inci Rates'!C:J,4,FALSE)</f>
        <v>2054223.3333333333</v>
      </c>
      <c r="J57" s="705">
        <f>VLOOKUP($B57&amp;"_"&amp;$D57,'App5 - CRUK Inci Rates'!C:K,9,FALSE)</f>
        <v>94</v>
      </c>
      <c r="K57" s="706">
        <f t="shared" si="8"/>
        <v>2037804</v>
      </c>
      <c r="L57" s="706">
        <f>VLOOKUP("*"&amp;$B57&amp;"*",'S4 - Summ PRS Characteristics'!$C$13:$Q$20,11,FALSE)*$J57</f>
        <v>66.467174123549853</v>
      </c>
      <c r="M57" s="706">
        <f t="shared" si="9"/>
        <v>27.532825876450147</v>
      </c>
      <c r="N57" s="706">
        <f>IF($C57="other",(1-$C$7)*L57,(1-(VLOOKUP($C57,'S3 - Screening Tool Metrics'!$C$3:$G$17,5,FALSE)/100))*L57)</f>
        <v>13.293434824709967</v>
      </c>
      <c r="O57" s="706">
        <f>IF($C57="other",$C$7*L57,(VLOOKUP($C57,'S3 - Screening Tool Metrics'!$C$3:$G$17,5,FALSE)/100)*L57)</f>
        <v>53.173739298839884</v>
      </c>
      <c r="P57" s="706">
        <f t="shared" si="10"/>
        <v>56.567807764723277</v>
      </c>
      <c r="Q57" s="707">
        <f t="shared" ref="Q57:Q70" si="50">$G57*Q$3</f>
        <v>815121.60000000009</v>
      </c>
      <c r="R57" s="706">
        <f>VLOOKUP("*"&amp;$B57&amp;"*",'S4 - Summ PRS Characteristics'!$C$13:$Q$20,12,FALSE)*$J57</f>
        <v>36.034841753251257</v>
      </c>
      <c r="S57" s="706">
        <f>$J57-R57</f>
        <v>57.965158246748743</v>
      </c>
      <c r="T57" s="706">
        <f>IF($C57="other",(1-$C56)*R57,(1-(VLOOKUP($C57,'S3 - Screening Tool Metrics'!$C$3:$G$17,5,FALSE)/100))*R57)</f>
        <v>7.20696835065025</v>
      </c>
      <c r="U57" s="706">
        <f>IF($C57="other",$C56*R57,(VLOOKUP($C57,'S3 - Screening Tool Metrics'!$C$3:$G$17,5,FALSE)/100)*R57)</f>
        <v>28.827873402601007</v>
      </c>
      <c r="V57" s="706">
        <f t="shared" ref="V57:V70" si="51">U57/J57*100</f>
        <v>30.667950428298944</v>
      </c>
      <c r="W57" s="707">
        <f t="shared" ref="W57:W70" si="52">$G57*W$3</f>
        <v>407560.80000000005</v>
      </c>
      <c r="X57" s="706">
        <f>VLOOKUP("*"&amp;$B57&amp;"*",'S4 - Summ PRS Characteristics'!$C$13:$Q$20,13,FALSE)*$J57</f>
        <v>21.683437612777478</v>
      </c>
      <c r="Y57" s="706">
        <f>$J57-X57</f>
        <v>72.316562387222518</v>
      </c>
      <c r="Z57" s="706">
        <f>IF($C57="other",(1-$C56)*X57,(1-(VLOOKUP($C57,'S3 - Screening Tool Metrics'!$C$3:$G$17,5,FALSE)/100))*X57)</f>
        <v>4.3366875225554944</v>
      </c>
      <c r="AA57" s="706">
        <f>IF($C57="other",$C56*X57,(VLOOKUP($C57,'S3 - Screening Tool Metrics'!$C$3:$G$17,5,FALSE)/100)*X57)</f>
        <v>17.346750090221985</v>
      </c>
      <c r="AB57" s="709">
        <f t="shared" ref="AB57:AB70" si="53">$AA57/$J57*100</f>
        <v>18.453989457682962</v>
      </c>
      <c r="AC57" s="706">
        <f t="shared" ref="AC57:AC70" si="54">$G57*AC$3</f>
        <v>203780.40000000002</v>
      </c>
      <c r="AD57" s="706">
        <f>VLOOKUP("*"&amp;$B57&amp;"*",'S4 - Summ PRS Characteristics'!$C$13:$Q$20,14,FALSE)*$J57</f>
        <v>12.754080166177724</v>
      </c>
      <c r="AE57" s="706">
        <f>$J57-AD57</f>
        <v>81.245919833822271</v>
      </c>
      <c r="AF57" s="706">
        <f>IF($C57="other",(1-$C56)*AD57,(1-(VLOOKUP($C57,'S3 - Screening Tool Metrics'!$C$3:$G$17,5,FALSE)/100))*AD57)</f>
        <v>2.5508160332355443</v>
      </c>
      <c r="AG57" s="706">
        <f>IF($C57="other",$C56*AD57,(VLOOKUP($C57,'S3 - Screening Tool Metrics'!$C$3:$G$17,5,FALSE)/100)*AD57)</f>
        <v>10.203264132942181</v>
      </c>
      <c r="AH57" s="708">
        <f t="shared" ref="AH57:AH70" si="55">$AG57/$J57*100</f>
        <v>10.854536311640619</v>
      </c>
      <c r="AI57" s="707">
        <f t="shared" ref="AI57:AI70" si="56">$G57*AI$3</f>
        <v>40756.080000000002</v>
      </c>
      <c r="AJ57" s="706">
        <f>VLOOKUP("*"&amp;$B57&amp;"*",'S4 - Summ PRS Characteristics'!$C$13:$Q$20,15,FALSE)*$J57</f>
        <v>3.5176428211786384</v>
      </c>
      <c r="AK57" s="706">
        <f>$J57-AJ57</f>
        <v>90.48235717882136</v>
      </c>
      <c r="AL57" s="706">
        <f>IF($C57="other",(1-$C56)*AJ57,(1-(VLOOKUP($C57,'S3 - Screening Tool Metrics'!$C$3:$G$17,5,FALSE)/100))*AJ57)</f>
        <v>0.70352856423572752</v>
      </c>
      <c r="AM57" s="706">
        <f>IF($C57="other",$C56*AJ57,(VLOOKUP($C57,'S3 - Screening Tool Metrics'!$C$3:$G$17,5,FALSE)/100)*AJ57)</f>
        <v>2.814114256942911</v>
      </c>
      <c r="AN57" s="709">
        <f t="shared" ref="AN57:AN70" si="57">$AM57/$J57*100</f>
        <v>2.9937385712158626</v>
      </c>
    </row>
    <row r="58" spans="2:40" x14ac:dyDescent="0.15">
      <c r="B58" s="700" t="s">
        <v>12</v>
      </c>
      <c r="C58" s="721" t="str">
        <f>$C57</f>
        <v>Other</v>
      </c>
      <c r="D58" s="552" t="s">
        <v>193</v>
      </c>
      <c r="E58" s="710">
        <f>VLOOKUP($B58&amp;"_"&amp;$D58,'App5 - CRUK Inci Rates'!C:H,6,FALSE)</f>
        <v>5.6</v>
      </c>
      <c r="F58" s="711">
        <f>VLOOKUP($B58&amp;"_"&amp;$D58,'App5 - CRUK Inci Rates'!C:H,3,FALSE)</f>
        <v>3.9</v>
      </c>
      <c r="G58" s="712">
        <f>VLOOKUP($B58&amp;"_"&amp;$D58,'App5 - CRUK Inci Rates'!C:J,8,FALSE)</f>
        <v>4567159.333333334</v>
      </c>
      <c r="H58" s="713">
        <f>VLOOKUP($B58&amp;"_"&amp;$D58,'App5 - CRUK Inci Rates'!C:J,7,FALSE)</f>
        <v>2251680</v>
      </c>
      <c r="I58" s="713">
        <f>VLOOKUP($B58&amp;"_"&amp;$D58,'App5 - CRUK Inci Rates'!C:J,4,FALSE)</f>
        <v>2315479.3333333335</v>
      </c>
      <c r="J58" s="709">
        <f>VLOOKUP($B58&amp;"_"&amp;$D58,'App5 - CRUK Inci Rates'!C:K,9,FALSE)</f>
        <v>215</v>
      </c>
      <c r="K58" s="706">
        <f t="shared" si="8"/>
        <v>2283579.666666667</v>
      </c>
      <c r="L58" s="706">
        <f>VLOOKUP("*"&amp;$B58&amp;"*",'S4 - Summ PRS Characteristics'!$C$13:$Q$20,11,FALSE)*$J58</f>
        <v>152.02598336769381</v>
      </c>
      <c r="M58" s="706">
        <f t="shared" si="9"/>
        <v>62.974016632306189</v>
      </c>
      <c r="N58" s="706">
        <f>IF($C58="other",(1-$C$7)*L58,(1-(VLOOKUP($C58,'S3 - Screening Tool Metrics'!$C$3:$G$17,5,FALSE)/100))*L58)</f>
        <v>30.405196673538754</v>
      </c>
      <c r="O58" s="706">
        <f>IF($C58="other",$C$7*L58,(VLOOKUP($C58,'S3 - Screening Tool Metrics'!$C$3:$G$17,5,FALSE)/100)*L58)</f>
        <v>121.62078669415506</v>
      </c>
      <c r="P58" s="706">
        <f t="shared" si="10"/>
        <v>56.567807764723291</v>
      </c>
      <c r="Q58" s="707">
        <f t="shared" si="50"/>
        <v>913431.86666666681</v>
      </c>
      <c r="R58" s="706">
        <f>VLOOKUP("*"&amp;$B58&amp;"*",'S4 - Summ PRS Characteristics'!$C$13:$Q$20,12,FALSE)*$J58</f>
        <v>82.420116776053405</v>
      </c>
      <c r="S58" s="706">
        <f t="shared" ref="S58:S70" si="58">$J58-R58</f>
        <v>132.57988322394658</v>
      </c>
      <c r="T58" s="706">
        <f>IF($C58="other",(1-$C56)*R58,(1-(VLOOKUP($C58,'S3 - Screening Tool Metrics'!$C$3:$G$17,5,FALSE)/100))*R58)</f>
        <v>16.484023355210677</v>
      </c>
      <c r="U58" s="706">
        <f>IF($C58="other",$C56*R58,(VLOOKUP($C58,'S3 - Screening Tool Metrics'!$C$3:$G$17,5,FALSE)/100)*R58)</f>
        <v>65.936093420842724</v>
      </c>
      <c r="V58" s="706">
        <f t="shared" si="51"/>
        <v>30.667950428298941</v>
      </c>
      <c r="W58" s="707">
        <f t="shared" si="52"/>
        <v>456715.93333333341</v>
      </c>
      <c r="X58" s="706">
        <f>VLOOKUP("*"&amp;$B58&amp;"*",'S4 - Summ PRS Characteristics'!$C$13:$Q$20,13,FALSE)*$J58</f>
        <v>49.595096667522952</v>
      </c>
      <c r="Y58" s="706">
        <f t="shared" ref="Y58:Y70" si="59">$J58-X58</f>
        <v>165.40490333247703</v>
      </c>
      <c r="Z58" s="706">
        <f>IF($C58="other",(1-$C56)*X58,(1-(VLOOKUP($C58,'S3 - Screening Tool Metrics'!$C$3:$G$17,5,FALSE)/100))*X58)</f>
        <v>9.919019333504588</v>
      </c>
      <c r="AA58" s="706">
        <f>IF($C58="other",$C56*X58,(VLOOKUP($C58,'S3 - Screening Tool Metrics'!$C$3:$G$17,5,FALSE)/100)*X58)</f>
        <v>39.676077334018366</v>
      </c>
      <c r="AB58" s="709">
        <f t="shared" si="53"/>
        <v>18.453989457682962</v>
      </c>
      <c r="AC58" s="706">
        <f t="shared" si="54"/>
        <v>228357.9666666667</v>
      </c>
      <c r="AD58" s="706">
        <f>VLOOKUP("*"&amp;$B58&amp;"*",'S4 - Summ PRS Characteristics'!$C$13:$Q$20,14,FALSE)*$J58</f>
        <v>29.171566337534159</v>
      </c>
      <c r="AE58" s="706">
        <f>$J58-AD58</f>
        <v>185.82843366246584</v>
      </c>
      <c r="AF58" s="706">
        <f>IF($C58="other",(1-$C56)*AD58,(1-(VLOOKUP($C58,'S3 - Screening Tool Metrics'!$C$3:$G$17,5,FALSE)/100))*AD58)</f>
        <v>5.8343132675068308</v>
      </c>
      <c r="AG58" s="706">
        <f>IF($C58="other",$C56*AD58,(VLOOKUP($C58,'S3 - Screening Tool Metrics'!$C$3:$G$17,5,FALSE)/100)*AD58)</f>
        <v>23.33725307002733</v>
      </c>
      <c r="AH58" s="708">
        <f t="shared" si="55"/>
        <v>10.854536311640619</v>
      </c>
      <c r="AI58" s="707">
        <f t="shared" si="56"/>
        <v>45671.593333333338</v>
      </c>
      <c r="AJ58" s="706">
        <f>VLOOKUP("*"&amp;$B58&amp;"*",'S4 - Summ PRS Characteristics'!$C$13:$Q$20,15,FALSE)*$J58</f>
        <v>8.0456724101426307</v>
      </c>
      <c r="AK58" s="706">
        <f t="shared" ref="AK58:AK70" si="60">$J58-AJ58</f>
        <v>206.95432758985737</v>
      </c>
      <c r="AL58" s="706">
        <f>IF($C58="other",(1-$C56)*AJ58,(1-(VLOOKUP($C58,'S3 - Screening Tool Metrics'!$C$3:$G$17,5,FALSE)/100))*AJ58)</f>
        <v>1.6091344820285258</v>
      </c>
      <c r="AM58" s="706">
        <f>IF($C58="other",$C56*AJ58,(VLOOKUP($C58,'S3 - Screening Tool Metrics'!$C$3:$G$17,5,FALSE)/100)*AJ58)</f>
        <v>6.4365379281141051</v>
      </c>
      <c r="AN58" s="709">
        <f t="shared" si="57"/>
        <v>2.9937385712158626</v>
      </c>
    </row>
    <row r="59" spans="2:40" x14ac:dyDescent="0.15">
      <c r="B59" s="700" t="s">
        <v>12</v>
      </c>
      <c r="C59" s="721" t="str">
        <f>$C57</f>
        <v>Other</v>
      </c>
      <c r="D59" s="552" t="s">
        <v>194</v>
      </c>
      <c r="E59" s="710">
        <f>VLOOKUP($B59&amp;"_"&amp;$D59,'App5 - CRUK Inci Rates'!C:H,6,FALSE)</f>
        <v>10.199999999999999</v>
      </c>
      <c r="F59" s="711">
        <f>VLOOKUP($B59&amp;"_"&amp;$D59,'App5 - CRUK Inci Rates'!C:H,3,FALSE)</f>
        <v>7.3</v>
      </c>
      <c r="G59" s="712">
        <f>VLOOKUP($B59&amp;"_"&amp;$D59,'App5 - CRUK Inci Rates'!C:J,8,FALSE)</f>
        <v>4658110.666666666</v>
      </c>
      <c r="H59" s="713">
        <f>VLOOKUP($B59&amp;"_"&amp;$D59,'App5 - CRUK Inci Rates'!C:J,7,FALSE)</f>
        <v>2293472.6666666665</v>
      </c>
      <c r="I59" s="713">
        <f>VLOOKUP($B59&amp;"_"&amp;$D59,'App5 - CRUK Inci Rates'!C:J,4,FALSE)</f>
        <v>2364638</v>
      </c>
      <c r="J59" s="709">
        <f>VLOOKUP($B59&amp;"_"&amp;$D59,'App5 - CRUK Inci Rates'!C:K,9,FALSE)</f>
        <v>409</v>
      </c>
      <c r="K59" s="706">
        <f t="shared" si="8"/>
        <v>2329055.333333333</v>
      </c>
      <c r="L59" s="706">
        <f>VLOOKUP("*"&amp;$B59&amp;"*",'S4 - Summ PRS Characteristics'!$C$13:$Q$20,11,FALSE)*$J59</f>
        <v>289.20291719714777</v>
      </c>
      <c r="M59" s="706">
        <f t="shared" si="9"/>
        <v>119.79708280285223</v>
      </c>
      <c r="N59" s="706">
        <f>IF($C59="other",(1-$C$7)*L59,(1-(VLOOKUP($C59,'S3 - Screening Tool Metrics'!$C$3:$G$17,5,FALSE)/100))*L59)</f>
        <v>57.840583439429544</v>
      </c>
      <c r="O59" s="706">
        <f>IF($C59="other",$C$7*L59,(VLOOKUP($C59,'S3 - Screening Tool Metrics'!$C$3:$G$17,5,FALSE)/100)*L59)</f>
        <v>231.36233375771823</v>
      </c>
      <c r="P59" s="706">
        <f t="shared" si="10"/>
        <v>56.567807764723291</v>
      </c>
      <c r="Q59" s="707">
        <f t="shared" si="50"/>
        <v>931622.1333333333</v>
      </c>
      <c r="R59" s="706">
        <f>VLOOKUP("*"&amp;$B59&amp;"*",'S4 - Summ PRS Characteristics'!$C$13:$Q$20,12,FALSE)*$J59</f>
        <v>156.78989656467834</v>
      </c>
      <c r="S59" s="706">
        <f t="shared" si="58"/>
        <v>252.21010343532166</v>
      </c>
      <c r="T59" s="706">
        <f>IF($C59="other",(1-$C56)*R59,(1-(VLOOKUP($C59,'S3 - Screening Tool Metrics'!$C$3:$G$17,5,FALSE)/100))*R59)</f>
        <v>31.357979312935662</v>
      </c>
      <c r="U59" s="706">
        <f>IF($C59="other",$C56*R59,(VLOOKUP($C59,'S3 - Screening Tool Metrics'!$C$3:$G$17,5,FALSE)/100)*R59)</f>
        <v>125.43191725174268</v>
      </c>
      <c r="V59" s="706">
        <f t="shared" si="51"/>
        <v>30.667950428298941</v>
      </c>
      <c r="W59" s="707">
        <f t="shared" si="52"/>
        <v>465811.06666666665</v>
      </c>
      <c r="X59" s="706">
        <f>VLOOKUP("*"&amp;$B59&amp;"*",'S4 - Summ PRS Characteristics'!$C$13:$Q$20,13,FALSE)*$J59</f>
        <v>94.346021102404137</v>
      </c>
      <c r="Y59" s="706">
        <f t="shared" si="59"/>
        <v>314.65397889759583</v>
      </c>
      <c r="Z59" s="706">
        <f>IF($C59="other",(1-$C56)*X59,(1-(VLOOKUP($C59,'S3 - Screening Tool Metrics'!$C$3:$G$17,5,FALSE)/100))*X59)</f>
        <v>18.869204220480825</v>
      </c>
      <c r="AA59" s="706">
        <f>IF($C59="other",$C56*X59,(VLOOKUP($C59,'S3 - Screening Tool Metrics'!$C$3:$G$17,5,FALSE)/100)*X59)</f>
        <v>75.476816881923313</v>
      </c>
      <c r="AB59" s="709">
        <f t="shared" si="53"/>
        <v>18.453989457682962</v>
      </c>
      <c r="AC59" s="706">
        <f t="shared" si="54"/>
        <v>232905.53333333333</v>
      </c>
      <c r="AD59" s="706">
        <f>VLOOKUP("*"&amp;$B59&amp;"*",'S4 - Summ PRS Characteristics'!$C$13:$Q$20,14,FALSE)*$J59</f>
        <v>55.493816893262654</v>
      </c>
      <c r="AE59" s="706">
        <f t="shared" ref="AE59:AE70" si="61">$J59-AD59</f>
        <v>353.50618310673735</v>
      </c>
      <c r="AF59" s="706">
        <f>IF($C59="other",(1-$C56)*AD59,(1-(VLOOKUP($C59,'S3 - Screening Tool Metrics'!$C$3:$G$17,5,FALSE)/100))*AD59)</f>
        <v>11.098763378652528</v>
      </c>
      <c r="AG59" s="706">
        <f>IF($C59="other",$C56*AD59,(VLOOKUP($C59,'S3 - Screening Tool Metrics'!$C$3:$G$17,5,FALSE)/100)*AD59)</f>
        <v>44.395053514610126</v>
      </c>
      <c r="AH59" s="708">
        <f t="shared" si="55"/>
        <v>10.854536311640619</v>
      </c>
      <c r="AI59" s="707">
        <f t="shared" si="56"/>
        <v>46581.106666666659</v>
      </c>
      <c r="AJ59" s="706">
        <f>VLOOKUP("*"&amp;$B59&amp;"*",'S4 - Summ PRS Characteristics'!$C$13:$Q$20,15,FALSE)*$J59</f>
        <v>15.305488445341098</v>
      </c>
      <c r="AK59" s="706">
        <f t="shared" si="60"/>
        <v>393.6945115546589</v>
      </c>
      <c r="AL59" s="706">
        <f>IF($C59="other",(1-$C56)*AJ59,(1-(VLOOKUP($C59,'S3 - Screening Tool Metrics'!$C$3:$G$17,5,FALSE)/100))*AJ59)</f>
        <v>3.0610976890682187</v>
      </c>
      <c r="AM59" s="706">
        <f>IF($C59="other",$C56*AJ59,(VLOOKUP($C59,'S3 - Screening Tool Metrics'!$C$3:$G$17,5,FALSE)/100)*AJ59)</f>
        <v>12.244390756272878</v>
      </c>
      <c r="AN59" s="709">
        <f t="shared" si="57"/>
        <v>2.9937385712158626</v>
      </c>
    </row>
    <row r="60" spans="2:40" x14ac:dyDescent="0.15">
      <c r="B60" s="700" t="s">
        <v>12</v>
      </c>
      <c r="C60" s="721" t="str">
        <f>$C57</f>
        <v>Other</v>
      </c>
      <c r="D60" s="552" t="s">
        <v>195</v>
      </c>
      <c r="E60" s="710">
        <f>VLOOKUP($B60&amp;"_"&amp;$D60,'App5 - CRUK Inci Rates'!C:H,6,FALSE)</f>
        <v>18.3</v>
      </c>
      <c r="F60" s="711">
        <f>VLOOKUP($B60&amp;"_"&amp;$D60,'App5 - CRUK Inci Rates'!C:H,3,FALSE)</f>
        <v>13.6</v>
      </c>
      <c r="G60" s="712">
        <f>VLOOKUP($B60&amp;"_"&amp;$D60,'App5 - CRUK Inci Rates'!C:J,8,FALSE)</f>
        <v>4181606</v>
      </c>
      <c r="H60" s="713">
        <f>VLOOKUP($B60&amp;"_"&amp;$D60,'App5 - CRUK Inci Rates'!C:J,7,FALSE)</f>
        <v>2061918.6666666667</v>
      </c>
      <c r="I60" s="713">
        <f>VLOOKUP($B60&amp;"_"&amp;$D60,'App5 - CRUK Inci Rates'!C:J,4,FALSE)</f>
        <v>2119687.3333333335</v>
      </c>
      <c r="J60" s="709">
        <f>VLOOKUP($B60&amp;"_"&amp;$D60,'App5 - CRUK Inci Rates'!C:K,9,FALSE)</f>
        <v>666</v>
      </c>
      <c r="K60" s="706">
        <f t="shared" si="8"/>
        <v>2090803</v>
      </c>
      <c r="L60" s="706">
        <f>VLOOKUP("*"&amp;$B60&amp;"*",'S4 - Summ PRS Characteristics'!$C$13:$Q$20,11,FALSE)*$J60</f>
        <v>470.92699964132129</v>
      </c>
      <c r="M60" s="706">
        <f t="shared" si="9"/>
        <v>195.07300035867871</v>
      </c>
      <c r="N60" s="706">
        <f>IF($C60="other",(1-$C$7)*L60,(1-(VLOOKUP($C60,'S3 - Screening Tool Metrics'!$C$3:$G$17,5,FALSE)/100))*L60)</f>
        <v>94.185399928264232</v>
      </c>
      <c r="O60" s="706">
        <f>IF($C60="other",$C$7*L60,(VLOOKUP($C60,'S3 - Screening Tool Metrics'!$C$3:$G$17,5,FALSE)/100)*L60)</f>
        <v>376.74159971305704</v>
      </c>
      <c r="P60" s="706">
        <f t="shared" si="10"/>
        <v>56.567807764723277</v>
      </c>
      <c r="Q60" s="707">
        <f t="shared" si="50"/>
        <v>836321.20000000007</v>
      </c>
      <c r="R60" s="706">
        <f>VLOOKUP("*"&amp;$B60&amp;"*",'S4 - Summ PRS Characteristics'!$C$13:$Q$20,12,FALSE)*$J60</f>
        <v>255.31068731558869</v>
      </c>
      <c r="S60" s="706">
        <f t="shared" si="58"/>
        <v>410.68931268441133</v>
      </c>
      <c r="T60" s="706">
        <f>IF($C60="other",(1-$C56)*R60,(1-(VLOOKUP($C60,'S3 - Screening Tool Metrics'!$C$3:$G$17,5,FALSE)/100))*R60)</f>
        <v>51.062137463117729</v>
      </c>
      <c r="U60" s="706">
        <f>IF($C60="other",$C56*R60,(VLOOKUP($C60,'S3 - Screening Tool Metrics'!$C$3:$G$17,5,FALSE)/100)*R60)</f>
        <v>204.24854985247097</v>
      </c>
      <c r="V60" s="706">
        <f t="shared" si="51"/>
        <v>30.667950428298944</v>
      </c>
      <c r="W60" s="707">
        <f t="shared" si="52"/>
        <v>418160.60000000003</v>
      </c>
      <c r="X60" s="706">
        <f>VLOOKUP("*"&amp;$B60&amp;"*",'S4 - Summ PRS Characteristics'!$C$13:$Q$20,13,FALSE)*$J60</f>
        <v>153.62946223521064</v>
      </c>
      <c r="Y60" s="706">
        <f t="shared" si="59"/>
        <v>512.37053776478933</v>
      </c>
      <c r="Z60" s="706">
        <f>IF($C60="other",(1-$C56)*X60,(1-(VLOOKUP($C60,'S3 - Screening Tool Metrics'!$C$3:$G$17,5,FALSE)/100))*X60)</f>
        <v>30.725892447042121</v>
      </c>
      <c r="AA60" s="706">
        <f>IF($C60="other",$C56*X60,(VLOOKUP($C60,'S3 - Screening Tool Metrics'!$C$3:$G$17,5,FALSE)/100)*X60)</f>
        <v>122.90356978816851</v>
      </c>
      <c r="AB60" s="709">
        <f t="shared" si="53"/>
        <v>18.453989457682958</v>
      </c>
      <c r="AC60" s="706">
        <f t="shared" si="54"/>
        <v>209080.30000000002</v>
      </c>
      <c r="AD60" s="706">
        <f>VLOOKUP("*"&amp;$B60&amp;"*",'S4 - Summ PRS Characteristics'!$C$13:$Q$20,14,FALSE)*$J60</f>
        <v>90.364014794408135</v>
      </c>
      <c r="AE60" s="706">
        <f t="shared" si="61"/>
        <v>575.63598520559185</v>
      </c>
      <c r="AF60" s="706">
        <f>IF($C60="other",(1-$C56)*AD60,(1-(VLOOKUP($C60,'S3 - Screening Tool Metrics'!$C$3:$G$17,5,FALSE)/100))*AD60)</f>
        <v>18.072802958881624</v>
      </c>
      <c r="AG60" s="706">
        <f>IF($C60="other",$C56*AD60,(VLOOKUP($C60,'S3 - Screening Tool Metrics'!$C$3:$G$17,5,FALSE)/100)*AD60)</f>
        <v>72.291211835526511</v>
      </c>
      <c r="AH60" s="708">
        <f t="shared" si="55"/>
        <v>10.854536311640617</v>
      </c>
      <c r="AI60" s="707">
        <f t="shared" si="56"/>
        <v>41816.06</v>
      </c>
      <c r="AJ60" s="706">
        <f>VLOOKUP("*"&amp;$B60&amp;"*",'S4 - Summ PRS Characteristics'!$C$13:$Q$20,15,FALSE)*$J60</f>
        <v>24.922873605372057</v>
      </c>
      <c r="AK60" s="706">
        <f t="shared" si="60"/>
        <v>641.07712639462795</v>
      </c>
      <c r="AL60" s="706">
        <f>IF($C60="other",(1-$C56)*AJ60,(1-(VLOOKUP($C60,'S3 - Screening Tool Metrics'!$C$3:$G$17,5,FALSE)/100))*AJ60)</f>
        <v>4.9845747210744102</v>
      </c>
      <c r="AM60" s="706">
        <f>IF($C60="other",$C56*AJ60,(VLOOKUP($C60,'S3 - Screening Tool Metrics'!$C$3:$G$17,5,FALSE)/100)*AJ60)</f>
        <v>19.938298884297648</v>
      </c>
      <c r="AN60" s="709">
        <f t="shared" si="57"/>
        <v>2.9937385712158631</v>
      </c>
    </row>
    <row r="61" spans="2:40" x14ac:dyDescent="0.15">
      <c r="B61" s="700" t="s">
        <v>12</v>
      </c>
      <c r="C61" s="721" t="str">
        <f>$C57</f>
        <v>Other</v>
      </c>
      <c r="D61" s="552" t="s">
        <v>196</v>
      </c>
      <c r="E61" s="710">
        <f>VLOOKUP($B61&amp;"_"&amp;$D61,'App5 - CRUK Inci Rates'!C:H,6,FALSE)</f>
        <v>29.2</v>
      </c>
      <c r="F61" s="711">
        <f>VLOOKUP($B61&amp;"_"&amp;$D61,'App5 - CRUK Inci Rates'!C:H,3,FALSE)</f>
        <v>22.4</v>
      </c>
      <c r="G61" s="712">
        <f>VLOOKUP($B61&amp;"_"&amp;$D61,'App5 - CRUK Inci Rates'!C:J,8,FALSE)</f>
        <v>3602002</v>
      </c>
      <c r="H61" s="713">
        <f>VLOOKUP($B61&amp;"_"&amp;$D61,'App5 - CRUK Inci Rates'!C:J,7,FALSE)</f>
        <v>1764828</v>
      </c>
      <c r="I61" s="713">
        <f>VLOOKUP($B61&amp;"_"&amp;$D61,'App5 - CRUK Inci Rates'!C:J,4,FALSE)</f>
        <v>1837174</v>
      </c>
      <c r="J61" s="709">
        <f>VLOOKUP($B61&amp;"_"&amp;$D61,'App5 - CRUK Inci Rates'!C:K,9,FALSE)</f>
        <v>926</v>
      </c>
      <c r="K61" s="706">
        <f t="shared" si="8"/>
        <v>1801001</v>
      </c>
      <c r="L61" s="706">
        <f>VLOOKUP("*"&amp;$B61&amp;"*",'S4 - Summ PRS Characteristics'!$C$13:$Q$20,11,FALSE)*$J61</f>
        <v>654.77237487667196</v>
      </c>
      <c r="M61" s="706">
        <f t="shared" si="9"/>
        <v>271.22762512332804</v>
      </c>
      <c r="N61" s="706">
        <f>IF($C61="other",(1-$C$7)*L61,(1-(VLOOKUP($C61,'S3 - Screening Tool Metrics'!$C$3:$G$17,5,FALSE)/100))*L61)</f>
        <v>130.95447497533436</v>
      </c>
      <c r="O61" s="706">
        <f>IF($C61="other",$C$7*L61,(VLOOKUP($C61,'S3 - Screening Tool Metrics'!$C$3:$G$17,5,FALSE)/100)*L61)</f>
        <v>523.81789990133757</v>
      </c>
      <c r="P61" s="706">
        <f t="shared" si="10"/>
        <v>56.567807764723277</v>
      </c>
      <c r="Q61" s="707">
        <f t="shared" si="50"/>
        <v>720400.4</v>
      </c>
      <c r="R61" s="706">
        <f>VLOOKUP("*"&amp;$B61&amp;"*",'S4 - Summ PRS Characteristics'!$C$13:$Q$20,12,FALSE)*$J61</f>
        <v>354.98152620756025</v>
      </c>
      <c r="S61" s="706">
        <f t="shared" si="58"/>
        <v>571.01847379243975</v>
      </c>
      <c r="T61" s="706">
        <f>IF($C61="other",(1-$C56)*R61,(1-(VLOOKUP($C61,'S3 - Screening Tool Metrics'!$C$3:$G$17,5,FALSE)/100))*R61)</f>
        <v>70.996305241512033</v>
      </c>
      <c r="U61" s="706">
        <f>IF($C61="other",$C56*R61,(VLOOKUP($C61,'S3 - Screening Tool Metrics'!$C$3:$G$17,5,FALSE)/100)*R61)</f>
        <v>283.98522096604819</v>
      </c>
      <c r="V61" s="706">
        <f t="shared" si="51"/>
        <v>30.667950428298941</v>
      </c>
      <c r="W61" s="707">
        <f t="shared" si="52"/>
        <v>360200.2</v>
      </c>
      <c r="X61" s="706">
        <f>VLOOKUP("*"&amp;$B61&amp;"*",'S4 - Summ PRS Characteristics'!$C$13:$Q$20,13,FALSE)*$J61</f>
        <v>213.60492797268026</v>
      </c>
      <c r="Y61" s="706">
        <f t="shared" si="59"/>
        <v>712.39507202731977</v>
      </c>
      <c r="Z61" s="706">
        <f>IF($C61="other",(1-$C56)*X61,(1-(VLOOKUP($C61,'S3 - Screening Tool Metrics'!$C$3:$G$17,5,FALSE)/100))*X61)</f>
        <v>42.720985594536039</v>
      </c>
      <c r="AA61" s="706">
        <f>IF($C61="other",$C56*X61,(VLOOKUP($C61,'S3 - Screening Tool Metrics'!$C$3:$G$17,5,FALSE)/100)*X61)</f>
        <v>170.88394237814421</v>
      </c>
      <c r="AB61" s="709">
        <f t="shared" si="53"/>
        <v>18.453989457682958</v>
      </c>
      <c r="AC61" s="706">
        <f t="shared" si="54"/>
        <v>180100.1</v>
      </c>
      <c r="AD61" s="706">
        <f>VLOOKUP("*"&amp;$B61&amp;"*",'S4 - Summ PRS Characteristics'!$C$13:$Q$20,14,FALSE)*$J61</f>
        <v>125.64125780724014</v>
      </c>
      <c r="AE61" s="706">
        <f t="shared" si="61"/>
        <v>800.35874219275991</v>
      </c>
      <c r="AF61" s="706">
        <f>IF($C61="other",(1-$C56)*AD61,(1-(VLOOKUP($C61,'S3 - Screening Tool Metrics'!$C$3:$G$17,5,FALSE)/100))*AD61)</f>
        <v>25.128251561448021</v>
      </c>
      <c r="AG61" s="706">
        <f>IF($C61="other",$C56*AD61,(VLOOKUP($C61,'S3 - Screening Tool Metrics'!$C$3:$G$17,5,FALSE)/100)*AD61)</f>
        <v>100.51300624579211</v>
      </c>
      <c r="AH61" s="708">
        <f t="shared" si="55"/>
        <v>10.854536311640617</v>
      </c>
      <c r="AI61" s="707">
        <f t="shared" si="56"/>
        <v>36020.020000000004</v>
      </c>
      <c r="AJ61" s="706">
        <f>VLOOKUP("*"&amp;$B61&amp;"*",'S4 - Summ PRS Characteristics'!$C$13:$Q$20,15,FALSE)*$J61</f>
        <v>34.652523961823611</v>
      </c>
      <c r="AK61" s="706">
        <f t="shared" si="60"/>
        <v>891.34747603817641</v>
      </c>
      <c r="AL61" s="706">
        <f>IF($C61="other",(1-$C56)*AJ61,(1-(VLOOKUP($C61,'S3 - Screening Tool Metrics'!$C$3:$G$17,5,FALSE)/100))*AJ61)</f>
        <v>6.9305047923647205</v>
      </c>
      <c r="AM61" s="706">
        <f>IF($C61="other",$C56*AJ61,(VLOOKUP($C61,'S3 - Screening Tool Metrics'!$C$3:$G$17,5,FALSE)/100)*AJ61)</f>
        <v>27.722019169458889</v>
      </c>
      <c r="AN61" s="709">
        <f t="shared" si="57"/>
        <v>2.9937385712158626</v>
      </c>
    </row>
    <row r="62" spans="2:40" x14ac:dyDescent="0.15">
      <c r="B62" s="700" t="s">
        <v>12</v>
      </c>
      <c r="C62" s="721" t="str">
        <f>$C57</f>
        <v>Other</v>
      </c>
      <c r="D62" s="552" t="s">
        <v>197</v>
      </c>
      <c r="E62" s="710">
        <f>VLOOKUP($B62&amp;"_"&amp;$D62,'App5 - CRUK Inci Rates'!C:H,6,FALSE)</f>
        <v>47.2</v>
      </c>
      <c r="F62" s="711">
        <f>VLOOKUP($B62&amp;"_"&amp;$D62,'App5 - CRUK Inci Rates'!C:H,3,FALSE)</f>
        <v>34.1</v>
      </c>
      <c r="G62" s="712">
        <f>VLOOKUP($B62&amp;"_"&amp;$D62,'App5 - CRUK Inci Rates'!C:J,8,FALSE)</f>
        <v>3502183.333333333</v>
      </c>
      <c r="H62" s="713">
        <f>VLOOKUP($B62&amp;"_"&amp;$D62,'App5 - CRUK Inci Rates'!C:J,7,FALSE)</f>
        <v>1696993.3333333333</v>
      </c>
      <c r="I62" s="713">
        <f>VLOOKUP($B62&amp;"_"&amp;$D62,'App5 - CRUK Inci Rates'!C:J,4,FALSE)</f>
        <v>1805190</v>
      </c>
      <c r="J62" s="709">
        <f>VLOOKUP($B62&amp;"_"&amp;$D62,'App5 - CRUK Inci Rates'!C:K,9,FALSE)</f>
        <v>1417</v>
      </c>
      <c r="K62" s="706">
        <f t="shared" si="8"/>
        <v>1751091.6666666665</v>
      </c>
      <c r="L62" s="706">
        <f>VLOOKUP("*"&amp;$B62&amp;"*",'S4 - Summ PRS Characteristics'!$C$13:$Q$20,11,FALSE)*$J62</f>
        <v>1001.957295032661</v>
      </c>
      <c r="M62" s="706">
        <f t="shared" si="9"/>
        <v>415.04270496733898</v>
      </c>
      <c r="N62" s="706">
        <f>IF($C62="other",(1-$C$7)*L62,(1-(VLOOKUP($C62,'S3 - Screening Tool Metrics'!$C$3:$G$17,5,FALSE)/100))*L62)</f>
        <v>200.39145900653216</v>
      </c>
      <c r="O62" s="706">
        <f>IF($C62="other",$C$7*L62,(VLOOKUP($C62,'S3 - Screening Tool Metrics'!$C$3:$G$17,5,FALSE)/100)*L62)</f>
        <v>801.56583602612886</v>
      </c>
      <c r="P62" s="706">
        <f t="shared" si="10"/>
        <v>56.567807764723277</v>
      </c>
      <c r="Q62" s="707">
        <f t="shared" si="50"/>
        <v>700436.66666666663</v>
      </c>
      <c r="R62" s="706">
        <f>VLOOKUP("*"&amp;$B62&amp;"*",'S4 - Summ PRS Characteristics'!$C$13:$Q$20,12,FALSE)*$J62</f>
        <v>543.20607196124502</v>
      </c>
      <c r="S62" s="706">
        <f t="shared" si="58"/>
        <v>873.79392803875498</v>
      </c>
      <c r="T62" s="706">
        <f>IF($C62="other",(1-$C56)*R62,(1-(VLOOKUP($C62,'S3 - Screening Tool Metrics'!$C$3:$G$17,5,FALSE)/100))*R62)</f>
        <v>108.64121439224898</v>
      </c>
      <c r="U62" s="706">
        <f>IF($C62="other",$C56*R62,(VLOOKUP($C62,'S3 - Screening Tool Metrics'!$C$3:$G$17,5,FALSE)/100)*R62)</f>
        <v>434.56485756899605</v>
      </c>
      <c r="V62" s="706">
        <f t="shared" si="51"/>
        <v>30.667950428298944</v>
      </c>
      <c r="W62" s="707">
        <f t="shared" si="52"/>
        <v>350218.33333333331</v>
      </c>
      <c r="X62" s="706">
        <f>VLOOKUP("*"&amp;$B62&amp;"*",'S4 - Summ PRS Characteristics'!$C$13:$Q$20,13,FALSE)*$J62</f>
        <v>326.86628826920941</v>
      </c>
      <c r="Y62" s="706">
        <f t="shared" si="59"/>
        <v>1090.1337117307905</v>
      </c>
      <c r="Z62" s="706">
        <f>IF($C62="other",(1-$C56)*X62,(1-(VLOOKUP($C62,'S3 - Screening Tool Metrics'!$C$3:$G$17,5,FALSE)/100))*X62)</f>
        <v>65.373257653841861</v>
      </c>
      <c r="AA62" s="706">
        <f>IF($C62="other",$C56*X62,(VLOOKUP($C62,'S3 - Screening Tool Metrics'!$C$3:$G$17,5,FALSE)/100)*X62)</f>
        <v>261.49303061536756</v>
      </c>
      <c r="AB62" s="709">
        <f t="shared" si="53"/>
        <v>18.453989457682962</v>
      </c>
      <c r="AC62" s="706">
        <f t="shared" si="54"/>
        <v>175109.16666666666</v>
      </c>
      <c r="AD62" s="706">
        <f>VLOOKUP("*"&amp;$B62&amp;"*",'S4 - Summ PRS Characteristics'!$C$13:$Q$20,14,FALSE)*$J62</f>
        <v>192.26097441993443</v>
      </c>
      <c r="AE62" s="706">
        <f t="shared" si="61"/>
        <v>1224.7390255800656</v>
      </c>
      <c r="AF62" s="706">
        <f>IF($C62="other",(1-$C56)*AD62,(1-(VLOOKUP($C62,'S3 - Screening Tool Metrics'!$C$3:$G$17,5,FALSE)/100))*AD62)</f>
        <v>38.452194883986877</v>
      </c>
      <c r="AG62" s="706">
        <f>IF($C62="other",$C56*AD62,(VLOOKUP($C62,'S3 - Screening Tool Metrics'!$C$3:$G$17,5,FALSE)/100)*AD62)</f>
        <v>153.80877953594756</v>
      </c>
      <c r="AH62" s="708">
        <f t="shared" si="55"/>
        <v>10.854536311640619</v>
      </c>
      <c r="AI62" s="707">
        <f t="shared" si="56"/>
        <v>35021.833333333328</v>
      </c>
      <c r="AJ62" s="706">
        <f>VLOOKUP("*"&amp;$B62&amp;"*",'S4 - Summ PRS Characteristics'!$C$13:$Q$20,15,FALSE)*$J62</f>
        <v>53.026594442660965</v>
      </c>
      <c r="AK62" s="706">
        <f t="shared" si="60"/>
        <v>1363.973405557339</v>
      </c>
      <c r="AL62" s="706">
        <f>IF($C62="other",(1-$C56)*AJ62,(1-(VLOOKUP($C62,'S3 - Screening Tool Metrics'!$C$3:$G$17,5,FALSE)/100))*AJ62)</f>
        <v>10.605318888532191</v>
      </c>
      <c r="AM62" s="706">
        <f>IF($C62="other",$C56*AJ62,(VLOOKUP($C62,'S3 - Screening Tool Metrics'!$C$3:$G$17,5,FALSE)/100)*AJ62)</f>
        <v>42.421275554128776</v>
      </c>
      <c r="AN62" s="709">
        <f t="shared" si="57"/>
        <v>2.9937385712158626</v>
      </c>
    </row>
    <row r="63" spans="2:40" x14ac:dyDescent="0.15">
      <c r="B63" s="700" t="s">
        <v>12</v>
      </c>
      <c r="C63" s="721" t="str">
        <f>$C57</f>
        <v>Other</v>
      </c>
      <c r="D63" s="552" t="s">
        <v>198</v>
      </c>
      <c r="E63" s="710">
        <f>VLOOKUP($B63&amp;"_"&amp;$D63,'App5 - CRUK Inci Rates'!C:H,6,FALSE)</f>
        <v>66.400000000000006</v>
      </c>
      <c r="F63" s="711">
        <f>VLOOKUP($B63&amp;"_"&amp;$D63,'App5 - CRUK Inci Rates'!C:H,3,FALSE)</f>
        <v>48.8</v>
      </c>
      <c r="G63" s="712">
        <f>VLOOKUP($B63&amp;"_"&amp;$D63,'App5 - CRUK Inci Rates'!C:J,8,FALSE)</f>
        <v>3071574.666666667</v>
      </c>
      <c r="H63" s="713">
        <f>VLOOKUP($B63&amp;"_"&amp;$D63,'App5 - CRUK Inci Rates'!C:J,7,FALSE)</f>
        <v>1467965</v>
      </c>
      <c r="I63" s="713">
        <f>VLOOKUP($B63&amp;"_"&amp;$D63,'App5 - CRUK Inci Rates'!C:J,4,FALSE)</f>
        <v>1603609.6666666667</v>
      </c>
      <c r="J63" s="709">
        <f>VLOOKUP($B63&amp;"_"&amp;$D63,'App5 - CRUK Inci Rates'!C:K,9,FALSE)</f>
        <v>1757</v>
      </c>
      <c r="K63" s="706">
        <f t="shared" si="8"/>
        <v>1535787.3333333335</v>
      </c>
      <c r="L63" s="706">
        <f>VLOOKUP("*"&amp;$B63&amp;"*",'S4 - Summ PRS Characteristics'!$C$13:$Q$20,11,FALSE)*$J63</f>
        <v>1242.370478032735</v>
      </c>
      <c r="M63" s="706">
        <f t="shared" si="9"/>
        <v>514.62952196726496</v>
      </c>
      <c r="N63" s="706">
        <f>IF($C63="other",(1-$C$7)*L63,(1-(VLOOKUP($C63,'S3 - Screening Tool Metrics'!$C$3:$G$17,5,FALSE)/100))*L63)</f>
        <v>248.47409560654694</v>
      </c>
      <c r="O63" s="706">
        <f>IF($C63="other",$C$7*L63,(VLOOKUP($C63,'S3 - Screening Tool Metrics'!$C$3:$G$17,5,FALSE)/100)*L63)</f>
        <v>993.8963824261881</v>
      </c>
      <c r="P63" s="706">
        <f t="shared" si="10"/>
        <v>56.567807764723291</v>
      </c>
      <c r="Q63" s="707">
        <f t="shared" si="50"/>
        <v>614314.93333333347</v>
      </c>
      <c r="R63" s="706">
        <f>VLOOKUP("*"&amp;$B63&amp;"*",'S4 - Summ PRS Characteristics'!$C$13:$Q$20,12,FALSE)*$J63</f>
        <v>673.54486128151552</v>
      </c>
      <c r="S63" s="706">
        <f t="shared" si="58"/>
        <v>1083.4551387184845</v>
      </c>
      <c r="T63" s="706">
        <f>IF($C63="other",(1-$C56)*R63,(1-(VLOOKUP($C63,'S3 - Screening Tool Metrics'!$C$3:$G$17,5,FALSE)/100))*R63)</f>
        <v>134.70897225630307</v>
      </c>
      <c r="U63" s="706">
        <f>IF($C63="other",$C56*R63,(VLOOKUP($C63,'S3 - Screening Tool Metrics'!$C$3:$G$17,5,FALSE)/100)*R63)</f>
        <v>538.8358890252124</v>
      </c>
      <c r="V63" s="706">
        <f t="shared" si="51"/>
        <v>30.667950428298941</v>
      </c>
      <c r="W63" s="707">
        <f t="shared" si="52"/>
        <v>307157.46666666673</v>
      </c>
      <c r="X63" s="706">
        <f>VLOOKUP("*"&amp;$B63&amp;"*",'S4 - Summ PRS Characteristics'!$C$13:$Q$20,13,FALSE)*$J63</f>
        <v>405.29574346436203</v>
      </c>
      <c r="Y63" s="706">
        <f t="shared" si="59"/>
        <v>1351.704256535638</v>
      </c>
      <c r="Z63" s="706">
        <f>IF($C63="other",(1-$C56)*X63,(1-(VLOOKUP($C63,'S3 - Screening Tool Metrics'!$C$3:$G$17,5,FALSE)/100))*X63)</f>
        <v>81.059148692872384</v>
      </c>
      <c r="AA63" s="706">
        <f>IF($C63="other",$C56*X63,(VLOOKUP($C63,'S3 - Screening Tool Metrics'!$C$3:$G$17,5,FALSE)/100)*X63)</f>
        <v>324.23659477148965</v>
      </c>
      <c r="AB63" s="709">
        <f t="shared" si="53"/>
        <v>18.453989457682962</v>
      </c>
      <c r="AC63" s="706">
        <f t="shared" si="54"/>
        <v>153578.73333333337</v>
      </c>
      <c r="AD63" s="706">
        <f>VLOOKUP("*"&amp;$B63&amp;"*",'S4 - Summ PRS Characteristics'!$C$13:$Q$20,14,FALSE)*$J63</f>
        <v>238.39275374440706</v>
      </c>
      <c r="AE63" s="706">
        <f t="shared" si="61"/>
        <v>1518.6072462555931</v>
      </c>
      <c r="AF63" s="706">
        <f>IF($C63="other",(1-$C56)*AD63,(1-(VLOOKUP($C63,'S3 - Screening Tool Metrics'!$C$3:$G$17,5,FALSE)/100))*AD63)</f>
        <v>47.678550748881399</v>
      </c>
      <c r="AG63" s="706">
        <f>IF($C63="other",$C56*AD63,(VLOOKUP($C63,'S3 - Screening Tool Metrics'!$C$3:$G$17,5,FALSE)/100)*AD63)</f>
        <v>190.71420299552565</v>
      </c>
      <c r="AH63" s="708">
        <f t="shared" si="55"/>
        <v>10.854536311640619</v>
      </c>
      <c r="AI63" s="707">
        <f t="shared" si="56"/>
        <v>30715.74666666667</v>
      </c>
      <c r="AJ63" s="706">
        <f>VLOOKUP("*"&amp;$B63&amp;"*",'S4 - Summ PRS Characteristics'!$C$13:$Q$20,15,FALSE)*$J63</f>
        <v>65.74998337032838</v>
      </c>
      <c r="AK63" s="706">
        <f t="shared" si="60"/>
        <v>1691.2500166296716</v>
      </c>
      <c r="AL63" s="706">
        <f>IF($C63="other",(1-$C56)*AJ63,(1-(VLOOKUP($C63,'S3 - Screening Tool Metrics'!$C$3:$G$17,5,FALSE)/100))*AJ63)</f>
        <v>13.149996674065672</v>
      </c>
      <c r="AM63" s="706">
        <f>IF($C63="other",$C56*AJ63,(VLOOKUP($C63,'S3 - Screening Tool Metrics'!$C$3:$G$17,5,FALSE)/100)*AJ63)</f>
        <v>52.599986696262704</v>
      </c>
      <c r="AN63" s="709">
        <f t="shared" si="57"/>
        <v>2.9937385712158626</v>
      </c>
    </row>
    <row r="64" spans="2:40" x14ac:dyDescent="0.15">
      <c r="B64" s="700" t="s">
        <v>12</v>
      </c>
      <c r="C64" s="721" t="str">
        <f>$C57</f>
        <v>Other</v>
      </c>
      <c r="D64" s="552" t="s">
        <v>199</v>
      </c>
      <c r="E64" s="710">
        <f>VLOOKUP($B64&amp;"_"&amp;$D64,'App5 - CRUK Inci Rates'!C:H,6,FALSE)</f>
        <v>86</v>
      </c>
      <c r="F64" s="711">
        <f>VLOOKUP($B64&amp;"_"&amp;$D64,'App5 - CRUK Inci Rates'!C:H,3,FALSE)</f>
        <v>70.8</v>
      </c>
      <c r="G64" s="712">
        <f>VLOOKUP($B64&amp;"_"&amp;$D64,'App5 - CRUK Inci Rates'!C:J,8,FALSE)</f>
        <v>2189010.6666666665</v>
      </c>
      <c r="H64" s="713">
        <f>VLOOKUP($B64&amp;"_"&amp;$D64,'App5 - CRUK Inci Rates'!C:J,7,FALSE)</f>
        <v>1007365.3333333334</v>
      </c>
      <c r="I64" s="713">
        <f>VLOOKUP($B64&amp;"_"&amp;$D64,'App5 - CRUK Inci Rates'!C:J,4,FALSE)</f>
        <v>1181645.3333333333</v>
      </c>
      <c r="J64" s="709">
        <f>VLOOKUP($B64&amp;"_"&amp;$D64,'App5 - CRUK Inci Rates'!C:K,9,FALSE)</f>
        <v>1702</v>
      </c>
      <c r="K64" s="706">
        <f t="shared" si="8"/>
        <v>1094505.3333333333</v>
      </c>
      <c r="L64" s="706">
        <f>VLOOKUP("*"&amp;$B64&amp;"*",'S4 - Summ PRS Characteristics'!$C$13:$Q$20,11,FALSE)*$J64</f>
        <v>1203.4801101944877</v>
      </c>
      <c r="M64" s="706">
        <f t="shared" si="9"/>
        <v>498.51988980551232</v>
      </c>
      <c r="N64" s="706">
        <f>IF($C64="other",(1-$C$7)*L64,(1-(VLOOKUP($C64,'S3 - Screening Tool Metrics'!$C$3:$G$17,5,FALSE)/100))*L64)</f>
        <v>240.6960220388975</v>
      </c>
      <c r="O64" s="706">
        <f>IF($C64="other",$C$7*L64,(VLOOKUP($C64,'S3 - Screening Tool Metrics'!$C$3:$G$17,5,FALSE)/100)*L64)</f>
        <v>962.78408815559021</v>
      </c>
      <c r="P64" s="706">
        <f t="shared" si="10"/>
        <v>56.567807764723277</v>
      </c>
      <c r="Q64" s="707">
        <f t="shared" si="50"/>
        <v>437802.1333333333</v>
      </c>
      <c r="R64" s="706">
        <f>VLOOKUP("*"&amp;$B64&amp;"*",'S4 - Summ PRS Characteristics'!$C$13:$Q$20,12,FALSE)*$J64</f>
        <v>652.46064536205995</v>
      </c>
      <c r="S64" s="706">
        <f t="shared" si="58"/>
        <v>1049.5393546379401</v>
      </c>
      <c r="T64" s="706">
        <f>IF($C64="other",(1-$C56)*R64,(1-(VLOOKUP($C64,'S3 - Screening Tool Metrics'!$C$3:$G$17,5,FALSE)/100))*R64)</f>
        <v>130.49212907241196</v>
      </c>
      <c r="U64" s="706">
        <f>IF($C64="other",$C56*R64,(VLOOKUP($C64,'S3 - Screening Tool Metrics'!$C$3:$G$17,5,FALSE)/100)*R64)</f>
        <v>521.96851628964794</v>
      </c>
      <c r="V64" s="706">
        <f t="shared" si="51"/>
        <v>30.667950428298941</v>
      </c>
      <c r="W64" s="707">
        <f t="shared" si="52"/>
        <v>218901.06666666665</v>
      </c>
      <c r="X64" s="706">
        <f>VLOOKUP("*"&amp;$B64&amp;"*",'S4 - Summ PRS Characteristics'!$C$13:$Q$20,13,FALSE)*$J64</f>
        <v>392.60862571220497</v>
      </c>
      <c r="Y64" s="706">
        <f t="shared" si="59"/>
        <v>1309.3913742877951</v>
      </c>
      <c r="Z64" s="706">
        <f>IF($C64="other",(1-$C56)*X64,(1-(VLOOKUP($C64,'S3 - Screening Tool Metrics'!$C$3:$G$17,5,FALSE)/100))*X64)</f>
        <v>78.521725142440971</v>
      </c>
      <c r="AA64" s="706">
        <f>IF($C64="other",$C56*X64,(VLOOKUP($C64,'S3 - Screening Tool Metrics'!$C$3:$G$17,5,FALSE)/100)*X64)</f>
        <v>314.086900569764</v>
      </c>
      <c r="AB64" s="709">
        <f t="shared" si="53"/>
        <v>18.453989457682962</v>
      </c>
      <c r="AC64" s="706">
        <f t="shared" si="54"/>
        <v>109450.53333333333</v>
      </c>
      <c r="AD64" s="706">
        <f>VLOOKUP("*"&amp;$B64&amp;"*",'S4 - Summ PRS Characteristics'!$C$13:$Q$20,14,FALSE)*$J64</f>
        <v>230.93026003015413</v>
      </c>
      <c r="AE64" s="706">
        <f t="shared" si="61"/>
        <v>1471.0697399698458</v>
      </c>
      <c r="AF64" s="706">
        <f>IF($C64="other",(1-$C56)*AD64,(1-(VLOOKUP($C64,'S3 - Screening Tool Metrics'!$C$3:$G$17,5,FALSE)/100))*AD64)</f>
        <v>46.186052006030813</v>
      </c>
      <c r="AG64" s="706">
        <f>IF($C64="other",$C56*AD64,(VLOOKUP($C64,'S3 - Screening Tool Metrics'!$C$3:$G$17,5,FALSE)/100)*AD64)</f>
        <v>184.74420802412331</v>
      </c>
      <c r="AH64" s="708">
        <f t="shared" si="55"/>
        <v>10.854536311640617</v>
      </c>
      <c r="AI64" s="707">
        <f t="shared" si="56"/>
        <v>21890.106666666667</v>
      </c>
      <c r="AJ64" s="706">
        <f>VLOOKUP("*"&amp;$B64&amp;"*",'S4 - Summ PRS Characteristics'!$C$13:$Q$20,15,FALSE)*$J64</f>
        <v>63.69178810261748</v>
      </c>
      <c r="AK64" s="706">
        <f t="shared" si="60"/>
        <v>1638.3082118973825</v>
      </c>
      <c r="AL64" s="706">
        <f>IF($C64="other",(1-$C56)*AJ64,(1-(VLOOKUP($C64,'S3 - Screening Tool Metrics'!$C$3:$G$17,5,FALSE)/100))*AJ64)</f>
        <v>12.738357620523493</v>
      </c>
      <c r="AM64" s="706">
        <f>IF($C64="other",$C56*AJ64,(VLOOKUP($C64,'S3 - Screening Tool Metrics'!$C$3:$G$17,5,FALSE)/100)*AJ64)</f>
        <v>50.953430482093985</v>
      </c>
      <c r="AN64" s="709">
        <f t="shared" si="57"/>
        <v>2.9937385712158626</v>
      </c>
    </row>
    <row r="65" spans="2:40" x14ac:dyDescent="0.15">
      <c r="B65" s="700" t="s">
        <v>12</v>
      </c>
      <c r="C65" s="721" t="str">
        <f>$C57</f>
        <v>Other</v>
      </c>
      <c r="D65" s="552" t="s">
        <v>200</v>
      </c>
      <c r="E65" s="710">
        <f>VLOOKUP($B65&amp;"_"&amp;$D65,'App5 - CRUK Inci Rates'!C:H,6,FALSE)</f>
        <v>17.427226372970985</v>
      </c>
      <c r="F65" s="711">
        <f>VLOOKUP($B65&amp;"_"&amp;$D65,'App5 - CRUK Inci Rates'!C:H,3,FALSE)</f>
        <v>12.96374185444887</v>
      </c>
      <c r="G65" s="712">
        <f>VLOOKUP($B65&amp;"_"&amp;$D65,'App5 - CRUK Inci Rates'!C:J,8,FALSE)</f>
        <v>24586669.333333336</v>
      </c>
      <c r="H65" s="713">
        <f>VLOOKUP($B65&amp;"_"&amp;$D65,'App5 - CRUK Inci Rates'!C:J,7,FALSE)</f>
        <v>12090277.333333334</v>
      </c>
      <c r="I65" s="713">
        <f>VLOOKUP($B65&amp;"_"&amp;$D65,'App5 - CRUK Inci Rates'!C:J,4,FALSE)</f>
        <v>12496392</v>
      </c>
      <c r="J65" s="709">
        <f>VLOOKUP($B65&amp;"_"&amp;$D65,'App5 - CRUK Inci Rates'!C:K,9,FALSE)</f>
        <v>3727</v>
      </c>
      <c r="K65" s="706">
        <f t="shared" si="8"/>
        <v>12293334.666666668</v>
      </c>
      <c r="L65" s="706">
        <f>VLOOKUP("*"&amp;$B65&amp;"*",'S4 - Summ PRS Characteristics'!$C$13:$Q$20,11,FALSE)*$J65</f>
        <v>2635.3527442390455</v>
      </c>
      <c r="M65" s="706">
        <f t="shared" si="9"/>
        <v>1091.6472557609545</v>
      </c>
      <c r="N65" s="706">
        <f>IF($C65="other",(1-$C$7)*L65,(1-(VLOOKUP($C65,'S3 - Screening Tool Metrics'!$C$3:$G$17,5,FALSE)/100))*L65)</f>
        <v>527.07054884780894</v>
      </c>
      <c r="O65" s="706">
        <f>IF($C65="other",$C$7*L65,(VLOOKUP($C65,'S3 - Screening Tool Metrics'!$C$3:$G$17,5,FALSE)/100)*L65)</f>
        <v>2108.2821953912367</v>
      </c>
      <c r="P65" s="706">
        <f t="shared" si="10"/>
        <v>56.567807764723277</v>
      </c>
      <c r="Q65" s="707">
        <f t="shared" si="50"/>
        <v>4917333.8666666672</v>
      </c>
      <c r="R65" s="706">
        <f>VLOOKUP("*"&amp;$B65&amp;"*",'S4 - Summ PRS Characteristics'!$C$13:$Q$20,12,FALSE)*$J65</f>
        <v>1428.7431405783771</v>
      </c>
      <c r="S65" s="706">
        <f t="shared" si="58"/>
        <v>2298.2568594216227</v>
      </c>
      <c r="T65" s="706">
        <f>IF($C65="other",(1-$C56)*R65,(1-(VLOOKUP($C65,'S3 - Screening Tool Metrics'!$C$3:$G$17,5,FALSE)/100))*R65)</f>
        <v>285.74862811567533</v>
      </c>
      <c r="U65" s="706">
        <f>IF($C65="other",$C56*R65,(VLOOKUP($C65,'S3 - Screening Tool Metrics'!$C$3:$G$17,5,FALSE)/100)*R65)</f>
        <v>1142.9945124627018</v>
      </c>
      <c r="V65" s="706">
        <f t="shared" si="51"/>
        <v>30.667950428298944</v>
      </c>
      <c r="W65" s="707">
        <f t="shared" si="52"/>
        <v>2458666.9333333336</v>
      </c>
      <c r="X65" s="706">
        <f>VLOOKUP("*"&amp;$B65&amp;"*",'S4 - Summ PRS Characteristics'!$C$13:$Q$20,13,FALSE)*$J65</f>
        <v>859.72523385980492</v>
      </c>
      <c r="Y65" s="706">
        <f t="shared" si="59"/>
        <v>2867.274766140195</v>
      </c>
      <c r="Z65" s="706">
        <f>IF($C65="other",(1-$C56)*X65,(1-(VLOOKUP($C65,'S3 - Screening Tool Metrics'!$C$3:$G$17,5,FALSE)/100))*X65)</f>
        <v>171.94504677196093</v>
      </c>
      <c r="AA65" s="706">
        <f>IF($C65="other",$C56*X65,(VLOOKUP($C65,'S3 - Screening Tool Metrics'!$C$3:$G$17,5,FALSE)/100)*X65)</f>
        <v>687.78018708784396</v>
      </c>
      <c r="AB65" s="709">
        <f t="shared" si="53"/>
        <v>18.453989457682962</v>
      </c>
      <c r="AC65" s="706">
        <f t="shared" si="54"/>
        <v>1229333.4666666668</v>
      </c>
      <c r="AD65" s="706">
        <f>VLOOKUP("*"&amp;$B65&amp;"*",'S4 - Summ PRS Characteristics'!$C$13:$Q$20,14,FALSE)*$J65</f>
        <v>505.68571041855722</v>
      </c>
      <c r="AE65" s="706">
        <f t="shared" si="61"/>
        <v>3221.3142895814426</v>
      </c>
      <c r="AF65" s="706">
        <f>IF($C65="other",(1-$C56)*AD65,(1-(VLOOKUP($C65,'S3 - Screening Tool Metrics'!$C$3:$G$17,5,FALSE)/100))*AD65)</f>
        <v>101.13714208371142</v>
      </c>
      <c r="AG65" s="706">
        <f>IF($C65="other",$C56*AD65,(VLOOKUP($C65,'S3 - Screening Tool Metrics'!$C$3:$G$17,5,FALSE)/100)*AD65)</f>
        <v>404.54856833484581</v>
      </c>
      <c r="AH65" s="708">
        <f t="shared" si="55"/>
        <v>10.854536311640617</v>
      </c>
      <c r="AI65" s="707">
        <f t="shared" si="56"/>
        <v>245866.69333333336</v>
      </c>
      <c r="AJ65" s="706">
        <f>VLOOKUP("*"&amp;$B65&amp;"*",'S4 - Summ PRS Characteristics'!$C$13:$Q$20,15,FALSE)*$J65</f>
        <v>139.47079568651901</v>
      </c>
      <c r="AK65" s="706">
        <f t="shared" si="60"/>
        <v>3587.5292043134809</v>
      </c>
      <c r="AL65" s="706">
        <f>IF($C65="other",(1-$C56)*AJ65,(1-(VLOOKUP($C65,'S3 - Screening Tool Metrics'!$C$3:$G$17,5,FALSE)/100))*AJ65)</f>
        <v>27.894159137303795</v>
      </c>
      <c r="AM65" s="706">
        <f>IF($C65="other",$C56*AJ65,(VLOOKUP($C65,'S3 - Screening Tool Metrics'!$C$3:$G$17,5,FALSE)/100)*AJ65)</f>
        <v>111.57663654921521</v>
      </c>
      <c r="AN65" s="709">
        <f t="shared" si="57"/>
        <v>2.9937385712158626</v>
      </c>
    </row>
    <row r="66" spans="2:40" x14ac:dyDescent="0.15">
      <c r="B66" s="700" t="s">
        <v>12</v>
      </c>
      <c r="C66" s="721" t="str">
        <f>$C57</f>
        <v>Other</v>
      </c>
      <c r="D66" s="552" t="s">
        <v>201</v>
      </c>
      <c r="E66" s="710">
        <f>VLOOKUP($B66&amp;"_"&amp;$D66,'App5 - CRUK Inci Rates'!C:H,6,FALSE)</f>
        <v>4.1656285098735539</v>
      </c>
      <c r="F66" s="711">
        <f>VLOOKUP($B66&amp;"_"&amp;$D66,'App5 - CRUK Inci Rates'!C:H,3,FALSE)</f>
        <v>2.9979156476550499</v>
      </c>
      <c r="G66" s="712">
        <f>VLOOKUP($B66&amp;"_"&amp;$D66,'App5 - CRUK Inci Rates'!C:J,8,FALSE)</f>
        <v>8642767.333333334</v>
      </c>
      <c r="H66" s="713">
        <f>VLOOKUP($B66&amp;"_"&amp;$D66,'App5 - CRUK Inci Rates'!C:J,7,FALSE)</f>
        <v>4273064.666666667</v>
      </c>
      <c r="I66" s="713">
        <f>VLOOKUP($B66&amp;"_"&amp;$D66,'App5 - CRUK Inci Rates'!C:J,4,FALSE)</f>
        <v>4369702.666666667</v>
      </c>
      <c r="J66" s="709">
        <f>VLOOKUP($B66&amp;"_"&amp;$D66,'App5 - CRUK Inci Rates'!C:K,9,FALSE)</f>
        <v>309</v>
      </c>
      <c r="K66" s="706">
        <f t="shared" si="8"/>
        <v>4321383.666666667</v>
      </c>
      <c r="L66" s="706">
        <f>VLOOKUP("*"&amp;$B66&amp;"*",'S4 - Summ PRS Characteristics'!$C$13:$Q$20,11,FALSE)*$J66</f>
        <v>218.49315749124366</v>
      </c>
      <c r="M66" s="706">
        <f t="shared" si="9"/>
        <v>90.506842508756336</v>
      </c>
      <c r="N66" s="706">
        <f>IF($C66="other",(1-$C$7)*L66,(1-(VLOOKUP($C66,'S3 - Screening Tool Metrics'!$C$3:$G$17,5,FALSE)/100))*L66)</f>
        <v>43.698631498248723</v>
      </c>
      <c r="O66" s="706">
        <f>IF($C66="other",$C$7*L66,(VLOOKUP($C66,'S3 - Screening Tool Metrics'!$C$3:$G$17,5,FALSE)/100)*L66)</f>
        <v>174.79452599299495</v>
      </c>
      <c r="P66" s="706">
        <f t="shared" si="10"/>
        <v>56.567807764723291</v>
      </c>
      <c r="Q66" s="707">
        <f t="shared" si="50"/>
        <v>1728553.4666666668</v>
      </c>
      <c r="R66" s="706">
        <f>VLOOKUP("*"&amp;$B66&amp;"*",'S4 - Summ PRS Characteristics'!$C$13:$Q$20,12,FALSE)*$J66</f>
        <v>118.45495852930466</v>
      </c>
      <c r="S66" s="706">
        <f t="shared" si="58"/>
        <v>190.54504147069534</v>
      </c>
      <c r="T66" s="706">
        <f>IF($C66="other",(1-$C56)*R66,(1-(VLOOKUP($C66,'S3 - Screening Tool Metrics'!$C$3:$G$17,5,FALSE)/100))*R66)</f>
        <v>23.690991705860927</v>
      </c>
      <c r="U66" s="706">
        <f>IF($C66="other",$C56*R66,(VLOOKUP($C66,'S3 - Screening Tool Metrics'!$C$3:$G$17,5,FALSE)/100)*R66)</f>
        <v>94.763966823443738</v>
      </c>
      <c r="V66" s="706">
        <f t="shared" si="51"/>
        <v>30.667950428298944</v>
      </c>
      <c r="W66" s="707">
        <f t="shared" si="52"/>
        <v>864276.7333333334</v>
      </c>
      <c r="X66" s="706">
        <f>VLOOKUP("*"&amp;$B66&amp;"*",'S4 - Summ PRS Characteristics'!$C$13:$Q$20,13,FALSE)*$J66</f>
        <v>71.278534280300434</v>
      </c>
      <c r="Y66" s="706">
        <f t="shared" si="59"/>
        <v>237.72146571969955</v>
      </c>
      <c r="Z66" s="706">
        <f>IF($C66="other",(1-$C56)*X66,(1-(VLOOKUP($C66,'S3 - Screening Tool Metrics'!$C$3:$G$17,5,FALSE)/100))*X66)</f>
        <v>14.255706856060083</v>
      </c>
      <c r="AA66" s="706">
        <f>IF($C66="other",$C56*X66,(VLOOKUP($C66,'S3 - Screening Tool Metrics'!$C$3:$G$17,5,FALSE)/100)*X66)</f>
        <v>57.022827424240347</v>
      </c>
      <c r="AB66" s="709">
        <f t="shared" si="53"/>
        <v>18.453989457682958</v>
      </c>
      <c r="AC66" s="706">
        <f t="shared" si="54"/>
        <v>432138.3666666667</v>
      </c>
      <c r="AD66" s="706">
        <f>VLOOKUP("*"&amp;$B66&amp;"*",'S4 - Summ PRS Characteristics'!$C$13:$Q$20,14,FALSE)*$J66</f>
        <v>41.925646503711882</v>
      </c>
      <c r="AE66" s="706">
        <f t="shared" si="61"/>
        <v>267.0743534962881</v>
      </c>
      <c r="AF66" s="706">
        <f>IF($C66="other",(1-$C56)*AD66,(1-(VLOOKUP($C66,'S3 - Screening Tool Metrics'!$C$3:$G$17,5,FALSE)/100))*AD66)</f>
        <v>8.3851293007423742</v>
      </c>
      <c r="AG66" s="706">
        <f>IF($C66="other",$C56*AD66,(VLOOKUP($C66,'S3 - Screening Tool Metrics'!$C$3:$G$17,5,FALSE)/100)*AD66)</f>
        <v>33.540517202969504</v>
      </c>
      <c r="AH66" s="708">
        <f t="shared" si="55"/>
        <v>10.854536311640615</v>
      </c>
      <c r="AI66" s="707">
        <f t="shared" si="56"/>
        <v>86427.67333333334</v>
      </c>
      <c r="AJ66" s="706">
        <f>VLOOKUP("*"&amp;$B66&amp;"*",'S4 - Summ PRS Characteristics'!$C$13:$Q$20,15,FALSE)*$J66</f>
        <v>11.563315231321269</v>
      </c>
      <c r="AK66" s="706">
        <f t="shared" si="60"/>
        <v>297.43668476867873</v>
      </c>
      <c r="AL66" s="706">
        <f>IF($C66="other",(1-$C56)*AJ66,(1-(VLOOKUP($C66,'S3 - Screening Tool Metrics'!$C$3:$G$17,5,FALSE)/100))*AJ66)</f>
        <v>2.3126630462642535</v>
      </c>
      <c r="AM66" s="706">
        <f>IF($C66="other",$C56*AJ66,(VLOOKUP($C66,'S3 - Screening Tool Metrics'!$C$3:$G$17,5,FALSE)/100)*AJ66)</f>
        <v>9.2506521850570156</v>
      </c>
      <c r="AN66" s="709">
        <f t="shared" si="57"/>
        <v>2.9937385712158626</v>
      </c>
    </row>
    <row r="67" spans="2:40" x14ac:dyDescent="0.15">
      <c r="B67" s="700" t="s">
        <v>12</v>
      </c>
      <c r="C67" s="721" t="str">
        <f>$C57</f>
        <v>Other</v>
      </c>
      <c r="D67" s="552" t="s">
        <v>202</v>
      </c>
      <c r="E67" s="710">
        <f>VLOOKUP($B67&amp;"_"&amp;$D67,'App5 - CRUK Inci Rates'!C:H,6,FALSE)</f>
        <v>14.074510258320455</v>
      </c>
      <c r="F67" s="711">
        <f>VLOOKUP($B67&amp;"_"&amp;$D67,'App5 - CRUK Inci Rates'!C:H,3,FALSE)</f>
        <v>10.302553130251624</v>
      </c>
      <c r="G67" s="712">
        <f>VLOOKUP($B67&amp;"_"&amp;$D67,'App5 - CRUK Inci Rates'!C:J,8,FALSE)</f>
        <v>8839716.6666666679</v>
      </c>
      <c r="H67" s="713">
        <f>VLOOKUP($B67&amp;"_"&amp;$D67,'App5 - CRUK Inci Rates'!C:J,7,FALSE)</f>
        <v>4355391.333333333</v>
      </c>
      <c r="I67" s="713">
        <f>VLOOKUP($B67&amp;"_"&amp;$D67,'App5 - CRUK Inci Rates'!C:J,4,FALSE)</f>
        <v>4484325.333333334</v>
      </c>
      <c r="J67" s="709">
        <f>VLOOKUP($B67&amp;"_"&amp;$D67,'App5 - CRUK Inci Rates'!C:K,9,FALSE)</f>
        <v>1075</v>
      </c>
      <c r="K67" s="706">
        <f t="shared" si="8"/>
        <v>4419858.333333334</v>
      </c>
      <c r="L67" s="706">
        <f>VLOOKUP("*"&amp;$B67&amp;"*",'S4 - Summ PRS Characteristics'!$C$13:$Q$20,11,FALSE)*$J67</f>
        <v>760.12991683846906</v>
      </c>
      <c r="M67" s="706">
        <f t="shared" si="9"/>
        <v>314.87008316153094</v>
      </c>
      <c r="N67" s="706">
        <f>IF($C67="other",(1-$C$7)*L67,(1-(VLOOKUP($C67,'S3 - Screening Tool Metrics'!$C$3:$G$17,5,FALSE)/100))*L67)</f>
        <v>152.02598336769378</v>
      </c>
      <c r="O67" s="706">
        <f>IF($C67="other",$C$7*L67,(VLOOKUP($C67,'S3 - Screening Tool Metrics'!$C$3:$G$17,5,FALSE)/100)*L67)</f>
        <v>608.10393347077525</v>
      </c>
      <c r="P67" s="706">
        <f t="shared" si="10"/>
        <v>56.567807764723277</v>
      </c>
      <c r="Q67" s="707">
        <f t="shared" si="50"/>
        <v>1767943.3333333337</v>
      </c>
      <c r="R67" s="706">
        <f>VLOOKUP("*"&amp;$B67&amp;"*",'S4 - Summ PRS Characteristics'!$C$13:$Q$20,12,FALSE)*$J67</f>
        <v>412.10058388026704</v>
      </c>
      <c r="S67" s="706">
        <f t="shared" si="58"/>
        <v>662.8994161197329</v>
      </c>
      <c r="T67" s="706">
        <f>IF($C67="other",(1-$C56)*R67,(1-(VLOOKUP($C67,'S3 - Screening Tool Metrics'!$C$3:$G$17,5,FALSE)/100))*R67)</f>
        <v>82.420116776053391</v>
      </c>
      <c r="U67" s="706">
        <f>IF($C67="other",$C56*R67,(VLOOKUP($C67,'S3 - Screening Tool Metrics'!$C$3:$G$17,5,FALSE)/100)*R67)</f>
        <v>329.68046710421368</v>
      </c>
      <c r="V67" s="706">
        <f t="shared" si="51"/>
        <v>30.667950428298944</v>
      </c>
      <c r="W67" s="707">
        <f t="shared" si="52"/>
        <v>883971.66666666686</v>
      </c>
      <c r="X67" s="706">
        <f>VLOOKUP("*"&amp;$B67&amp;"*",'S4 - Summ PRS Characteristics'!$C$13:$Q$20,13,FALSE)*$J67</f>
        <v>247.97548333761478</v>
      </c>
      <c r="Y67" s="706">
        <f t="shared" si="59"/>
        <v>827.02451666238517</v>
      </c>
      <c r="Z67" s="706">
        <f>IF($C67="other",(1-$C56)*X67,(1-(VLOOKUP($C67,'S3 - Screening Tool Metrics'!$C$3:$G$17,5,FALSE)/100))*X67)</f>
        <v>49.595096667522945</v>
      </c>
      <c r="AA67" s="706">
        <f>IF($C67="other",$C56*X67,(VLOOKUP($C67,'S3 - Screening Tool Metrics'!$C$3:$G$17,5,FALSE)/100)*X67)</f>
        <v>198.38038667009184</v>
      </c>
      <c r="AB67" s="709">
        <f t="shared" si="53"/>
        <v>18.453989457682962</v>
      </c>
      <c r="AC67" s="706">
        <f t="shared" si="54"/>
        <v>441985.83333333343</v>
      </c>
      <c r="AD67" s="706">
        <f>VLOOKUP("*"&amp;$B67&amp;"*",'S4 - Summ PRS Characteristics'!$C$13:$Q$20,14,FALSE)*$J67</f>
        <v>145.8578316876708</v>
      </c>
      <c r="AE67" s="706">
        <f t="shared" si="61"/>
        <v>929.1421683123292</v>
      </c>
      <c r="AF67" s="706">
        <f>IF($C67="other",(1-$C56)*AD67,(1-(VLOOKUP($C67,'S3 - Screening Tool Metrics'!$C$3:$G$17,5,FALSE)/100))*AD67)</f>
        <v>29.171566337534152</v>
      </c>
      <c r="AG67" s="706">
        <f>IF($C67="other",$C56*AD67,(VLOOKUP($C67,'S3 - Screening Tool Metrics'!$C$3:$G$17,5,FALSE)/100)*AD67)</f>
        <v>116.68626535013664</v>
      </c>
      <c r="AH67" s="708">
        <f t="shared" si="55"/>
        <v>10.854536311640617</v>
      </c>
      <c r="AI67" s="707">
        <f t="shared" si="56"/>
        <v>88397.166666666686</v>
      </c>
      <c r="AJ67" s="706">
        <f>VLOOKUP("*"&amp;$B67&amp;"*",'S4 - Summ PRS Characteristics'!$C$13:$Q$20,15,FALSE)*$J67</f>
        <v>40.228362050713152</v>
      </c>
      <c r="AK67" s="706">
        <f t="shared" si="60"/>
        <v>1034.7716379492867</v>
      </c>
      <c r="AL67" s="706">
        <f>IF($C67="other",(1-$C56)*AJ67,(1-(VLOOKUP($C67,'S3 - Screening Tool Metrics'!$C$3:$G$17,5,FALSE)/100))*AJ67)</f>
        <v>8.0456724101426289</v>
      </c>
      <c r="AM67" s="706">
        <f>IF($C67="other",$C56*AJ67,(VLOOKUP($C67,'S3 - Screening Tool Metrics'!$C$3:$G$17,5,FALSE)/100)*AJ67)</f>
        <v>32.182689640570523</v>
      </c>
      <c r="AN67" s="709">
        <f t="shared" si="57"/>
        <v>2.9937385712158626</v>
      </c>
    </row>
    <row r="68" spans="2:40" x14ac:dyDescent="0.15">
      <c r="B68" s="700" t="s">
        <v>12</v>
      </c>
      <c r="C68" s="721" t="str">
        <f>$C57</f>
        <v>Other</v>
      </c>
      <c r="D68" s="552" t="s">
        <v>203</v>
      </c>
      <c r="E68" s="710">
        <f>VLOOKUP($B68&amp;"_"&amp;$D68,'App5 - CRUK Inci Rates'!C:H,6,FALSE)</f>
        <v>24.676314720532528</v>
      </c>
      <c r="F68" s="711">
        <f>VLOOKUP($B68&amp;"_"&amp;$D68,'App5 - CRUK Inci Rates'!C:H,3,FALSE)</f>
        <v>18.322344301910888</v>
      </c>
      <c r="G68" s="712">
        <f>VLOOKUP($B68&amp;"_"&amp;$D68,'App5 - CRUK Inci Rates'!C:J,8,FALSE)</f>
        <v>15943902</v>
      </c>
      <c r="H68" s="713">
        <f>VLOOKUP($B68&amp;"_"&amp;$D68,'App5 - CRUK Inci Rates'!C:J,7,FALSE)</f>
        <v>7817212.666666666</v>
      </c>
      <c r="I68" s="713">
        <f>VLOOKUP($B68&amp;"_"&amp;$D68,'App5 - CRUK Inci Rates'!C:J,4,FALSE)</f>
        <v>8126689.333333334</v>
      </c>
      <c r="J68" s="709">
        <f>VLOOKUP($B68&amp;"_"&amp;$D68,'App5 - CRUK Inci Rates'!C:K,9,FALSE)</f>
        <v>3418</v>
      </c>
      <c r="K68" s="706">
        <f t="shared" si="8"/>
        <v>7971951</v>
      </c>
      <c r="L68" s="706">
        <f>VLOOKUP("*"&amp;$B68&amp;"*",'S4 - Summ PRS Characteristics'!$C$13:$Q$20,11,FALSE)*$J68</f>
        <v>2416.859586747802</v>
      </c>
      <c r="M68" s="706">
        <f t="shared" si="9"/>
        <v>1001.140413252198</v>
      </c>
      <c r="N68" s="706">
        <f>IF($C68="other",(1-$C$7)*L68,(1-(VLOOKUP($C68,'S3 - Screening Tool Metrics'!$C$3:$G$17,5,FALSE)/100))*L68)</f>
        <v>483.37191734956031</v>
      </c>
      <c r="O68" s="706">
        <f>IF($C68="other",$C$7*L68,(VLOOKUP($C68,'S3 - Screening Tool Metrics'!$C$3:$G$17,5,FALSE)/100)*L68)</f>
        <v>1933.4876693982417</v>
      </c>
      <c r="P68" s="706">
        <f t="shared" si="10"/>
        <v>56.567807764723277</v>
      </c>
      <c r="Q68" s="707">
        <f t="shared" si="50"/>
        <v>3188780.4000000004</v>
      </c>
      <c r="R68" s="706">
        <f>VLOOKUP("*"&amp;$B68&amp;"*",'S4 - Summ PRS Characteristics'!$C$13:$Q$20,12,FALSE)*$J68</f>
        <v>1310.2881820490722</v>
      </c>
      <c r="S68" s="706">
        <f t="shared" si="58"/>
        <v>2107.711817950928</v>
      </c>
      <c r="T68" s="706">
        <f>IF($C68="other",(1-$C56)*R68,(1-(VLOOKUP($C68,'S3 - Screening Tool Metrics'!$C$3:$G$17,5,FALSE)/100))*R68)</f>
        <v>262.05763640981439</v>
      </c>
      <c r="U68" s="706">
        <f>IF($C68="other",$C56*R68,(VLOOKUP($C68,'S3 - Screening Tool Metrics'!$C$3:$G$17,5,FALSE)/100)*R68)</f>
        <v>1048.2305456392578</v>
      </c>
      <c r="V68" s="706">
        <f t="shared" si="51"/>
        <v>30.667950428298941</v>
      </c>
      <c r="W68" s="707">
        <f t="shared" si="52"/>
        <v>1594390.2000000002</v>
      </c>
      <c r="X68" s="706">
        <f>VLOOKUP("*"&amp;$B68&amp;"*",'S4 - Summ PRS Characteristics'!$C$13:$Q$20,13,FALSE)*$J68</f>
        <v>788.44669957950441</v>
      </c>
      <c r="Y68" s="706">
        <f t="shared" si="59"/>
        <v>2629.5533004204954</v>
      </c>
      <c r="Z68" s="706">
        <f>IF($C68="other",(1-$C56)*X68,(1-(VLOOKUP($C68,'S3 - Screening Tool Metrics'!$C$3:$G$17,5,FALSE)/100))*X68)</f>
        <v>157.68933991590086</v>
      </c>
      <c r="AA68" s="706">
        <f>IF($C68="other",$C56*X68,(VLOOKUP($C68,'S3 - Screening Tool Metrics'!$C$3:$G$17,5,FALSE)/100)*X68)</f>
        <v>630.75735966360355</v>
      </c>
      <c r="AB68" s="709">
        <f t="shared" si="53"/>
        <v>18.453989457682958</v>
      </c>
      <c r="AC68" s="706">
        <f t="shared" si="54"/>
        <v>797195.10000000009</v>
      </c>
      <c r="AD68" s="706">
        <f>VLOOKUP("*"&amp;$B68&amp;"*",'S4 - Summ PRS Characteristics'!$C$13:$Q$20,14,FALSE)*$J68</f>
        <v>463.76006391484538</v>
      </c>
      <c r="AE68" s="706">
        <f t="shared" si="61"/>
        <v>2954.2399360851546</v>
      </c>
      <c r="AF68" s="706">
        <f>IF($C68="other",(1-$C56)*AD68,(1-(VLOOKUP($C68,'S3 - Screening Tool Metrics'!$C$3:$G$17,5,FALSE)/100))*AD68)</f>
        <v>92.752012782969061</v>
      </c>
      <c r="AG68" s="706">
        <f>IF($C68="other",$C56*AD68,(VLOOKUP($C68,'S3 - Screening Tool Metrics'!$C$3:$G$17,5,FALSE)/100)*AD68)</f>
        <v>371.0080511318763</v>
      </c>
      <c r="AH68" s="708">
        <f t="shared" si="55"/>
        <v>10.854536311640617</v>
      </c>
      <c r="AI68" s="707">
        <f t="shared" si="56"/>
        <v>159439.01999999999</v>
      </c>
      <c r="AJ68" s="706">
        <f>VLOOKUP("*"&amp;$B68&amp;"*",'S4 - Summ PRS Characteristics'!$C$13:$Q$20,15,FALSE)*$J68</f>
        <v>127.90748045519773</v>
      </c>
      <c r="AK68" s="706">
        <f t="shared" si="60"/>
        <v>3290.0925195448021</v>
      </c>
      <c r="AL68" s="706">
        <f>IF($C68="other",(1-$C56)*AJ68,(1-(VLOOKUP($C68,'S3 - Screening Tool Metrics'!$C$3:$G$17,5,FALSE)/100))*AJ68)</f>
        <v>25.58149609103954</v>
      </c>
      <c r="AM68" s="706">
        <f>IF($C68="other",$C56*AJ68,(VLOOKUP($C68,'S3 - Screening Tool Metrics'!$C$3:$G$17,5,FALSE)/100)*AJ68)</f>
        <v>102.32598436415819</v>
      </c>
      <c r="AN68" s="709">
        <f t="shared" si="57"/>
        <v>2.9937385712158626</v>
      </c>
    </row>
    <row r="69" spans="2:40" x14ac:dyDescent="0.15">
      <c r="B69" s="700" t="s">
        <v>12</v>
      </c>
      <c r="C69" s="721" t="str">
        <f>$C58</f>
        <v>Other</v>
      </c>
      <c r="D69" s="552" t="s">
        <v>292</v>
      </c>
      <c r="E69" s="710">
        <f>VLOOKUP($B69&amp;"_"&amp;$D69,'App5 - CRUK Inci Rates'!C:H,6,FALSE)</f>
        <v>46.472602362279531</v>
      </c>
      <c r="F69" s="711">
        <f>VLOOKUP($B69&amp;"_"&amp;$D69,'App5 - CRUK Inci Rates'!C:H,3,FALSE)</f>
        <v>34.483589033138493</v>
      </c>
      <c r="G69" s="712">
        <f>VLOOKUP($B69&amp;"_"&amp;$D69,'App5 - CRUK Inci Rates'!C:J,8,FALSE)</f>
        <v>8881256.9603638444</v>
      </c>
      <c r="H69" s="713">
        <f>VLOOKUP($B69&amp;"_"&amp;$D69,'App5 - CRUK Inci Rates'!C:J,7,FALSE)</f>
        <v>4929786.333333333</v>
      </c>
      <c r="I69" s="713">
        <f>VLOOKUP($B69&amp;"_"&amp;$D69,'App5 - CRUK Inci Rates'!C:J,4,FALSE)</f>
        <v>5245973.666666667</v>
      </c>
      <c r="J69" s="709">
        <f>VLOOKUP($B69&amp;"_"&amp;$D69,'App5 - CRUK Inci Rates'!C:K,9,FALSE)</f>
        <v>4100</v>
      </c>
      <c r="K69" s="706">
        <f t="shared" si="8"/>
        <v>4440628.4801819222</v>
      </c>
      <c r="L69" s="706">
        <f>VLOOKUP("*"&amp;$B69&amp;"*",'S4 - Summ PRS Characteristics'!$C$13:$Q$20,11,FALSE)*$J69</f>
        <v>2899.1001479420679</v>
      </c>
      <c r="M69" s="706">
        <f t="shared" si="9"/>
        <v>1200.8998520579321</v>
      </c>
      <c r="N69" s="706">
        <f>IF($C69="other",(1-$C$7)*L69,(1-(VLOOKUP($C69,'S3 - Screening Tool Metrics'!$C$3:$G$17,5,FALSE)/100))*L69)</f>
        <v>579.82002958841349</v>
      </c>
      <c r="O69" s="706">
        <f>IF($C69="other",$C$7*L69,(VLOOKUP($C69,'S3 - Screening Tool Metrics'!$C$3:$G$17,5,FALSE)/100)*L69)</f>
        <v>2319.2801183536544</v>
      </c>
      <c r="P69" s="706">
        <f t="shared" si="10"/>
        <v>56.567807764723277</v>
      </c>
      <c r="Q69" s="707">
        <f t="shared" si="50"/>
        <v>1776251.3920727689</v>
      </c>
      <c r="R69" s="706">
        <f>VLOOKUP("*"&amp;$B69&amp;"*",'S4 - Summ PRS Characteristics'!$C$13:$Q$20,12,FALSE)*$J69</f>
        <v>1571.7324594503209</v>
      </c>
      <c r="S69" s="706">
        <f t="shared" si="58"/>
        <v>2528.2675405496793</v>
      </c>
      <c r="T69" s="706">
        <f>IF($C69="other",(1-$C56)*R69,(1-(VLOOKUP($C69,'S3 - Screening Tool Metrics'!$C$3:$G$17,5,FALSE)/100))*R69)</f>
        <v>314.3464918900641</v>
      </c>
      <c r="U69" s="706">
        <f>IF($C69="other",$C56*R69,(VLOOKUP($C69,'S3 - Screening Tool Metrics'!$C$3:$G$17,5,FALSE)/100)*R69)</f>
        <v>1257.3859675602569</v>
      </c>
      <c r="V69" s="706">
        <f t="shared" si="51"/>
        <v>30.667950428298944</v>
      </c>
      <c r="W69" s="707">
        <f t="shared" si="52"/>
        <v>888125.69603638444</v>
      </c>
      <c r="X69" s="706">
        <f>VLOOKUP("*"&amp;$B69&amp;"*",'S4 - Summ PRS Characteristics'!$C$13:$Q$20,13,FALSE)*$J69</f>
        <v>945.76695970625167</v>
      </c>
      <c r="Y69" s="706">
        <f t="shared" si="59"/>
        <v>3154.2330402937482</v>
      </c>
      <c r="Z69" s="706">
        <f>IF($C69="other",(1-$C56)*X69,(1-(VLOOKUP($C69,'S3 - Screening Tool Metrics'!$C$3:$G$17,5,FALSE)/100))*X69)</f>
        <v>189.15339194125031</v>
      </c>
      <c r="AA69" s="706">
        <f>IF($C69="other",$C56*X69,(VLOOKUP($C69,'S3 - Screening Tool Metrics'!$C$3:$G$17,5,FALSE)/100)*X69)</f>
        <v>756.61356776500133</v>
      </c>
      <c r="AB69" s="709">
        <f t="shared" si="53"/>
        <v>18.453989457682958</v>
      </c>
      <c r="AC69" s="706">
        <f t="shared" si="54"/>
        <v>444062.84801819222</v>
      </c>
      <c r="AD69" s="706">
        <f>VLOOKUP("*"&amp;$B69&amp;"*",'S4 - Summ PRS Characteristics'!$C$13:$Q$20,14,FALSE)*$J69</f>
        <v>556.29498597158158</v>
      </c>
      <c r="AE69" s="706">
        <f t="shared" si="61"/>
        <v>3543.7050140284182</v>
      </c>
      <c r="AF69" s="706">
        <f>IF($C69="other",(1-$C56)*AD69,(1-(VLOOKUP($C69,'S3 - Screening Tool Metrics'!$C$3:$G$17,5,FALSE)/100))*AD69)</f>
        <v>111.25899719431629</v>
      </c>
      <c r="AG69" s="706">
        <f>IF($C69="other",$C56*AD69,(VLOOKUP($C69,'S3 - Screening Tool Metrics'!$C$3:$G$17,5,FALSE)/100)*AD69)</f>
        <v>445.03598877726529</v>
      </c>
      <c r="AH69" s="708">
        <f t="shared" si="55"/>
        <v>10.854536311640617</v>
      </c>
      <c r="AI69" s="707">
        <f t="shared" si="56"/>
        <v>88812.569603638447</v>
      </c>
      <c r="AJ69" s="706">
        <f>VLOOKUP("*"&amp;$B69&amp;"*",'S4 - Summ PRS Characteristics'!$C$13:$Q$20,15,FALSE)*$J69</f>
        <v>153.42910177481295</v>
      </c>
      <c r="AK69" s="706">
        <f t="shared" si="60"/>
        <v>3946.5708982251872</v>
      </c>
      <c r="AL69" s="706">
        <f>IF($C69="other",(1-$C56)*AJ69,(1-(VLOOKUP($C69,'S3 - Screening Tool Metrics'!$C$3:$G$17,5,FALSE)/100))*AJ69)</f>
        <v>30.685820354962583</v>
      </c>
      <c r="AM69" s="706">
        <f>IF($C69="other",$C56*AJ69,(VLOOKUP($C69,'S3 - Screening Tool Metrics'!$C$3:$G$17,5,FALSE)/100)*AJ69)</f>
        <v>122.74328141985036</v>
      </c>
      <c r="AN69" s="709">
        <f t="shared" si="57"/>
        <v>2.9937385712158626</v>
      </c>
    </row>
    <row r="70" spans="2:40" x14ac:dyDescent="0.15">
      <c r="B70" s="700" t="s">
        <v>12</v>
      </c>
      <c r="C70" s="721" t="str">
        <f>$C57</f>
        <v>Other</v>
      </c>
      <c r="D70" s="552" t="s">
        <v>204</v>
      </c>
      <c r="E70" s="710">
        <f>VLOOKUP($B70&amp;"_"&amp;$D70,'App5 - CRUK Inci Rates'!C:H,6,FALSE)</f>
        <v>27.10494536410576</v>
      </c>
      <c r="F70" s="711">
        <f>VLOOKUP($B70&amp;"_"&amp;$D70,'App5 - CRUK Inci Rates'!C:H,3,FALSE)</f>
        <v>21.188815577273839</v>
      </c>
      <c r="G70" s="712">
        <f>VLOOKUP($B70&amp;"_"&amp;$D70,'App5 - CRUK Inci Rates'!C:J,8,FALSE)</f>
        <v>29847254.666666668</v>
      </c>
      <c r="H70" s="713">
        <f>VLOOKUP($B70&amp;"_"&amp;$D70,'App5 - CRUK Inci Rates'!C:J,7,FALSE)</f>
        <v>14565607.666666668</v>
      </c>
      <c r="I70" s="713">
        <f>VLOOKUP($B70&amp;"_"&amp;$D70,'App5 - CRUK Inci Rates'!C:J,4,FALSE)</f>
        <v>15281647</v>
      </c>
      <c r="J70" s="709">
        <f>VLOOKUP($B70&amp;"_"&amp;$D70,'App5 - CRUK Inci Rates'!C:K,9,FALSE)</f>
        <v>7186</v>
      </c>
      <c r="K70" s="706">
        <f t="shared" si="8"/>
        <v>14923627.333333334</v>
      </c>
      <c r="L70" s="706">
        <f>VLOOKUP("*"&amp;$B70&amp;"*",'S4 - Summ PRS Characteristics'!$C$13:$Q$20,11,FALSE)*$J70</f>
        <v>5081.203332466268</v>
      </c>
      <c r="M70" s="706">
        <f t="shared" si="9"/>
        <v>2104.796667533732</v>
      </c>
      <c r="N70" s="706">
        <f>IF($C70="other",(1-$C$7)*L70,(1-(VLOOKUP($C70,'S3 - Screening Tool Metrics'!$C$3:$G$17,5,FALSE)/100))*L70)</f>
        <v>1016.2406664932533</v>
      </c>
      <c r="O70" s="706">
        <f>IF($C70="other",$C$7*L70,(VLOOKUP($C70,'S3 - Screening Tool Metrics'!$C$3:$G$17,5,FALSE)/100)*L70)</f>
        <v>4064.9626659730147</v>
      </c>
      <c r="P70" s="706">
        <f t="shared" si="10"/>
        <v>56.567807764723277</v>
      </c>
      <c r="Q70" s="707">
        <f t="shared" si="50"/>
        <v>5969450.9333333336</v>
      </c>
      <c r="R70" s="706">
        <f>VLOOKUP("*"&amp;$B70&amp;"*",'S4 - Summ PRS Characteristics'!$C$13:$Q$20,12,FALSE)*$J70</f>
        <v>2754.7486472219525</v>
      </c>
      <c r="S70" s="706">
        <f t="shared" si="58"/>
        <v>4431.2513527780475</v>
      </c>
      <c r="T70" s="706">
        <f>IF($C70="other",(1-$C56)*R70,(1-(VLOOKUP($C70,'S3 - Screening Tool Metrics'!$C$3:$G$17,5,FALSE)/100))*R70)</f>
        <v>550.94972944439041</v>
      </c>
      <c r="U70" s="706">
        <f>IF($C70="other",$C56*R70,(VLOOKUP($C70,'S3 - Screening Tool Metrics'!$C$3:$G$17,5,FALSE)/100)*R70)</f>
        <v>2203.7989177775621</v>
      </c>
      <c r="V70" s="706">
        <f t="shared" si="51"/>
        <v>30.667950428298944</v>
      </c>
      <c r="W70" s="707">
        <f t="shared" si="52"/>
        <v>2984725.4666666668</v>
      </c>
      <c r="X70" s="706">
        <f>VLOOKUP("*"&amp;$B70&amp;"*",'S4 - Summ PRS Characteristics'!$C$13:$Q$20,13,FALSE)*$J70</f>
        <v>1657.6296030363719</v>
      </c>
      <c r="Y70" s="706">
        <f t="shared" si="59"/>
        <v>5528.3703969636281</v>
      </c>
      <c r="Z70" s="706">
        <f>IF($C70="other",(1-$C56)*X70,(1-(VLOOKUP($C70,'S3 - Screening Tool Metrics'!$C$3:$G$17,5,FALSE)/100))*X70)</f>
        <v>331.52592060727432</v>
      </c>
      <c r="AA70" s="706">
        <f>IF($C70="other",$C56*X70,(VLOOKUP($C70,'S3 - Screening Tool Metrics'!$C$3:$G$17,5,FALSE)/100)*X70)</f>
        <v>1326.1036824290977</v>
      </c>
      <c r="AB70" s="709">
        <f t="shared" si="53"/>
        <v>18.453989457682962</v>
      </c>
      <c r="AC70" s="706">
        <f t="shared" si="54"/>
        <v>1492362.7333333334</v>
      </c>
      <c r="AD70" s="706">
        <f>VLOOKUP("*"&amp;$B70&amp;"*",'S4 - Summ PRS Characteristics'!$C$13:$Q$20,14,FALSE)*$J70</f>
        <v>975.00872419311838</v>
      </c>
      <c r="AE70" s="706">
        <f t="shared" si="61"/>
        <v>6210.9912758068813</v>
      </c>
      <c r="AF70" s="706">
        <f>IF($C70="other",(1-$C56)*AD70,(1-(VLOOKUP($C70,'S3 - Screening Tool Metrics'!$C$3:$G$17,5,FALSE)/100))*AD70)</f>
        <v>195.00174483862364</v>
      </c>
      <c r="AG70" s="706">
        <f>IF($C70="other",$C56*AD70,(VLOOKUP($C70,'S3 - Screening Tool Metrics'!$C$3:$G$17,5,FALSE)/100)*AD70)</f>
        <v>780.00697935449477</v>
      </c>
      <c r="AH70" s="708">
        <f t="shared" si="55"/>
        <v>10.854536311640617</v>
      </c>
      <c r="AI70" s="707">
        <f t="shared" si="56"/>
        <v>298472.54666666669</v>
      </c>
      <c r="AJ70" s="706">
        <f>VLOOKUP("*"&amp;$B70&amp;"*",'S4 - Summ PRS Characteristics'!$C$13:$Q$20,15,FALSE)*$J70</f>
        <v>268.91256715946486</v>
      </c>
      <c r="AK70" s="706">
        <f t="shared" si="60"/>
        <v>6917.0874328405353</v>
      </c>
      <c r="AL70" s="706">
        <f>IF($C70="other",(1-$C56)*AJ70,(1-(VLOOKUP($C70,'S3 - Screening Tool Metrics'!$C$3:$G$17,5,FALSE)/100))*AJ70)</f>
        <v>53.782513431892959</v>
      </c>
      <c r="AM70" s="706">
        <f>IF($C70="other",$C56*AJ70,(VLOOKUP($C70,'S3 - Screening Tool Metrics'!$C$3:$G$17,5,FALSE)/100)*AJ70)</f>
        <v>215.13005372757189</v>
      </c>
      <c r="AN70" s="709">
        <f t="shared" si="57"/>
        <v>2.9937385712158626</v>
      </c>
    </row>
    <row r="71" spans="2:40" ht="14" thickBot="1" x14ac:dyDescent="0.2">
      <c r="B71" s="700" t="s">
        <v>12</v>
      </c>
      <c r="C71" s="721"/>
      <c r="D71" s="552" t="s">
        <v>205</v>
      </c>
      <c r="E71" s="710">
        <f>VLOOKUP($B71&amp;"_"&amp;$D71,'App5 - CRUK Inci Rates'!C:H,6,FALSE)</f>
        <v>19.3</v>
      </c>
      <c r="F71" s="711">
        <f>VLOOKUP($B71&amp;"_"&amp;$D71,'App5 - CRUK Inci Rates'!C:H,3,FALSE)</f>
        <v>15</v>
      </c>
      <c r="G71" s="712">
        <f>VLOOKUP($B71&amp;"_"&amp;$D71,'App5 - CRUK Inci Rates'!C:J,8,FALSE)</f>
        <v>66041277.666666664</v>
      </c>
      <c r="H71" s="713">
        <f>VLOOKUP($B71&amp;"_"&amp;$D71,'App5 - CRUK Inci Rates'!C:J,7,FALSE)</f>
        <v>32583225.666666668</v>
      </c>
      <c r="I71" s="713">
        <f>VLOOKUP($B71&amp;"_"&amp;$D71,'App5 - CRUK Inci Rates'!C:J,4,FALSE)</f>
        <v>33458051.999999996</v>
      </c>
      <c r="J71" s="709">
        <f>VLOOKUP($B71&amp;"_"&amp;$D71,'App5 - CRUK Inci Rates'!C:K,9,FALSE)</f>
        <v>10452</v>
      </c>
      <c r="K71" s="716"/>
      <c r="L71" s="716"/>
      <c r="M71" s="716"/>
      <c r="N71" s="716"/>
      <c r="O71" s="716"/>
      <c r="P71" s="716"/>
      <c r="Q71" s="715"/>
      <c r="R71" s="716"/>
      <c r="S71" s="716"/>
      <c r="T71" s="716"/>
      <c r="U71" s="716"/>
      <c r="V71" s="716"/>
      <c r="W71" s="715"/>
      <c r="X71" s="716"/>
      <c r="Y71" s="716"/>
      <c r="Z71" s="716"/>
      <c r="AA71" s="716"/>
      <c r="AB71" s="718"/>
      <c r="AC71" s="716"/>
      <c r="AD71" s="716"/>
      <c r="AE71" s="716"/>
      <c r="AF71" s="716"/>
      <c r="AG71" s="716"/>
      <c r="AH71" s="717"/>
      <c r="AI71" s="715"/>
      <c r="AJ71" s="716"/>
      <c r="AK71" s="716"/>
      <c r="AL71" s="716"/>
      <c r="AM71" s="716"/>
      <c r="AN71" s="718"/>
    </row>
    <row r="72" spans="2:40" ht="21" customHeight="1" thickBot="1" x14ac:dyDescent="0.2">
      <c r="B72" s="686" t="s">
        <v>13</v>
      </c>
      <c r="C72" s="687">
        <v>0.8</v>
      </c>
      <c r="D72" s="688"/>
      <c r="E72" s="689"/>
      <c r="F72" s="690"/>
      <c r="G72" s="691"/>
      <c r="H72" s="692"/>
      <c r="I72" s="692"/>
      <c r="J72" s="693"/>
      <c r="K72" s="694"/>
      <c r="L72" s="694"/>
      <c r="M72" s="694"/>
      <c r="N72" s="694"/>
      <c r="O72" s="694"/>
      <c r="P72" s="694"/>
      <c r="Q72" s="695"/>
      <c r="R72" s="696"/>
      <c r="S72" s="696"/>
      <c r="T72" s="696"/>
      <c r="U72" s="696"/>
      <c r="V72" s="696"/>
      <c r="W72" s="695"/>
      <c r="X72" s="696"/>
      <c r="Y72" s="696"/>
      <c r="Z72" s="696"/>
      <c r="AA72" s="696"/>
      <c r="AB72" s="699"/>
      <c r="AC72" s="696"/>
      <c r="AD72" s="696"/>
      <c r="AE72" s="696"/>
      <c r="AF72" s="696"/>
      <c r="AG72" s="696"/>
      <c r="AH72" s="697"/>
      <c r="AI72" s="695"/>
      <c r="AJ72" s="696"/>
      <c r="AK72" s="696"/>
      <c r="AL72" s="696"/>
      <c r="AM72" s="696"/>
      <c r="AN72" s="699"/>
    </row>
    <row r="73" spans="2:40" x14ac:dyDescent="0.15">
      <c r="B73" s="700" t="s">
        <v>13</v>
      </c>
      <c r="C73" s="741" t="s">
        <v>180</v>
      </c>
      <c r="D73" s="593" t="s">
        <v>192</v>
      </c>
      <c r="E73" s="701">
        <f>VLOOKUP($B73&amp;"_"&amp;$D73,'App5 - CRUK Inci Rates'!C:H,6,FALSE)</f>
        <v>0</v>
      </c>
      <c r="F73" s="702">
        <f>VLOOKUP($B73&amp;"_"&amp;$D73,'App5 - CRUK Inci Rates'!C:H,3,FALSE)</f>
        <v>13.2</v>
      </c>
      <c r="G73" s="703">
        <f>VLOOKUP($B73&amp;"_"&amp;$D73,'App5 - CRUK Inci Rates'!C:J,8,FALSE)</f>
        <v>2054223.3333333333</v>
      </c>
      <c r="H73" s="704">
        <f>VLOOKUP($B73&amp;"_"&amp;$D73,'App5 - CRUK Inci Rates'!C:J,7,FALSE)</f>
        <v>0</v>
      </c>
      <c r="I73" s="704">
        <f>VLOOKUP($B73&amp;"_"&amp;$D73,'App5 - CRUK Inci Rates'!C:J,4,FALSE)</f>
        <v>2054223.3333333333</v>
      </c>
      <c r="J73" s="705">
        <f>VLOOKUP($B73&amp;"_"&amp;$D73,'App5 - CRUK Inci Rates'!C:K,9,FALSE)</f>
        <v>270</v>
      </c>
      <c r="K73" s="706">
        <f t="shared" si="8"/>
        <v>1027111.6666666666</v>
      </c>
      <c r="L73" s="706">
        <f>VLOOKUP("*"&amp;$B73&amp;"*",'S4 - Summ PRS Characteristics'!$C$13:$Q$20,11,FALSE)*$J73</f>
        <v>177.93463175013753</v>
      </c>
      <c r="M73" s="706">
        <f t="shared" si="9"/>
        <v>92.065368249862473</v>
      </c>
      <c r="N73" s="706">
        <f>IF($C73="other",(1-$C$7)*L73,(1-(VLOOKUP($C73,'S3 - Screening Tool Metrics'!$C$3:$G$17,5,FALSE)/100))*L73)</f>
        <v>35.586926350027497</v>
      </c>
      <c r="O73" s="706">
        <f>IF($C73="other",$C$7*L73,(VLOOKUP($C73,'S3 - Screening Tool Metrics'!$C$3:$G$17,5,FALSE)/100)*L73)</f>
        <v>142.34770540011002</v>
      </c>
      <c r="P73" s="706">
        <f t="shared" si="10"/>
        <v>52.72137237041111</v>
      </c>
      <c r="Q73" s="707">
        <f t="shared" ref="Q73:Q86" si="62">$G73*Q$3</f>
        <v>410844.66666666669</v>
      </c>
      <c r="R73" s="706">
        <f>VLOOKUP("*"&amp;$B73&amp;"*",'S4 - Summ PRS Characteristics'!$C$13:$Q$20,12,FALSE)*$J73</f>
        <v>89.890889591351126</v>
      </c>
      <c r="S73" s="706">
        <f>$J73-R73</f>
        <v>180.10911040864886</v>
      </c>
      <c r="T73" s="706">
        <f>IF($C73="other",(1-$C72)*R73,(1-(VLOOKUP($C73,'S3 - Screening Tool Metrics'!$C$3:$G$17,5,FALSE)/100))*R73)</f>
        <v>17.978177918270219</v>
      </c>
      <c r="U73" s="706">
        <f>IF($C73="other",$C72*R73,(VLOOKUP($C73,'S3 - Screening Tool Metrics'!$C$3:$G$17,5,FALSE)/100)*R73)</f>
        <v>71.912711673080906</v>
      </c>
      <c r="V73" s="706">
        <f t="shared" ref="V73:V86" si="63">U73/J73*100</f>
        <v>26.634337656696633</v>
      </c>
      <c r="W73" s="707">
        <f t="shared" ref="W73:W86" si="64">$G73*W$3</f>
        <v>205422.33333333334</v>
      </c>
      <c r="X73" s="706">
        <f>VLOOKUP("*"&amp;$B73&amp;"*",'S4 - Summ PRS Characteristics'!$C$13:$Q$20,13,FALSE)*$J73</f>
        <v>51.750121766126405</v>
      </c>
      <c r="Y73" s="706">
        <f>$J73-X73</f>
        <v>218.2498782338736</v>
      </c>
      <c r="Z73" s="706">
        <f>IF($C73="other",(1-$C72)*X73,(1-(VLOOKUP($C73,'S3 - Screening Tool Metrics'!$C$3:$G$17,5,FALSE)/100))*X73)</f>
        <v>10.35002435322528</v>
      </c>
      <c r="AA73" s="706">
        <f>IF($C73="other",$C72*X73,(VLOOKUP($C73,'S3 - Screening Tool Metrics'!$C$3:$G$17,5,FALSE)/100)*X73)</f>
        <v>41.400097412901125</v>
      </c>
      <c r="AB73" s="709">
        <f t="shared" ref="AB73:AB86" si="65">$AA73/$J73*100</f>
        <v>15.333369412185602</v>
      </c>
      <c r="AC73" s="706">
        <f t="shared" ref="AC73:AC86" si="66">$G73*AC$3</f>
        <v>102711.16666666667</v>
      </c>
      <c r="AD73" s="706">
        <f>VLOOKUP("*"&amp;$B73&amp;"*",'S4 - Summ PRS Characteristics'!$C$13:$Q$20,14,FALSE)*$J73</f>
        <v>29.268531844242919</v>
      </c>
      <c r="AE73" s="706">
        <f>$J73-AD73</f>
        <v>240.73146815575709</v>
      </c>
      <c r="AF73" s="706">
        <f>IF($C73="other",(1-$C72)*AD73,(1-(VLOOKUP($C73,'S3 - Screening Tool Metrics'!$C$3:$G$17,5,FALSE)/100))*AD73)</f>
        <v>5.8537063688485826</v>
      </c>
      <c r="AG73" s="706">
        <f>IF($C73="other",$C72*AD73,(VLOOKUP($C73,'S3 - Screening Tool Metrics'!$C$3:$G$17,5,FALSE)/100)*AD73)</f>
        <v>23.414825475394338</v>
      </c>
      <c r="AH73" s="708">
        <f t="shared" ref="AH73:AH86" si="67">$AG73/$J73*100</f>
        <v>8.6721575834793843</v>
      </c>
      <c r="AI73" s="707">
        <f t="shared" ref="AI73:AI86" si="68">$G73*AI$3</f>
        <v>20542.233333333334</v>
      </c>
      <c r="AJ73" s="706">
        <f>VLOOKUP("*"&amp;$B73&amp;"*",'S4 - Summ PRS Characteristics'!$C$13:$Q$20,15,FALSE)*$J73</f>
        <v>7.4645736642547194</v>
      </c>
      <c r="AK73" s="706">
        <f>$J73-AJ73</f>
        <v>262.53542633574529</v>
      </c>
      <c r="AL73" s="706">
        <f>IF($C73="other",(1-$C72)*AJ73,(1-(VLOOKUP($C73,'S3 - Screening Tool Metrics'!$C$3:$G$17,5,FALSE)/100))*AJ73)</f>
        <v>1.4929147328509436</v>
      </c>
      <c r="AM73" s="706">
        <f>IF($C73="other",$C72*AJ73,(VLOOKUP($C73,'S3 - Screening Tool Metrics'!$C$3:$G$17,5,FALSE)/100)*AJ73)</f>
        <v>5.971658931403776</v>
      </c>
      <c r="AN73" s="709">
        <f t="shared" ref="AN73:AN86" si="69">$AM73/$J73*100</f>
        <v>2.2117255301495464</v>
      </c>
    </row>
    <row r="74" spans="2:40" x14ac:dyDescent="0.15">
      <c r="B74" s="700" t="s">
        <v>13</v>
      </c>
      <c r="C74" s="721" t="str">
        <f>$C73</f>
        <v>Other</v>
      </c>
      <c r="D74" s="552" t="s">
        <v>193</v>
      </c>
      <c r="E74" s="710">
        <f>VLOOKUP($B74&amp;"_"&amp;$D74,'App5 - CRUK Inci Rates'!C:H,6,FALSE)</f>
        <v>0</v>
      </c>
      <c r="F74" s="711">
        <f>VLOOKUP($B74&amp;"_"&amp;$D74,'App5 - CRUK Inci Rates'!C:H,3,FALSE)</f>
        <v>19.399999999999999</v>
      </c>
      <c r="G74" s="712">
        <f>VLOOKUP($B74&amp;"_"&amp;$D74,'App5 - CRUK Inci Rates'!C:J,8,FALSE)</f>
        <v>2315479.3333333335</v>
      </c>
      <c r="H74" s="713">
        <f>VLOOKUP($B74&amp;"_"&amp;$D74,'App5 - CRUK Inci Rates'!C:J,7,FALSE)</f>
        <v>0</v>
      </c>
      <c r="I74" s="713">
        <f>VLOOKUP($B74&amp;"_"&amp;$D74,'App5 - CRUK Inci Rates'!C:J,4,FALSE)</f>
        <v>2315479.3333333335</v>
      </c>
      <c r="J74" s="709">
        <f>VLOOKUP($B74&amp;"_"&amp;$D74,'App5 - CRUK Inci Rates'!C:K,9,FALSE)</f>
        <v>448</v>
      </c>
      <c r="K74" s="706">
        <f t="shared" ref="K74:K121" si="70">$G74*$K$3</f>
        <v>1157739.6666666667</v>
      </c>
      <c r="L74" s="706">
        <f>VLOOKUP("*"&amp;$B74&amp;"*",'S4 - Summ PRS Characteristics'!$C$13:$Q$20,11,FALSE)*$J74</f>
        <v>295.23968527430225</v>
      </c>
      <c r="M74" s="706">
        <f t="shared" ref="M74:M121" si="71">$J74-$L74</f>
        <v>152.76031472569775</v>
      </c>
      <c r="N74" s="706">
        <f>IF($C74="other",(1-$C$7)*L74,(1-(VLOOKUP($C74,'S3 - Screening Tool Metrics'!$C$3:$G$17,5,FALSE)/100))*L74)</f>
        <v>59.047937054860434</v>
      </c>
      <c r="O74" s="706">
        <f>IF($C74="other",$C$7*L74,(VLOOKUP($C74,'S3 - Screening Tool Metrics'!$C$3:$G$17,5,FALSE)/100)*L74)</f>
        <v>236.19174821944182</v>
      </c>
      <c r="P74" s="706">
        <f t="shared" ref="P74:P121" si="72">O74/J74*100</f>
        <v>52.721372370411125</v>
      </c>
      <c r="Q74" s="707">
        <f t="shared" si="62"/>
        <v>463095.8666666667</v>
      </c>
      <c r="R74" s="706">
        <f>VLOOKUP("*"&amp;$B74&amp;"*",'S4 - Summ PRS Characteristics'!$C$13:$Q$20,12,FALSE)*$J74</f>
        <v>149.15229087750114</v>
      </c>
      <c r="S74" s="706">
        <f t="shared" ref="S74:S86" si="73">$J74-R74</f>
        <v>298.84770912249883</v>
      </c>
      <c r="T74" s="706">
        <f>IF($C74="other",(1-$C72)*R74,(1-(VLOOKUP($C74,'S3 - Screening Tool Metrics'!$C$3:$G$17,5,FALSE)/100))*R74)</f>
        <v>29.830458175500222</v>
      </c>
      <c r="U74" s="706">
        <f>IF($C74="other",$C72*R74,(VLOOKUP($C74,'S3 - Screening Tool Metrics'!$C$3:$G$17,5,FALSE)/100)*R74)</f>
        <v>119.32183270200092</v>
      </c>
      <c r="V74" s="706">
        <f t="shared" si="63"/>
        <v>26.634337656696633</v>
      </c>
      <c r="W74" s="707">
        <f t="shared" si="64"/>
        <v>231547.93333333335</v>
      </c>
      <c r="X74" s="706">
        <f>VLOOKUP("*"&amp;$B74&amp;"*",'S4 - Summ PRS Characteristics'!$C$13:$Q$20,13,FALSE)*$J74</f>
        <v>85.866868708239366</v>
      </c>
      <c r="Y74" s="706">
        <f t="shared" ref="Y74:Y86" si="74">$J74-X74</f>
        <v>362.13313129176061</v>
      </c>
      <c r="Z74" s="706">
        <f>IF($C74="other",(1-$C72)*X74,(1-(VLOOKUP($C74,'S3 - Screening Tool Metrics'!$C$3:$G$17,5,FALSE)/100))*X74)</f>
        <v>17.173373741647868</v>
      </c>
      <c r="AA74" s="706">
        <f>IF($C74="other",$C72*X74,(VLOOKUP($C74,'S3 - Screening Tool Metrics'!$C$3:$G$17,5,FALSE)/100)*X74)</f>
        <v>68.693494966591501</v>
      </c>
      <c r="AB74" s="709">
        <f t="shared" si="65"/>
        <v>15.333369412185602</v>
      </c>
      <c r="AC74" s="706">
        <f t="shared" si="66"/>
        <v>115773.96666666667</v>
      </c>
      <c r="AD74" s="706">
        <f>VLOOKUP("*"&amp;$B74&amp;"*",'S4 - Summ PRS Characteristics'!$C$13:$Q$20,14,FALSE)*$J74</f>
        <v>48.564082467484546</v>
      </c>
      <c r="AE74" s="706">
        <f>$J74-AD74</f>
        <v>399.43591753251548</v>
      </c>
      <c r="AF74" s="706">
        <f>IF($C74="other",(1-$C72)*AD74,(1-(VLOOKUP($C74,'S3 - Screening Tool Metrics'!$C$3:$G$17,5,FALSE)/100))*AD74)</f>
        <v>9.7128164934969075</v>
      </c>
      <c r="AG74" s="706">
        <f>IF($C74="other",$C72*AD74,(VLOOKUP($C74,'S3 - Screening Tool Metrics'!$C$3:$G$17,5,FALSE)/100)*AD74)</f>
        <v>38.851265973987637</v>
      </c>
      <c r="AH74" s="708">
        <f t="shared" si="67"/>
        <v>8.6721575834793825</v>
      </c>
      <c r="AI74" s="707">
        <f t="shared" si="68"/>
        <v>23154.793333333335</v>
      </c>
      <c r="AJ74" s="706">
        <f>VLOOKUP("*"&amp;$B74&amp;"*",'S4 - Summ PRS Characteristics'!$C$13:$Q$20,15,FALSE)*$J74</f>
        <v>12.38566296883746</v>
      </c>
      <c r="AK74" s="706">
        <f t="shared" ref="AK74:AK86" si="75">$J74-AJ74</f>
        <v>435.61433703116256</v>
      </c>
      <c r="AL74" s="706">
        <f>IF($C74="other",(1-$C72)*AJ74,(1-(VLOOKUP($C74,'S3 - Screening Tool Metrics'!$C$3:$G$17,5,FALSE)/100))*AJ74)</f>
        <v>2.4771325937674913</v>
      </c>
      <c r="AM74" s="706">
        <f>IF($C74="other",$C72*AJ74,(VLOOKUP($C74,'S3 - Screening Tool Metrics'!$C$3:$G$17,5,FALSE)/100)*AJ74)</f>
        <v>9.9085303750699687</v>
      </c>
      <c r="AN74" s="709">
        <f t="shared" si="69"/>
        <v>2.2117255301495464</v>
      </c>
    </row>
    <row r="75" spans="2:40" x14ac:dyDescent="0.15">
      <c r="B75" s="700" t="s">
        <v>13</v>
      </c>
      <c r="C75" s="721" t="str">
        <f>$C73</f>
        <v>Other</v>
      </c>
      <c r="D75" s="552" t="s">
        <v>194</v>
      </c>
      <c r="E75" s="710">
        <f>VLOOKUP($B75&amp;"_"&amp;$D75,'App5 - CRUK Inci Rates'!C:H,6,FALSE)</f>
        <v>0</v>
      </c>
      <c r="F75" s="711">
        <f>VLOOKUP($B75&amp;"_"&amp;$D75,'App5 - CRUK Inci Rates'!C:H,3,FALSE)</f>
        <v>27.1</v>
      </c>
      <c r="G75" s="712">
        <f>VLOOKUP($B75&amp;"_"&amp;$D75,'App5 - CRUK Inci Rates'!C:J,8,FALSE)</f>
        <v>2364638</v>
      </c>
      <c r="H75" s="713">
        <f>VLOOKUP($B75&amp;"_"&amp;$D75,'App5 - CRUK Inci Rates'!C:J,7,FALSE)</f>
        <v>0</v>
      </c>
      <c r="I75" s="713">
        <f>VLOOKUP($B75&amp;"_"&amp;$D75,'App5 - CRUK Inci Rates'!C:J,4,FALSE)</f>
        <v>2364638</v>
      </c>
      <c r="J75" s="709">
        <f>VLOOKUP($B75&amp;"_"&amp;$D75,'App5 - CRUK Inci Rates'!C:K,9,FALSE)</f>
        <v>640</v>
      </c>
      <c r="K75" s="706">
        <f t="shared" si="70"/>
        <v>1182319</v>
      </c>
      <c r="L75" s="706">
        <f>VLOOKUP("*"&amp;$B75&amp;"*",'S4 - Summ PRS Characteristics'!$C$13:$Q$20,11,FALSE)*$J75</f>
        <v>421.77097896328894</v>
      </c>
      <c r="M75" s="706">
        <f t="shared" si="71"/>
        <v>218.22902103671106</v>
      </c>
      <c r="N75" s="706">
        <f>IF($C75="other",(1-$C$7)*L75,(1-(VLOOKUP($C75,'S3 - Screening Tool Metrics'!$C$3:$G$17,5,FALSE)/100))*L75)</f>
        <v>84.354195792657762</v>
      </c>
      <c r="O75" s="706">
        <f>IF($C75="other",$C$7*L75,(VLOOKUP($C75,'S3 - Screening Tool Metrics'!$C$3:$G$17,5,FALSE)/100)*L75)</f>
        <v>337.41678317063116</v>
      </c>
      <c r="P75" s="706">
        <f t="shared" si="72"/>
        <v>52.721372370411125</v>
      </c>
      <c r="Q75" s="707">
        <f t="shared" si="62"/>
        <v>472927.60000000003</v>
      </c>
      <c r="R75" s="706">
        <f>VLOOKUP("*"&amp;$B75&amp;"*",'S4 - Summ PRS Characteristics'!$C$13:$Q$20,12,FALSE)*$J75</f>
        <v>213.07470125357304</v>
      </c>
      <c r="S75" s="706">
        <f t="shared" si="73"/>
        <v>426.92529874642696</v>
      </c>
      <c r="T75" s="706">
        <f>IF($C75="other",(1-$C72)*R75,(1-(VLOOKUP($C75,'S3 - Screening Tool Metrics'!$C$3:$G$17,5,FALSE)/100))*R75)</f>
        <v>42.614940250714596</v>
      </c>
      <c r="U75" s="706">
        <f>IF($C75="other",$C72*R75,(VLOOKUP($C75,'S3 - Screening Tool Metrics'!$C$3:$G$17,5,FALSE)/100)*R75)</f>
        <v>170.45976100285844</v>
      </c>
      <c r="V75" s="706">
        <f t="shared" si="63"/>
        <v>26.634337656696633</v>
      </c>
      <c r="W75" s="707">
        <f t="shared" si="64"/>
        <v>236463.80000000002</v>
      </c>
      <c r="X75" s="706">
        <f>VLOOKUP("*"&amp;$B75&amp;"*",'S4 - Summ PRS Characteristics'!$C$13:$Q$20,13,FALSE)*$J75</f>
        <v>122.66695529748482</v>
      </c>
      <c r="Y75" s="706">
        <f t="shared" si="74"/>
        <v>517.33304470251517</v>
      </c>
      <c r="Z75" s="706">
        <f>IF($C75="other",(1-$C72)*X75,(1-(VLOOKUP($C75,'S3 - Screening Tool Metrics'!$C$3:$G$17,5,FALSE)/100))*X75)</f>
        <v>24.533391059496957</v>
      </c>
      <c r="AA75" s="706">
        <f>IF($C75="other",$C72*X75,(VLOOKUP($C75,'S3 - Screening Tool Metrics'!$C$3:$G$17,5,FALSE)/100)*X75)</f>
        <v>98.133564237987855</v>
      </c>
      <c r="AB75" s="709">
        <f t="shared" si="65"/>
        <v>15.333369412185602</v>
      </c>
      <c r="AC75" s="706">
        <f t="shared" si="66"/>
        <v>118231.90000000001</v>
      </c>
      <c r="AD75" s="706">
        <f>VLOOKUP("*"&amp;$B75&amp;"*",'S4 - Summ PRS Characteristics'!$C$13:$Q$20,14,FALSE)*$J75</f>
        <v>69.37726066783506</v>
      </c>
      <c r="AE75" s="706">
        <f t="shared" ref="AE75:AE86" si="76">$J75-AD75</f>
        <v>570.62273933216488</v>
      </c>
      <c r="AF75" s="706">
        <f>IF($C75="other",(1-$C72)*AD75,(1-(VLOOKUP($C75,'S3 - Screening Tool Metrics'!$C$3:$G$17,5,FALSE)/100))*AD75)</f>
        <v>13.875452133567009</v>
      </c>
      <c r="AG75" s="706">
        <f>IF($C75="other",$C72*AD75,(VLOOKUP($C75,'S3 - Screening Tool Metrics'!$C$3:$G$17,5,FALSE)/100)*AD75)</f>
        <v>55.501808534268051</v>
      </c>
      <c r="AH75" s="708">
        <f t="shared" si="67"/>
        <v>8.6721575834793825</v>
      </c>
      <c r="AI75" s="707">
        <f t="shared" si="68"/>
        <v>23646.38</v>
      </c>
      <c r="AJ75" s="706">
        <f>VLOOKUP("*"&amp;$B75&amp;"*",'S4 - Summ PRS Characteristics'!$C$13:$Q$20,15,FALSE)*$J75</f>
        <v>17.693804241196371</v>
      </c>
      <c r="AK75" s="706">
        <f t="shared" si="75"/>
        <v>622.3061957588036</v>
      </c>
      <c r="AL75" s="706">
        <f>IF($C75="other",(1-$C72)*AJ75,(1-(VLOOKUP($C75,'S3 - Screening Tool Metrics'!$C$3:$G$17,5,FALSE)/100))*AJ75)</f>
        <v>3.5387608482392734</v>
      </c>
      <c r="AM75" s="706">
        <f>IF($C75="other",$C72*AJ75,(VLOOKUP($C75,'S3 - Screening Tool Metrics'!$C$3:$G$17,5,FALSE)/100)*AJ75)</f>
        <v>14.155043392957097</v>
      </c>
      <c r="AN75" s="709">
        <f t="shared" si="69"/>
        <v>2.2117255301495464</v>
      </c>
    </row>
    <row r="76" spans="2:40" x14ac:dyDescent="0.15">
      <c r="B76" s="700" t="s">
        <v>13</v>
      </c>
      <c r="C76" s="721" t="str">
        <f>$C73</f>
        <v>Other</v>
      </c>
      <c r="D76" s="552" t="s">
        <v>195</v>
      </c>
      <c r="E76" s="710">
        <f>VLOOKUP($B76&amp;"_"&amp;$D76,'App5 - CRUK Inci Rates'!C:H,6,FALSE)</f>
        <v>0</v>
      </c>
      <c r="F76" s="711">
        <f>VLOOKUP($B76&amp;"_"&amp;$D76,'App5 - CRUK Inci Rates'!C:H,3,FALSE)</f>
        <v>34.799999999999997</v>
      </c>
      <c r="G76" s="712">
        <f>VLOOKUP($B76&amp;"_"&amp;$D76,'App5 - CRUK Inci Rates'!C:J,8,FALSE)</f>
        <v>2119687.3333333335</v>
      </c>
      <c r="H76" s="713">
        <f>VLOOKUP($B76&amp;"_"&amp;$D76,'App5 - CRUK Inci Rates'!C:J,7,FALSE)</f>
        <v>0</v>
      </c>
      <c r="I76" s="713">
        <f>VLOOKUP($B76&amp;"_"&amp;$D76,'App5 - CRUK Inci Rates'!C:J,4,FALSE)</f>
        <v>2119687.3333333335</v>
      </c>
      <c r="J76" s="709">
        <f>VLOOKUP($B76&amp;"_"&amp;$D76,'App5 - CRUK Inci Rates'!C:K,9,FALSE)</f>
        <v>738</v>
      </c>
      <c r="K76" s="706">
        <f t="shared" si="70"/>
        <v>1059843.6666666667</v>
      </c>
      <c r="L76" s="706">
        <f>VLOOKUP("*"&amp;$B76&amp;"*",'S4 - Summ PRS Characteristics'!$C$13:$Q$20,11,FALSE)*$J76</f>
        <v>486.35466011704256</v>
      </c>
      <c r="M76" s="706">
        <f t="shared" si="71"/>
        <v>251.64533988295744</v>
      </c>
      <c r="N76" s="706">
        <f>IF($C76="other",(1-$C$7)*L76,(1-(VLOOKUP($C76,'S3 - Screening Tool Metrics'!$C$3:$G$17,5,FALSE)/100))*L76)</f>
        <v>97.270932023408491</v>
      </c>
      <c r="O76" s="706">
        <f>IF($C76="other",$C$7*L76,(VLOOKUP($C76,'S3 - Screening Tool Metrics'!$C$3:$G$17,5,FALSE)/100)*L76)</f>
        <v>389.08372809363408</v>
      </c>
      <c r="P76" s="706">
        <f t="shared" si="72"/>
        <v>52.721372370411125</v>
      </c>
      <c r="Q76" s="707">
        <f t="shared" si="62"/>
        <v>423937.46666666673</v>
      </c>
      <c r="R76" s="706">
        <f>VLOOKUP("*"&amp;$B76&amp;"*",'S4 - Summ PRS Characteristics'!$C$13:$Q$20,12,FALSE)*$J76</f>
        <v>245.70176488302641</v>
      </c>
      <c r="S76" s="706">
        <f t="shared" si="73"/>
        <v>492.29823511697361</v>
      </c>
      <c r="T76" s="706">
        <f>IF($C76="other",(1-$C72)*R76,(1-(VLOOKUP($C76,'S3 - Screening Tool Metrics'!$C$3:$G$17,5,FALSE)/100))*R76)</f>
        <v>49.140352976605271</v>
      </c>
      <c r="U76" s="706">
        <f>IF($C76="other",$C72*R76,(VLOOKUP($C76,'S3 - Screening Tool Metrics'!$C$3:$G$17,5,FALSE)/100)*R76)</f>
        <v>196.56141190642114</v>
      </c>
      <c r="V76" s="706">
        <f t="shared" si="63"/>
        <v>26.634337656696633</v>
      </c>
      <c r="W76" s="707">
        <f t="shared" si="64"/>
        <v>211968.73333333337</v>
      </c>
      <c r="X76" s="706">
        <f>VLOOKUP("*"&amp;$B76&amp;"*",'S4 - Summ PRS Characteristics'!$C$13:$Q$20,13,FALSE)*$J76</f>
        <v>141.45033282741218</v>
      </c>
      <c r="Y76" s="706">
        <f t="shared" si="74"/>
        <v>596.54966717258776</v>
      </c>
      <c r="Z76" s="706">
        <f>IF($C76="other",(1-$C72)*X76,(1-(VLOOKUP($C76,'S3 - Screening Tool Metrics'!$C$3:$G$17,5,FALSE)/100))*X76)</f>
        <v>28.29006656548243</v>
      </c>
      <c r="AA76" s="706">
        <f>IF($C76="other",$C72*X76,(VLOOKUP($C76,'S3 - Screening Tool Metrics'!$C$3:$G$17,5,FALSE)/100)*X76)</f>
        <v>113.16026626192975</v>
      </c>
      <c r="AB76" s="709">
        <f t="shared" si="65"/>
        <v>15.333369412185602</v>
      </c>
      <c r="AC76" s="706">
        <f t="shared" si="66"/>
        <v>105984.36666666668</v>
      </c>
      <c r="AD76" s="706">
        <f>VLOOKUP("*"&amp;$B76&amp;"*",'S4 - Summ PRS Characteristics'!$C$13:$Q$20,14,FALSE)*$J76</f>
        <v>80.000653707597309</v>
      </c>
      <c r="AE76" s="706">
        <f t="shared" si="76"/>
        <v>657.99934629240272</v>
      </c>
      <c r="AF76" s="706">
        <f>IF($C76="other",(1-$C72)*AD76,(1-(VLOOKUP($C76,'S3 - Screening Tool Metrics'!$C$3:$G$17,5,FALSE)/100))*AD76)</f>
        <v>16.00013074151946</v>
      </c>
      <c r="AG76" s="706">
        <f>IF($C76="other",$C72*AD76,(VLOOKUP($C76,'S3 - Screening Tool Metrics'!$C$3:$G$17,5,FALSE)/100)*AD76)</f>
        <v>64.000522966077853</v>
      </c>
      <c r="AH76" s="708">
        <f t="shared" si="67"/>
        <v>8.6721575834793843</v>
      </c>
      <c r="AI76" s="707">
        <f t="shared" si="68"/>
        <v>21196.873333333337</v>
      </c>
      <c r="AJ76" s="706">
        <f>VLOOKUP("*"&amp;$B76&amp;"*",'S4 - Summ PRS Characteristics'!$C$13:$Q$20,15,FALSE)*$J76</f>
        <v>20.403168015629564</v>
      </c>
      <c r="AK76" s="706">
        <f t="shared" si="75"/>
        <v>717.5968319843704</v>
      </c>
      <c r="AL76" s="706">
        <f>IF($C76="other",(1-$C72)*AJ76,(1-(VLOOKUP($C76,'S3 - Screening Tool Metrics'!$C$3:$G$17,5,FALSE)/100))*AJ76)</f>
        <v>4.0806336031259116</v>
      </c>
      <c r="AM76" s="706">
        <f>IF($C76="other",$C72*AJ76,(VLOOKUP($C76,'S3 - Screening Tool Metrics'!$C$3:$G$17,5,FALSE)/100)*AJ76)</f>
        <v>16.322534412503654</v>
      </c>
      <c r="AN76" s="709">
        <f t="shared" si="69"/>
        <v>2.2117255301495464</v>
      </c>
    </row>
    <row r="77" spans="2:40" x14ac:dyDescent="0.15">
      <c r="B77" s="700" t="s">
        <v>13</v>
      </c>
      <c r="C77" s="721" t="str">
        <f>$C73</f>
        <v>Other</v>
      </c>
      <c r="D77" s="552" t="s">
        <v>196</v>
      </c>
      <c r="E77" s="710">
        <f>VLOOKUP($B77&amp;"_"&amp;$D77,'App5 - CRUK Inci Rates'!C:H,6,FALSE)</f>
        <v>0</v>
      </c>
      <c r="F77" s="711">
        <f>VLOOKUP($B77&amp;"_"&amp;$D77,'App5 - CRUK Inci Rates'!C:H,3,FALSE)</f>
        <v>41.6</v>
      </c>
      <c r="G77" s="712">
        <f>VLOOKUP($B77&amp;"_"&amp;$D77,'App5 - CRUK Inci Rates'!C:J,8,FALSE)</f>
        <v>1837174</v>
      </c>
      <c r="H77" s="713">
        <f>VLOOKUP($B77&amp;"_"&amp;$D77,'App5 - CRUK Inci Rates'!C:J,7,FALSE)</f>
        <v>0</v>
      </c>
      <c r="I77" s="713">
        <f>VLOOKUP($B77&amp;"_"&amp;$D77,'App5 - CRUK Inci Rates'!C:J,4,FALSE)</f>
        <v>1837174</v>
      </c>
      <c r="J77" s="709">
        <f>VLOOKUP($B77&amp;"_"&amp;$D77,'App5 - CRUK Inci Rates'!C:K,9,FALSE)</f>
        <v>764</v>
      </c>
      <c r="K77" s="706">
        <f t="shared" si="70"/>
        <v>918587</v>
      </c>
      <c r="L77" s="706">
        <f>VLOOKUP("*"&amp;$B77&amp;"*",'S4 - Summ PRS Characteristics'!$C$13:$Q$20,11,FALSE)*$J77</f>
        <v>503.48910613742618</v>
      </c>
      <c r="M77" s="706">
        <f t="shared" si="71"/>
        <v>260.51089386257382</v>
      </c>
      <c r="N77" s="706">
        <f>IF($C77="other",(1-$C$7)*L77,(1-(VLOOKUP($C77,'S3 - Screening Tool Metrics'!$C$3:$G$17,5,FALSE)/100))*L77)</f>
        <v>100.69782122748521</v>
      </c>
      <c r="O77" s="706">
        <f>IF($C77="other",$C$7*L77,(VLOOKUP($C77,'S3 - Screening Tool Metrics'!$C$3:$G$17,5,FALSE)/100)*L77)</f>
        <v>402.79128490994094</v>
      </c>
      <c r="P77" s="706">
        <f t="shared" si="72"/>
        <v>52.72137237041111</v>
      </c>
      <c r="Q77" s="707">
        <f t="shared" si="62"/>
        <v>367434.80000000005</v>
      </c>
      <c r="R77" s="706">
        <f>VLOOKUP("*"&amp;$B77&amp;"*",'S4 - Summ PRS Characteristics'!$C$13:$Q$20,12,FALSE)*$J77</f>
        <v>254.35792462145284</v>
      </c>
      <c r="S77" s="706">
        <f t="shared" si="73"/>
        <v>509.64207537854713</v>
      </c>
      <c r="T77" s="706">
        <f>IF($C77="other",(1-$C72)*R77,(1-(VLOOKUP($C77,'S3 - Screening Tool Metrics'!$C$3:$G$17,5,FALSE)/100))*R77)</f>
        <v>50.871584924290559</v>
      </c>
      <c r="U77" s="706">
        <f>IF($C77="other",$C72*R77,(VLOOKUP($C77,'S3 - Screening Tool Metrics'!$C$3:$G$17,5,FALSE)/100)*R77)</f>
        <v>203.48633969716229</v>
      </c>
      <c r="V77" s="706">
        <f t="shared" si="63"/>
        <v>26.634337656696633</v>
      </c>
      <c r="W77" s="707">
        <f t="shared" si="64"/>
        <v>183717.40000000002</v>
      </c>
      <c r="X77" s="706">
        <f>VLOOKUP("*"&amp;$B77&amp;"*",'S4 - Summ PRS Characteristics'!$C$13:$Q$20,13,FALSE)*$J77</f>
        <v>146.43367788637249</v>
      </c>
      <c r="Y77" s="706">
        <f t="shared" si="74"/>
        <v>617.56632211362751</v>
      </c>
      <c r="Z77" s="706">
        <f>IF($C77="other",(1-$C72)*X77,(1-(VLOOKUP($C77,'S3 - Screening Tool Metrics'!$C$3:$G$17,5,FALSE)/100))*X77)</f>
        <v>29.286735577274492</v>
      </c>
      <c r="AA77" s="706">
        <f>IF($C77="other",$C72*X77,(VLOOKUP($C77,'S3 - Screening Tool Metrics'!$C$3:$G$17,5,FALSE)/100)*X77)</f>
        <v>117.14694230909799</v>
      </c>
      <c r="AB77" s="709">
        <f t="shared" si="65"/>
        <v>15.333369412185602</v>
      </c>
      <c r="AC77" s="706">
        <f t="shared" si="66"/>
        <v>91858.700000000012</v>
      </c>
      <c r="AD77" s="706">
        <f>VLOOKUP("*"&amp;$B77&amp;"*",'S4 - Summ PRS Characteristics'!$C$13:$Q$20,14,FALSE)*$J77</f>
        <v>82.819104922228107</v>
      </c>
      <c r="AE77" s="706">
        <f t="shared" si="76"/>
        <v>681.18089507777188</v>
      </c>
      <c r="AF77" s="706">
        <f>IF($C77="other",(1-$C72)*AD77,(1-(VLOOKUP($C77,'S3 - Screening Tool Metrics'!$C$3:$G$17,5,FALSE)/100))*AD77)</f>
        <v>16.563820984445616</v>
      </c>
      <c r="AG77" s="706">
        <f>IF($C77="other",$C72*AD77,(VLOOKUP($C77,'S3 - Screening Tool Metrics'!$C$3:$G$17,5,FALSE)/100)*AD77)</f>
        <v>66.255283937782494</v>
      </c>
      <c r="AH77" s="708">
        <f t="shared" si="67"/>
        <v>8.6721575834793843</v>
      </c>
      <c r="AI77" s="707">
        <f t="shared" si="68"/>
        <v>18371.740000000002</v>
      </c>
      <c r="AJ77" s="706">
        <f>VLOOKUP("*"&amp;$B77&amp;"*",'S4 - Summ PRS Characteristics'!$C$13:$Q$20,15,FALSE)*$J77</f>
        <v>21.12197881292817</v>
      </c>
      <c r="AK77" s="706">
        <f t="shared" si="75"/>
        <v>742.87802118707179</v>
      </c>
      <c r="AL77" s="706">
        <f>IF($C77="other",(1-$C72)*AJ77,(1-(VLOOKUP($C77,'S3 - Screening Tool Metrics'!$C$3:$G$17,5,FALSE)/100))*AJ77)</f>
        <v>4.2243957625856332</v>
      </c>
      <c r="AM77" s="706">
        <f>IF($C77="other",$C72*AJ77,(VLOOKUP($C77,'S3 - Screening Tool Metrics'!$C$3:$G$17,5,FALSE)/100)*AJ77)</f>
        <v>16.897583050342536</v>
      </c>
      <c r="AN77" s="709">
        <f t="shared" si="69"/>
        <v>2.2117255301495464</v>
      </c>
    </row>
    <row r="78" spans="2:40" x14ac:dyDescent="0.15">
      <c r="B78" s="700" t="s">
        <v>13</v>
      </c>
      <c r="C78" s="721" t="str">
        <f>$C73</f>
        <v>Other</v>
      </c>
      <c r="D78" s="552" t="s">
        <v>197</v>
      </c>
      <c r="E78" s="710">
        <f>VLOOKUP($B78&amp;"_"&amp;$D78,'App5 - CRUK Inci Rates'!C:H,6,FALSE)</f>
        <v>0</v>
      </c>
      <c r="F78" s="711">
        <f>VLOOKUP($B78&amp;"_"&amp;$D78,'App5 - CRUK Inci Rates'!C:H,3,FALSE)</f>
        <v>52.3</v>
      </c>
      <c r="G78" s="712">
        <f>VLOOKUP($B78&amp;"_"&amp;$D78,'App5 - CRUK Inci Rates'!C:J,8,FALSE)</f>
        <v>1805190</v>
      </c>
      <c r="H78" s="713">
        <f>VLOOKUP($B78&amp;"_"&amp;$D78,'App5 - CRUK Inci Rates'!C:J,7,FALSE)</f>
        <v>0</v>
      </c>
      <c r="I78" s="713">
        <f>VLOOKUP($B78&amp;"_"&amp;$D78,'App5 - CRUK Inci Rates'!C:J,4,FALSE)</f>
        <v>1805190</v>
      </c>
      <c r="J78" s="709">
        <f>VLOOKUP($B78&amp;"_"&amp;$D78,'App5 - CRUK Inci Rates'!C:K,9,FALSE)</f>
        <v>944</v>
      </c>
      <c r="K78" s="706">
        <f t="shared" si="70"/>
        <v>902595</v>
      </c>
      <c r="L78" s="706">
        <f>VLOOKUP("*"&amp;$B78&amp;"*",'S4 - Summ PRS Characteristics'!$C$13:$Q$20,11,FALSE)*$J78</f>
        <v>622.11219397085119</v>
      </c>
      <c r="M78" s="706">
        <f t="shared" si="71"/>
        <v>321.88780602914881</v>
      </c>
      <c r="N78" s="706">
        <f>IF($C78="other",(1-$C$7)*L78,(1-(VLOOKUP($C78,'S3 - Screening Tool Metrics'!$C$3:$G$17,5,FALSE)/100))*L78)</f>
        <v>124.4224387941702</v>
      </c>
      <c r="O78" s="706">
        <f>IF($C78="other",$C$7*L78,(VLOOKUP($C78,'S3 - Screening Tool Metrics'!$C$3:$G$17,5,FALSE)/100)*L78)</f>
        <v>497.68975517668099</v>
      </c>
      <c r="P78" s="706">
        <f t="shared" si="72"/>
        <v>52.721372370411125</v>
      </c>
      <c r="Q78" s="707">
        <f t="shared" si="62"/>
        <v>361038</v>
      </c>
      <c r="R78" s="706">
        <f>VLOOKUP("*"&amp;$B78&amp;"*",'S4 - Summ PRS Characteristics'!$C$13:$Q$20,12,FALSE)*$J78</f>
        <v>314.28518434902026</v>
      </c>
      <c r="S78" s="706">
        <f t="shared" si="73"/>
        <v>629.71481565097974</v>
      </c>
      <c r="T78" s="706">
        <f>IF($C78="other",(1-$C72)*R78,(1-(VLOOKUP($C78,'S3 - Screening Tool Metrics'!$C$3:$G$17,5,FALSE)/100))*R78)</f>
        <v>62.857036869804034</v>
      </c>
      <c r="U78" s="706">
        <f>IF($C78="other",$C72*R78,(VLOOKUP($C78,'S3 - Screening Tool Metrics'!$C$3:$G$17,5,FALSE)/100)*R78)</f>
        <v>251.42814747921622</v>
      </c>
      <c r="V78" s="706">
        <f t="shared" si="63"/>
        <v>26.634337656696633</v>
      </c>
      <c r="W78" s="707">
        <f t="shared" si="64"/>
        <v>180519</v>
      </c>
      <c r="X78" s="706">
        <f>VLOOKUP("*"&amp;$B78&amp;"*",'S4 - Summ PRS Characteristics'!$C$13:$Q$20,13,FALSE)*$J78</f>
        <v>180.93375906379012</v>
      </c>
      <c r="Y78" s="706">
        <f t="shared" si="74"/>
        <v>763.06624093620985</v>
      </c>
      <c r="Z78" s="706">
        <f>IF($C78="other",(1-$C72)*X78,(1-(VLOOKUP($C78,'S3 - Screening Tool Metrics'!$C$3:$G$17,5,FALSE)/100))*X78)</f>
        <v>36.186751812758018</v>
      </c>
      <c r="AA78" s="706">
        <f>IF($C78="other",$C72*X78,(VLOOKUP($C78,'S3 - Screening Tool Metrics'!$C$3:$G$17,5,FALSE)/100)*X78)</f>
        <v>144.7470072510321</v>
      </c>
      <c r="AB78" s="709">
        <f t="shared" si="65"/>
        <v>15.333369412185604</v>
      </c>
      <c r="AC78" s="706">
        <f t="shared" si="66"/>
        <v>90259.5</v>
      </c>
      <c r="AD78" s="706">
        <f>VLOOKUP("*"&amp;$B78&amp;"*",'S4 - Summ PRS Characteristics'!$C$13:$Q$20,14,FALSE)*$J78</f>
        <v>102.33145948505671</v>
      </c>
      <c r="AE78" s="706">
        <f t="shared" si="76"/>
        <v>841.66854051494329</v>
      </c>
      <c r="AF78" s="706">
        <f>IF($C78="other",(1-$C72)*AD78,(1-(VLOOKUP($C78,'S3 - Screening Tool Metrics'!$C$3:$G$17,5,FALSE)/100))*AD78)</f>
        <v>20.466291897011338</v>
      </c>
      <c r="AG78" s="706">
        <f>IF($C78="other",$C72*AD78,(VLOOKUP($C78,'S3 - Screening Tool Metrics'!$C$3:$G$17,5,FALSE)/100)*AD78)</f>
        <v>81.865167588045381</v>
      </c>
      <c r="AH78" s="708">
        <f t="shared" si="67"/>
        <v>8.6721575834793843</v>
      </c>
      <c r="AI78" s="707">
        <f t="shared" si="68"/>
        <v>18051.900000000001</v>
      </c>
      <c r="AJ78" s="706">
        <f>VLOOKUP("*"&amp;$B78&amp;"*",'S4 - Summ PRS Characteristics'!$C$13:$Q$20,15,FALSE)*$J78</f>
        <v>26.098361255764647</v>
      </c>
      <c r="AK78" s="706">
        <f t="shared" si="75"/>
        <v>917.90163874423536</v>
      </c>
      <c r="AL78" s="706">
        <f>IF($C78="other",(1-$C72)*AJ78,(1-(VLOOKUP($C78,'S3 - Screening Tool Metrics'!$C$3:$G$17,5,FALSE)/100))*AJ78)</f>
        <v>5.2196722511529279</v>
      </c>
      <c r="AM78" s="706">
        <f>IF($C78="other",$C72*AJ78,(VLOOKUP($C78,'S3 - Screening Tool Metrics'!$C$3:$G$17,5,FALSE)/100)*AJ78)</f>
        <v>20.878689004611719</v>
      </c>
      <c r="AN78" s="709">
        <f t="shared" si="69"/>
        <v>2.2117255301495464</v>
      </c>
    </row>
    <row r="79" spans="2:40" x14ac:dyDescent="0.15">
      <c r="B79" s="700" t="s">
        <v>13</v>
      </c>
      <c r="C79" s="721" t="str">
        <f>$C73</f>
        <v>Other</v>
      </c>
      <c r="D79" s="552" t="s">
        <v>198</v>
      </c>
      <c r="E79" s="710">
        <f>VLOOKUP($B79&amp;"_"&amp;$D79,'App5 - CRUK Inci Rates'!C:H,6,FALSE)</f>
        <v>0</v>
      </c>
      <c r="F79" s="711">
        <f>VLOOKUP($B79&amp;"_"&amp;$D79,'App5 - CRUK Inci Rates'!C:H,3,FALSE)</f>
        <v>60.8</v>
      </c>
      <c r="G79" s="712">
        <f>VLOOKUP($B79&amp;"_"&amp;$D79,'App5 - CRUK Inci Rates'!C:J,8,FALSE)</f>
        <v>1603609.6666666667</v>
      </c>
      <c r="H79" s="713">
        <f>VLOOKUP($B79&amp;"_"&amp;$D79,'App5 - CRUK Inci Rates'!C:J,7,FALSE)</f>
        <v>0</v>
      </c>
      <c r="I79" s="713">
        <f>VLOOKUP($B79&amp;"_"&amp;$D79,'App5 - CRUK Inci Rates'!C:J,4,FALSE)</f>
        <v>1603609.6666666667</v>
      </c>
      <c r="J79" s="709">
        <f>VLOOKUP($B79&amp;"_"&amp;$D79,'App5 - CRUK Inci Rates'!C:K,9,FALSE)</f>
        <v>975</v>
      </c>
      <c r="K79" s="706">
        <f t="shared" si="70"/>
        <v>801804.83333333337</v>
      </c>
      <c r="L79" s="706">
        <f>VLOOKUP("*"&amp;$B79&amp;"*",'S4 - Summ PRS Characteristics'!$C$13:$Q$20,11,FALSE)*$J79</f>
        <v>642.54172576438555</v>
      </c>
      <c r="M79" s="706">
        <f t="shared" si="71"/>
        <v>332.45827423561445</v>
      </c>
      <c r="N79" s="706">
        <f>IF($C79="other",(1-$C$7)*L79,(1-(VLOOKUP($C79,'S3 - Screening Tool Metrics'!$C$3:$G$17,5,FALSE)/100))*L79)</f>
        <v>128.50834515287707</v>
      </c>
      <c r="O79" s="706">
        <f>IF($C79="other",$C$7*L79,(VLOOKUP($C79,'S3 - Screening Tool Metrics'!$C$3:$G$17,5,FALSE)/100)*L79)</f>
        <v>514.03338061150851</v>
      </c>
      <c r="P79" s="706">
        <f t="shared" si="72"/>
        <v>52.721372370411125</v>
      </c>
      <c r="Q79" s="707">
        <f t="shared" si="62"/>
        <v>320721.93333333335</v>
      </c>
      <c r="R79" s="706">
        <f>VLOOKUP("*"&amp;$B79&amp;"*",'S4 - Summ PRS Characteristics'!$C$13:$Q$20,12,FALSE)*$J79</f>
        <v>324.60599019099021</v>
      </c>
      <c r="S79" s="706">
        <f t="shared" si="73"/>
        <v>650.39400980900973</v>
      </c>
      <c r="T79" s="706">
        <f>IF($C79="other",(1-$C72)*R79,(1-(VLOOKUP($C79,'S3 - Screening Tool Metrics'!$C$3:$G$17,5,FALSE)/100))*R79)</f>
        <v>64.921198038198028</v>
      </c>
      <c r="U79" s="706">
        <f>IF($C79="other",$C72*R79,(VLOOKUP($C79,'S3 - Screening Tool Metrics'!$C$3:$G$17,5,FALSE)/100)*R79)</f>
        <v>259.68479215279217</v>
      </c>
      <c r="V79" s="706">
        <f t="shared" si="63"/>
        <v>26.634337656696633</v>
      </c>
      <c r="W79" s="707">
        <f t="shared" si="64"/>
        <v>160360.96666666667</v>
      </c>
      <c r="X79" s="706">
        <f>VLOOKUP("*"&amp;$B79&amp;"*",'S4 - Summ PRS Characteristics'!$C$13:$Q$20,13,FALSE)*$J79</f>
        <v>186.87543971101204</v>
      </c>
      <c r="Y79" s="706">
        <f t="shared" si="74"/>
        <v>788.12456028898794</v>
      </c>
      <c r="Z79" s="706">
        <f>IF($C79="other",(1-$C72)*X79,(1-(VLOOKUP($C79,'S3 - Screening Tool Metrics'!$C$3:$G$17,5,FALSE)/100))*X79)</f>
        <v>37.375087942202398</v>
      </c>
      <c r="AA79" s="706">
        <f>IF($C79="other",$C72*X79,(VLOOKUP($C79,'S3 - Screening Tool Metrics'!$C$3:$G$17,5,FALSE)/100)*X79)</f>
        <v>149.50035176880962</v>
      </c>
      <c r="AB79" s="709">
        <f t="shared" si="65"/>
        <v>15.333369412185602</v>
      </c>
      <c r="AC79" s="706">
        <f t="shared" si="66"/>
        <v>80180.483333333337</v>
      </c>
      <c r="AD79" s="706">
        <f>VLOOKUP("*"&amp;$B79&amp;"*",'S4 - Summ PRS Characteristics'!$C$13:$Q$20,14,FALSE)*$J79</f>
        <v>105.69192054865498</v>
      </c>
      <c r="AE79" s="706">
        <f t="shared" si="76"/>
        <v>869.30807945134507</v>
      </c>
      <c r="AF79" s="706">
        <f>IF($C79="other",(1-$C72)*AD79,(1-(VLOOKUP($C79,'S3 - Screening Tool Metrics'!$C$3:$G$17,5,FALSE)/100))*AD79)</f>
        <v>21.138384109730989</v>
      </c>
      <c r="AG79" s="706">
        <f>IF($C79="other",$C72*AD79,(VLOOKUP($C79,'S3 - Screening Tool Metrics'!$C$3:$G$17,5,FALSE)/100)*AD79)</f>
        <v>84.553536438923985</v>
      </c>
      <c r="AH79" s="708">
        <f t="shared" si="67"/>
        <v>8.6721575834793825</v>
      </c>
      <c r="AI79" s="707">
        <f t="shared" si="68"/>
        <v>16036.096666666668</v>
      </c>
      <c r="AJ79" s="706">
        <f>VLOOKUP("*"&amp;$B79&amp;"*",'S4 - Summ PRS Characteristics'!$C$13:$Q$20,15,FALSE)*$J79</f>
        <v>26.955404898697598</v>
      </c>
      <c r="AK79" s="706">
        <f t="shared" si="75"/>
        <v>948.04459510130243</v>
      </c>
      <c r="AL79" s="706">
        <f>IF($C79="other",(1-$C72)*AJ79,(1-(VLOOKUP($C79,'S3 - Screening Tool Metrics'!$C$3:$G$17,5,FALSE)/100))*AJ79)</f>
        <v>5.3910809797395185</v>
      </c>
      <c r="AM79" s="706">
        <f>IF($C79="other",$C72*AJ79,(VLOOKUP($C79,'S3 - Screening Tool Metrics'!$C$3:$G$17,5,FALSE)/100)*AJ79)</f>
        <v>21.564323918958081</v>
      </c>
      <c r="AN79" s="709">
        <f t="shared" si="69"/>
        <v>2.2117255301495464</v>
      </c>
    </row>
    <row r="80" spans="2:40" x14ac:dyDescent="0.15">
      <c r="B80" s="700" t="s">
        <v>13</v>
      </c>
      <c r="C80" s="721" t="str">
        <f>$C73</f>
        <v>Other</v>
      </c>
      <c r="D80" s="552" t="s">
        <v>199</v>
      </c>
      <c r="E80" s="710">
        <f>VLOOKUP($B80&amp;"_"&amp;$D80,'App5 - CRUK Inci Rates'!C:H,6,FALSE)</f>
        <v>0</v>
      </c>
      <c r="F80" s="711">
        <f>VLOOKUP($B80&amp;"_"&amp;$D80,'App5 - CRUK Inci Rates'!C:H,3,FALSE)</f>
        <v>73.8</v>
      </c>
      <c r="G80" s="712">
        <f>VLOOKUP($B80&amp;"_"&amp;$D80,'App5 - CRUK Inci Rates'!C:J,8,FALSE)</f>
        <v>1181645.3333333333</v>
      </c>
      <c r="H80" s="713">
        <f>VLOOKUP($B80&amp;"_"&amp;$D80,'App5 - CRUK Inci Rates'!C:J,7,FALSE)</f>
        <v>0</v>
      </c>
      <c r="I80" s="713">
        <f>VLOOKUP($B80&amp;"_"&amp;$D80,'App5 - CRUK Inci Rates'!C:J,4,FALSE)</f>
        <v>1181645.3333333333</v>
      </c>
      <c r="J80" s="709">
        <f>VLOOKUP($B80&amp;"_"&amp;$D80,'App5 - CRUK Inci Rates'!C:K,9,FALSE)</f>
        <v>872</v>
      </c>
      <c r="K80" s="706">
        <f t="shared" si="70"/>
        <v>590822.66666666663</v>
      </c>
      <c r="L80" s="706">
        <f>VLOOKUP("*"&amp;$B80&amp;"*",'S4 - Summ PRS Characteristics'!$C$13:$Q$20,11,FALSE)*$J80</f>
        <v>574.66295883748126</v>
      </c>
      <c r="M80" s="706">
        <f t="shared" si="71"/>
        <v>297.33704116251874</v>
      </c>
      <c r="N80" s="706">
        <f>IF($C80="other",(1-$C$7)*L80,(1-(VLOOKUP($C80,'S3 - Screening Tool Metrics'!$C$3:$G$17,5,FALSE)/100))*L80)</f>
        <v>114.93259176749622</v>
      </c>
      <c r="O80" s="706">
        <f>IF($C80="other",$C$7*L80,(VLOOKUP($C80,'S3 - Screening Tool Metrics'!$C$3:$G$17,5,FALSE)/100)*L80)</f>
        <v>459.73036706998505</v>
      </c>
      <c r="P80" s="706">
        <f t="shared" si="72"/>
        <v>52.721372370411132</v>
      </c>
      <c r="Q80" s="707">
        <f t="shared" si="62"/>
        <v>236329.06666666665</v>
      </c>
      <c r="R80" s="706">
        <f>VLOOKUP("*"&amp;$B80&amp;"*",'S4 - Summ PRS Characteristics'!$C$13:$Q$20,12,FALSE)*$J80</f>
        <v>290.31428045799328</v>
      </c>
      <c r="S80" s="706">
        <f t="shared" si="73"/>
        <v>581.68571954200672</v>
      </c>
      <c r="T80" s="706">
        <f>IF($C80="other",(1-$C72)*R80,(1-(VLOOKUP($C80,'S3 - Screening Tool Metrics'!$C$3:$G$17,5,FALSE)/100))*R80)</f>
        <v>58.06285609159864</v>
      </c>
      <c r="U80" s="706">
        <f>IF($C80="other",$C72*R80,(VLOOKUP($C80,'S3 - Screening Tool Metrics'!$C$3:$G$17,5,FALSE)/100)*R80)</f>
        <v>232.25142436639464</v>
      </c>
      <c r="V80" s="706">
        <f t="shared" si="63"/>
        <v>26.634337656696633</v>
      </c>
      <c r="W80" s="707">
        <f t="shared" si="64"/>
        <v>118164.53333333333</v>
      </c>
      <c r="X80" s="706">
        <f>VLOOKUP("*"&amp;$B80&amp;"*",'S4 - Summ PRS Characteristics'!$C$13:$Q$20,13,FALSE)*$J80</f>
        <v>167.13372659282305</v>
      </c>
      <c r="Y80" s="706">
        <f t="shared" si="74"/>
        <v>704.866273407177</v>
      </c>
      <c r="Z80" s="706">
        <f>IF($C80="other",(1-$C72)*X80,(1-(VLOOKUP($C80,'S3 - Screening Tool Metrics'!$C$3:$G$17,5,FALSE)/100))*X80)</f>
        <v>33.426745318564606</v>
      </c>
      <c r="AA80" s="706">
        <f>IF($C80="other",$C72*X80,(VLOOKUP($C80,'S3 - Screening Tool Metrics'!$C$3:$G$17,5,FALSE)/100)*X80)</f>
        <v>133.70698127425845</v>
      </c>
      <c r="AB80" s="709">
        <f t="shared" si="65"/>
        <v>15.333369412185602</v>
      </c>
      <c r="AC80" s="706">
        <f t="shared" si="66"/>
        <v>59082.266666666663</v>
      </c>
      <c r="AD80" s="706">
        <f>VLOOKUP("*"&amp;$B80&amp;"*",'S4 - Summ PRS Characteristics'!$C$13:$Q$20,14,FALSE)*$J80</f>
        <v>94.526517659925275</v>
      </c>
      <c r="AE80" s="706">
        <f t="shared" si="76"/>
        <v>777.47348234007472</v>
      </c>
      <c r="AF80" s="706">
        <f>IF($C80="other",(1-$C72)*AD80,(1-(VLOOKUP($C80,'S3 - Screening Tool Metrics'!$C$3:$G$17,5,FALSE)/100))*AD80)</f>
        <v>18.905303531985052</v>
      </c>
      <c r="AG80" s="706">
        <f>IF($C80="other",$C72*AD80,(VLOOKUP($C80,'S3 - Screening Tool Metrics'!$C$3:$G$17,5,FALSE)/100)*AD80)</f>
        <v>75.62121412794022</v>
      </c>
      <c r="AH80" s="708">
        <f t="shared" si="67"/>
        <v>8.6721575834793825</v>
      </c>
      <c r="AI80" s="707">
        <f t="shared" si="68"/>
        <v>11816.453333333333</v>
      </c>
      <c r="AJ80" s="706">
        <f>VLOOKUP("*"&amp;$B80&amp;"*",'S4 - Summ PRS Characteristics'!$C$13:$Q$20,15,FALSE)*$J80</f>
        <v>24.107808278630056</v>
      </c>
      <c r="AK80" s="706">
        <f t="shared" si="75"/>
        <v>847.89219172136995</v>
      </c>
      <c r="AL80" s="706">
        <f>IF($C80="other",(1-$C72)*AJ80,(1-(VLOOKUP($C80,'S3 - Screening Tool Metrics'!$C$3:$G$17,5,FALSE)/100))*AJ80)</f>
        <v>4.8215616557260104</v>
      </c>
      <c r="AM80" s="706">
        <f>IF($C80="other",$C72*AJ80,(VLOOKUP($C80,'S3 - Screening Tool Metrics'!$C$3:$G$17,5,FALSE)/100)*AJ80)</f>
        <v>19.286246622904045</v>
      </c>
      <c r="AN80" s="709">
        <f t="shared" si="69"/>
        <v>2.2117255301495464</v>
      </c>
    </row>
    <row r="81" spans="2:40" x14ac:dyDescent="0.15">
      <c r="B81" s="700" t="s">
        <v>13</v>
      </c>
      <c r="C81" s="721" t="str">
        <f>$C73</f>
        <v>Other</v>
      </c>
      <c r="D81" s="552" t="s">
        <v>200</v>
      </c>
      <c r="E81" s="710">
        <f>VLOOKUP($B81&amp;"_"&amp;$D81,'App5 - CRUK Inci Rates'!C:H,6,FALSE)</f>
        <v>0</v>
      </c>
      <c r="F81" s="711">
        <f>VLOOKUP($B81&amp;"_"&amp;$D81,'App5 - CRUK Inci Rates'!C:H,3,FALSE)</f>
        <v>30.440786428594748</v>
      </c>
      <c r="G81" s="712">
        <f>VLOOKUP($B81&amp;"_"&amp;$D81,'App5 - CRUK Inci Rates'!C:J,8,FALSE)</f>
        <v>12496392</v>
      </c>
      <c r="H81" s="713">
        <f>VLOOKUP($B81&amp;"_"&amp;$D81,'App5 - CRUK Inci Rates'!C:J,7,FALSE)</f>
        <v>0</v>
      </c>
      <c r="I81" s="713">
        <f>VLOOKUP($B81&amp;"_"&amp;$D81,'App5 - CRUK Inci Rates'!C:J,4,FALSE)</f>
        <v>12496392</v>
      </c>
      <c r="J81" s="709">
        <f>VLOOKUP($B81&amp;"_"&amp;$D81,'App5 - CRUK Inci Rates'!C:K,9,FALSE)</f>
        <v>3804</v>
      </c>
      <c r="K81" s="706">
        <f t="shared" si="70"/>
        <v>6248196</v>
      </c>
      <c r="L81" s="706">
        <f>VLOOKUP("*"&amp;$B81&amp;"*",'S4 - Summ PRS Characteristics'!$C$13:$Q$20,11,FALSE)*$J81</f>
        <v>2506.9012562130488</v>
      </c>
      <c r="M81" s="706">
        <f t="shared" si="71"/>
        <v>1297.0987437869512</v>
      </c>
      <c r="N81" s="706">
        <f>IF($C81="other",(1-$C$7)*L81,(1-(VLOOKUP($C81,'S3 - Screening Tool Metrics'!$C$3:$G$17,5,FALSE)/100))*L81)</f>
        <v>501.38025124260963</v>
      </c>
      <c r="O81" s="706">
        <f>IF($C81="other",$C$7*L81,(VLOOKUP($C81,'S3 - Screening Tool Metrics'!$C$3:$G$17,5,FALSE)/100)*L81)</f>
        <v>2005.5210049704392</v>
      </c>
      <c r="P81" s="706">
        <f t="shared" si="72"/>
        <v>52.721372370411125</v>
      </c>
      <c r="Q81" s="707">
        <f t="shared" si="62"/>
        <v>2499278.4</v>
      </c>
      <c r="R81" s="706">
        <f>VLOOKUP("*"&amp;$B81&amp;"*",'S4 - Summ PRS Characteristics'!$C$13:$Q$20,12,FALSE)*$J81</f>
        <v>1266.4627555759248</v>
      </c>
      <c r="S81" s="706">
        <f t="shared" si="73"/>
        <v>2537.5372444240752</v>
      </c>
      <c r="T81" s="706">
        <f>IF($C81="other",(1-$C72)*R81,(1-(VLOOKUP($C81,'S3 - Screening Tool Metrics'!$C$3:$G$17,5,FALSE)/100))*R81)</f>
        <v>253.29255111518489</v>
      </c>
      <c r="U81" s="706">
        <f>IF($C81="other",$C72*R81,(VLOOKUP($C81,'S3 - Screening Tool Metrics'!$C$3:$G$17,5,FALSE)/100)*R81)</f>
        <v>1013.1702044607399</v>
      </c>
      <c r="V81" s="706">
        <f t="shared" si="63"/>
        <v>26.634337656696633</v>
      </c>
      <c r="W81" s="707">
        <f t="shared" si="64"/>
        <v>1249639.2</v>
      </c>
      <c r="X81" s="706">
        <f>VLOOKUP("*"&amp;$B81&amp;"*",'S4 - Summ PRS Characteristics'!$C$13:$Q$20,13,FALSE)*$J81</f>
        <v>729.10171554942542</v>
      </c>
      <c r="Y81" s="706">
        <f t="shared" si="74"/>
        <v>3074.8982844505745</v>
      </c>
      <c r="Z81" s="706">
        <f>IF($C81="other",(1-$C72)*X81,(1-(VLOOKUP($C81,'S3 - Screening Tool Metrics'!$C$3:$G$17,5,FALSE)/100))*X81)</f>
        <v>145.82034310988504</v>
      </c>
      <c r="AA81" s="706">
        <f>IF($C81="other",$C72*X81,(VLOOKUP($C81,'S3 - Screening Tool Metrics'!$C$3:$G$17,5,FALSE)/100)*X81)</f>
        <v>583.28137243954041</v>
      </c>
      <c r="AB81" s="709">
        <f t="shared" si="65"/>
        <v>15.333369412185604</v>
      </c>
      <c r="AC81" s="706">
        <f t="shared" si="66"/>
        <v>624819.6</v>
      </c>
      <c r="AD81" s="706">
        <f>VLOOKUP("*"&amp;$B81&amp;"*",'S4 - Summ PRS Characteristics'!$C$13:$Q$20,14,FALSE)*$J81</f>
        <v>412.36109309444464</v>
      </c>
      <c r="AE81" s="706">
        <f t="shared" si="76"/>
        <v>3391.6389069055554</v>
      </c>
      <c r="AF81" s="706">
        <f>IF($C81="other",(1-$C72)*AD81,(1-(VLOOKUP($C81,'S3 - Screening Tool Metrics'!$C$3:$G$17,5,FALSE)/100))*AD81)</f>
        <v>82.472218618888917</v>
      </c>
      <c r="AG81" s="706">
        <f>IF($C81="other",$C72*AD81,(VLOOKUP($C81,'S3 - Screening Tool Metrics'!$C$3:$G$17,5,FALSE)/100)*AD81)</f>
        <v>329.88887447555572</v>
      </c>
      <c r="AH81" s="708">
        <f t="shared" si="67"/>
        <v>8.6721575834793825</v>
      </c>
      <c r="AI81" s="707">
        <f t="shared" si="68"/>
        <v>124963.92</v>
      </c>
      <c r="AJ81" s="706">
        <f>VLOOKUP("*"&amp;$B81&amp;"*",'S4 - Summ PRS Characteristics'!$C$13:$Q$20,15,FALSE)*$J81</f>
        <v>105.16754895861094</v>
      </c>
      <c r="AK81" s="706">
        <f t="shared" si="75"/>
        <v>3698.832451041389</v>
      </c>
      <c r="AL81" s="706">
        <f>IF($C81="other",(1-$C72)*AJ81,(1-(VLOOKUP($C81,'S3 - Screening Tool Metrics'!$C$3:$G$17,5,FALSE)/100))*AJ81)</f>
        <v>21.033509791722182</v>
      </c>
      <c r="AM81" s="706">
        <f>IF($C81="other",$C72*AJ81,(VLOOKUP($C81,'S3 - Screening Tool Metrics'!$C$3:$G$17,5,FALSE)/100)*AJ81)</f>
        <v>84.134039166888755</v>
      </c>
      <c r="AN81" s="709">
        <f t="shared" si="69"/>
        <v>2.2117255301495464</v>
      </c>
    </row>
    <row r="82" spans="2:40" x14ac:dyDescent="0.15">
      <c r="B82" s="700" t="s">
        <v>13</v>
      </c>
      <c r="C82" s="721" t="str">
        <f>$C73</f>
        <v>Other</v>
      </c>
      <c r="D82" s="552" t="s">
        <v>201</v>
      </c>
      <c r="E82" s="710">
        <f>VLOOKUP($B82&amp;"_"&amp;$D82,'App5 - CRUK Inci Rates'!C:H,6,FALSE)</f>
        <v>0</v>
      </c>
      <c r="F82" s="711">
        <f>VLOOKUP($B82&amp;"_"&amp;$D82,'App5 - CRUK Inci Rates'!C:H,3,FALSE)</f>
        <v>16.431323931422334</v>
      </c>
      <c r="G82" s="712">
        <f>VLOOKUP($B82&amp;"_"&amp;$D82,'App5 - CRUK Inci Rates'!C:J,8,FALSE)</f>
        <v>4369702.666666667</v>
      </c>
      <c r="H82" s="713">
        <f>VLOOKUP($B82&amp;"_"&amp;$D82,'App5 - CRUK Inci Rates'!C:J,7,FALSE)</f>
        <v>0</v>
      </c>
      <c r="I82" s="713">
        <f>VLOOKUP($B82&amp;"_"&amp;$D82,'App5 - CRUK Inci Rates'!C:J,4,FALSE)</f>
        <v>4369702.666666667</v>
      </c>
      <c r="J82" s="709">
        <f>VLOOKUP($B82&amp;"_"&amp;$D82,'App5 - CRUK Inci Rates'!C:K,9,FALSE)</f>
        <v>718</v>
      </c>
      <c r="K82" s="706">
        <f t="shared" si="70"/>
        <v>2184851.3333333335</v>
      </c>
      <c r="L82" s="706">
        <f>VLOOKUP("*"&amp;$B82&amp;"*",'S4 - Summ PRS Characteristics'!$C$13:$Q$20,11,FALSE)*$J82</f>
        <v>473.1743170244398</v>
      </c>
      <c r="M82" s="706">
        <f t="shared" si="71"/>
        <v>244.8256829755602</v>
      </c>
      <c r="N82" s="706">
        <f>IF($C82="other",(1-$C$7)*L82,(1-(VLOOKUP($C82,'S3 - Screening Tool Metrics'!$C$3:$G$17,5,FALSE)/100))*L82)</f>
        <v>94.634863404887938</v>
      </c>
      <c r="O82" s="706">
        <f>IF($C82="other",$C$7*L82,(VLOOKUP($C82,'S3 - Screening Tool Metrics'!$C$3:$G$17,5,FALSE)/100)*L82)</f>
        <v>378.53945361955186</v>
      </c>
      <c r="P82" s="706">
        <f t="shared" si="72"/>
        <v>52.721372370411125</v>
      </c>
      <c r="Q82" s="707">
        <f t="shared" si="62"/>
        <v>873940.53333333344</v>
      </c>
      <c r="R82" s="706">
        <f>VLOOKUP("*"&amp;$B82&amp;"*",'S4 - Summ PRS Characteristics'!$C$13:$Q$20,12,FALSE)*$J82</f>
        <v>239.04318046885226</v>
      </c>
      <c r="S82" s="706">
        <f t="shared" si="73"/>
        <v>478.95681953114774</v>
      </c>
      <c r="T82" s="706">
        <f>IF($C82="other",(1-$C72)*R82,(1-(VLOOKUP($C82,'S3 - Screening Tool Metrics'!$C$3:$G$17,5,FALSE)/100))*R82)</f>
        <v>47.808636093770438</v>
      </c>
      <c r="U82" s="706">
        <f>IF($C82="other",$C72*R82,(VLOOKUP($C82,'S3 - Screening Tool Metrics'!$C$3:$G$17,5,FALSE)/100)*R82)</f>
        <v>191.23454437508181</v>
      </c>
      <c r="V82" s="706">
        <f t="shared" si="63"/>
        <v>26.634337656696633</v>
      </c>
      <c r="W82" s="707">
        <f t="shared" si="64"/>
        <v>436970.26666666672</v>
      </c>
      <c r="X82" s="706">
        <f>VLOOKUP("*"&amp;$B82&amp;"*",'S4 - Summ PRS Characteristics'!$C$13:$Q$20,13,FALSE)*$J82</f>
        <v>137.61699047436579</v>
      </c>
      <c r="Y82" s="706">
        <f t="shared" si="74"/>
        <v>580.38300952563418</v>
      </c>
      <c r="Z82" s="706">
        <f>IF($C82="other",(1-$C72)*X82,(1-(VLOOKUP($C82,'S3 - Screening Tool Metrics'!$C$3:$G$17,5,FALSE)/100))*X82)</f>
        <v>27.523398094873151</v>
      </c>
      <c r="AA82" s="706">
        <f>IF($C82="other",$C72*X82,(VLOOKUP($C82,'S3 - Screening Tool Metrics'!$C$3:$G$17,5,FALSE)/100)*X82)</f>
        <v>110.09359237949263</v>
      </c>
      <c r="AB82" s="709">
        <f t="shared" si="65"/>
        <v>15.333369412185604</v>
      </c>
      <c r="AC82" s="706">
        <f t="shared" si="66"/>
        <v>218485.13333333336</v>
      </c>
      <c r="AD82" s="706">
        <f>VLOOKUP("*"&amp;$B82&amp;"*",'S4 - Summ PRS Characteristics'!$C$13:$Q$20,14,FALSE)*$J82</f>
        <v>77.832614311727468</v>
      </c>
      <c r="AE82" s="706">
        <f t="shared" si="76"/>
        <v>640.16738568827259</v>
      </c>
      <c r="AF82" s="706">
        <f>IF($C82="other",(1-$C72)*AD82,(1-(VLOOKUP($C82,'S3 - Screening Tool Metrics'!$C$3:$G$17,5,FALSE)/100))*AD82)</f>
        <v>15.56652286234549</v>
      </c>
      <c r="AG82" s="706">
        <f>IF($C82="other",$C72*AD82,(VLOOKUP($C82,'S3 - Screening Tool Metrics'!$C$3:$G$17,5,FALSE)/100)*AD82)</f>
        <v>62.266091449381975</v>
      </c>
      <c r="AH82" s="708">
        <f t="shared" si="67"/>
        <v>8.6721575834793843</v>
      </c>
      <c r="AI82" s="707">
        <f t="shared" si="68"/>
        <v>43697.026666666672</v>
      </c>
      <c r="AJ82" s="706">
        <f>VLOOKUP("*"&amp;$B82&amp;"*",'S4 - Summ PRS Characteristics'!$C$13:$Q$20,15,FALSE)*$J82</f>
        <v>19.85023663309218</v>
      </c>
      <c r="AK82" s="706">
        <f t="shared" si="75"/>
        <v>698.14976336690779</v>
      </c>
      <c r="AL82" s="706">
        <f>IF($C82="other",(1-$C72)*AJ82,(1-(VLOOKUP($C82,'S3 - Screening Tool Metrics'!$C$3:$G$17,5,FALSE)/100))*AJ82)</f>
        <v>3.9700473266184351</v>
      </c>
      <c r="AM82" s="706">
        <f>IF($C82="other",$C72*AJ82,(VLOOKUP($C82,'S3 - Screening Tool Metrics'!$C$3:$G$17,5,FALSE)/100)*AJ82)</f>
        <v>15.880189306473746</v>
      </c>
      <c r="AN82" s="709">
        <f t="shared" si="69"/>
        <v>2.2117255301495464</v>
      </c>
    </row>
    <row r="83" spans="2:40" x14ac:dyDescent="0.15">
      <c r="B83" s="700" t="s">
        <v>13</v>
      </c>
      <c r="C83" s="721" t="str">
        <f>$C73</f>
        <v>Other</v>
      </c>
      <c r="D83" s="552" t="s">
        <v>202</v>
      </c>
      <c r="E83" s="710">
        <f>VLOOKUP($B83&amp;"_"&amp;$D83,'App5 - CRUK Inci Rates'!C:H,6,FALSE)</f>
        <v>0</v>
      </c>
      <c r="F83" s="711">
        <f>VLOOKUP($B83&amp;"_"&amp;$D83,'App5 - CRUK Inci Rates'!C:H,3,FALSE)</f>
        <v>30.729260202352247</v>
      </c>
      <c r="G83" s="712">
        <f>VLOOKUP($B83&amp;"_"&amp;$D83,'App5 - CRUK Inci Rates'!C:J,8,FALSE)</f>
        <v>4484325.333333334</v>
      </c>
      <c r="H83" s="713">
        <f>VLOOKUP($B83&amp;"_"&amp;$D83,'App5 - CRUK Inci Rates'!C:J,7,FALSE)</f>
        <v>0</v>
      </c>
      <c r="I83" s="713">
        <f>VLOOKUP($B83&amp;"_"&amp;$D83,'App5 - CRUK Inci Rates'!C:J,4,FALSE)</f>
        <v>4484325.333333334</v>
      </c>
      <c r="J83" s="709">
        <f>VLOOKUP($B83&amp;"_"&amp;$D83,'App5 - CRUK Inci Rates'!C:K,9,FALSE)</f>
        <v>1378</v>
      </c>
      <c r="K83" s="706">
        <f t="shared" si="70"/>
        <v>2242162.666666667</v>
      </c>
      <c r="L83" s="706">
        <f>VLOOKUP("*"&amp;$B83&amp;"*",'S4 - Summ PRS Characteristics'!$C$13:$Q$20,11,FALSE)*$J83</f>
        <v>908.12563908033155</v>
      </c>
      <c r="M83" s="706">
        <f t="shared" si="71"/>
        <v>469.87436091966845</v>
      </c>
      <c r="N83" s="706">
        <f>IF($C83="other",(1-$C$7)*L83,(1-(VLOOKUP($C83,'S3 - Screening Tool Metrics'!$C$3:$G$17,5,FALSE)/100))*L83)</f>
        <v>181.62512781606628</v>
      </c>
      <c r="O83" s="706">
        <f>IF($C83="other",$C$7*L83,(VLOOKUP($C83,'S3 - Screening Tool Metrics'!$C$3:$G$17,5,FALSE)/100)*L83)</f>
        <v>726.50051126426524</v>
      </c>
      <c r="P83" s="706">
        <f t="shared" si="72"/>
        <v>52.721372370411125</v>
      </c>
      <c r="Q83" s="707">
        <f t="shared" si="62"/>
        <v>896865.06666666688</v>
      </c>
      <c r="R83" s="706">
        <f>VLOOKUP("*"&amp;$B83&amp;"*",'S4 - Summ PRS Characteristics'!$C$13:$Q$20,12,FALSE)*$J83</f>
        <v>458.77646613659948</v>
      </c>
      <c r="S83" s="706">
        <f t="shared" si="73"/>
        <v>919.22353386340046</v>
      </c>
      <c r="T83" s="706">
        <f>IF($C83="other",(1-$C72)*R83,(1-(VLOOKUP($C83,'S3 - Screening Tool Metrics'!$C$3:$G$17,5,FALSE)/100))*R83)</f>
        <v>91.755293227319882</v>
      </c>
      <c r="U83" s="706">
        <f>IF($C83="other",$C72*R83,(VLOOKUP($C83,'S3 - Screening Tool Metrics'!$C$3:$G$17,5,FALSE)/100)*R83)</f>
        <v>367.02117290927958</v>
      </c>
      <c r="V83" s="706">
        <f t="shared" si="63"/>
        <v>26.634337656696633</v>
      </c>
      <c r="W83" s="707">
        <f t="shared" si="64"/>
        <v>448432.53333333344</v>
      </c>
      <c r="X83" s="706">
        <f>VLOOKUP("*"&amp;$B83&amp;"*",'S4 - Summ PRS Characteristics'!$C$13:$Q$20,13,FALSE)*$J83</f>
        <v>264.11728812489702</v>
      </c>
      <c r="Y83" s="706">
        <f t="shared" si="74"/>
        <v>1113.882711875103</v>
      </c>
      <c r="Z83" s="706">
        <f>IF($C83="other",(1-$C72)*X83,(1-(VLOOKUP($C83,'S3 - Screening Tool Metrics'!$C$3:$G$17,5,FALSE)/100))*X83)</f>
        <v>52.82345762497939</v>
      </c>
      <c r="AA83" s="706">
        <f>IF($C83="other",$C72*X83,(VLOOKUP($C83,'S3 - Screening Tool Metrics'!$C$3:$G$17,5,FALSE)/100)*X83)</f>
        <v>211.29383049991762</v>
      </c>
      <c r="AB83" s="709">
        <f t="shared" si="65"/>
        <v>15.333369412185604</v>
      </c>
      <c r="AC83" s="706">
        <f t="shared" si="66"/>
        <v>224216.26666666672</v>
      </c>
      <c r="AD83" s="706">
        <f>VLOOKUP("*"&amp;$B83&amp;"*",'S4 - Summ PRS Characteristics'!$C$13:$Q$20,14,FALSE)*$J83</f>
        <v>149.37791437543237</v>
      </c>
      <c r="AE83" s="706">
        <f t="shared" si="76"/>
        <v>1228.6220856245677</v>
      </c>
      <c r="AF83" s="706">
        <f>IF($C83="other",(1-$C72)*AD83,(1-(VLOOKUP($C83,'S3 - Screening Tool Metrics'!$C$3:$G$17,5,FALSE)/100))*AD83)</f>
        <v>29.875582875086469</v>
      </c>
      <c r="AG83" s="706">
        <f>IF($C83="other",$C72*AD83,(VLOOKUP($C83,'S3 - Screening Tool Metrics'!$C$3:$G$17,5,FALSE)/100)*AD83)</f>
        <v>119.5023315003459</v>
      </c>
      <c r="AH83" s="708">
        <f t="shared" si="67"/>
        <v>8.6721575834793843</v>
      </c>
      <c r="AI83" s="707">
        <f t="shared" si="68"/>
        <v>44843.253333333341</v>
      </c>
      <c r="AJ83" s="706">
        <f>VLOOKUP("*"&amp;$B83&amp;"*",'S4 - Summ PRS Characteristics'!$C$13:$Q$20,15,FALSE)*$J83</f>
        <v>38.096972256825936</v>
      </c>
      <c r="AK83" s="706">
        <f t="shared" si="75"/>
        <v>1339.9030277431741</v>
      </c>
      <c r="AL83" s="706">
        <f>IF($C83="other",(1-$C72)*AJ83,(1-(VLOOKUP($C83,'S3 - Screening Tool Metrics'!$C$3:$G$17,5,FALSE)/100))*AJ83)</f>
        <v>7.619394451365185</v>
      </c>
      <c r="AM83" s="706">
        <f>IF($C83="other",$C72*AJ83,(VLOOKUP($C83,'S3 - Screening Tool Metrics'!$C$3:$G$17,5,FALSE)/100)*AJ83)</f>
        <v>30.477577805460751</v>
      </c>
      <c r="AN83" s="709">
        <f t="shared" si="69"/>
        <v>2.2117255301495464</v>
      </c>
    </row>
    <row r="84" spans="2:40" x14ac:dyDescent="0.15">
      <c r="B84" s="700" t="s">
        <v>13</v>
      </c>
      <c r="C84" s="721" t="str">
        <f>$C73</f>
        <v>Other</v>
      </c>
      <c r="D84" s="552" t="s">
        <v>203</v>
      </c>
      <c r="E84" s="710">
        <f>VLOOKUP($B84&amp;"_"&amp;$D84,'App5 - CRUK Inci Rates'!C:H,6,FALSE)</f>
        <v>0</v>
      </c>
      <c r="F84" s="711">
        <f>VLOOKUP($B84&amp;"_"&amp;$D84,'App5 - CRUK Inci Rates'!C:H,3,FALSE)</f>
        <v>37.973643059568168</v>
      </c>
      <c r="G84" s="712">
        <f>VLOOKUP($B84&amp;"_"&amp;$D84,'App5 - CRUK Inci Rates'!C:J,8,FALSE)</f>
        <v>8126689.333333334</v>
      </c>
      <c r="H84" s="713">
        <f>VLOOKUP($B84&amp;"_"&amp;$D84,'App5 - CRUK Inci Rates'!C:J,7,FALSE)</f>
        <v>0</v>
      </c>
      <c r="I84" s="713">
        <f>VLOOKUP($B84&amp;"_"&amp;$D84,'App5 - CRUK Inci Rates'!C:J,4,FALSE)</f>
        <v>8126689.333333334</v>
      </c>
      <c r="J84" s="709">
        <f>VLOOKUP($B84&amp;"_"&amp;$D84,'App5 - CRUK Inci Rates'!C:K,9,FALSE)</f>
        <v>3086</v>
      </c>
      <c r="K84" s="706">
        <f t="shared" si="70"/>
        <v>4063344.666666667</v>
      </c>
      <c r="L84" s="706">
        <f>VLOOKUP("*"&amp;$B84&amp;"*",'S4 - Summ PRS Characteristics'!$C$13:$Q$20,11,FALSE)*$J84</f>
        <v>2033.7269391886089</v>
      </c>
      <c r="M84" s="706">
        <f t="shared" si="71"/>
        <v>1052.2730608113911</v>
      </c>
      <c r="N84" s="706">
        <f>IF($C84="other",(1-$C$7)*L84,(1-(VLOOKUP($C84,'S3 - Screening Tool Metrics'!$C$3:$G$17,5,FALSE)/100))*L84)</f>
        <v>406.74538783772169</v>
      </c>
      <c r="O84" s="706">
        <f>IF($C84="other",$C$7*L84,(VLOOKUP($C84,'S3 - Screening Tool Metrics'!$C$3:$G$17,5,FALSE)/100)*L84)</f>
        <v>1626.9815513508872</v>
      </c>
      <c r="P84" s="706">
        <f t="shared" si="72"/>
        <v>52.721372370411125</v>
      </c>
      <c r="Q84" s="707">
        <f t="shared" si="62"/>
        <v>1625337.8666666669</v>
      </c>
      <c r="R84" s="706">
        <f>VLOOKUP("*"&amp;$B84&amp;"*",'S4 - Summ PRS Characteristics'!$C$13:$Q$20,12,FALSE)*$J84</f>
        <v>1027.4195751070727</v>
      </c>
      <c r="S84" s="706">
        <f t="shared" si="73"/>
        <v>2058.5804248929271</v>
      </c>
      <c r="T84" s="706">
        <f>IF($C84="other",(1-$C72)*R84,(1-(VLOOKUP($C84,'S3 - Screening Tool Metrics'!$C$3:$G$17,5,FALSE)/100))*R84)</f>
        <v>205.48391502141448</v>
      </c>
      <c r="U84" s="706">
        <f>IF($C84="other",$C72*R84,(VLOOKUP($C84,'S3 - Screening Tool Metrics'!$C$3:$G$17,5,FALSE)/100)*R84)</f>
        <v>821.93566008565813</v>
      </c>
      <c r="V84" s="706">
        <f t="shared" si="63"/>
        <v>26.634337656696633</v>
      </c>
      <c r="W84" s="707">
        <f t="shared" si="64"/>
        <v>812668.93333333347</v>
      </c>
      <c r="X84" s="706">
        <f>VLOOKUP("*"&amp;$B84&amp;"*",'S4 - Summ PRS Characteristics'!$C$13:$Q$20,13,FALSE)*$J84</f>
        <v>591.4847250750596</v>
      </c>
      <c r="Y84" s="706">
        <f t="shared" si="74"/>
        <v>2494.5152749249405</v>
      </c>
      <c r="Z84" s="706">
        <f>IF($C84="other",(1-$C72)*X84,(1-(VLOOKUP($C84,'S3 - Screening Tool Metrics'!$C$3:$G$17,5,FALSE)/100))*X84)</f>
        <v>118.2969450150119</v>
      </c>
      <c r="AA84" s="706">
        <f>IF($C84="other",$C72*X84,(VLOOKUP($C84,'S3 - Screening Tool Metrics'!$C$3:$G$17,5,FALSE)/100)*X84)</f>
        <v>473.18778006004771</v>
      </c>
      <c r="AB84" s="709">
        <f t="shared" si="65"/>
        <v>15.333369412185604</v>
      </c>
      <c r="AC84" s="706">
        <f t="shared" si="66"/>
        <v>406334.46666666673</v>
      </c>
      <c r="AD84" s="706">
        <f>VLOOKUP("*"&amp;$B84&amp;"*",'S4 - Summ PRS Characteristics'!$C$13:$Q$20,14,FALSE)*$J84</f>
        <v>334.52847878271717</v>
      </c>
      <c r="AE84" s="706">
        <f t="shared" si="76"/>
        <v>2751.4715212172828</v>
      </c>
      <c r="AF84" s="706">
        <f>IF($C84="other",(1-$C72)*AD84,(1-(VLOOKUP($C84,'S3 - Screening Tool Metrics'!$C$3:$G$17,5,FALSE)/100))*AD84)</f>
        <v>66.905695756543423</v>
      </c>
      <c r="AG84" s="706">
        <f>IF($C84="other",$C72*AD84,(VLOOKUP($C84,'S3 - Screening Tool Metrics'!$C$3:$G$17,5,FALSE)/100)*AD84)</f>
        <v>267.62278302617375</v>
      </c>
      <c r="AH84" s="708">
        <f t="shared" si="67"/>
        <v>8.6721575834793825</v>
      </c>
      <c r="AI84" s="707">
        <f t="shared" si="68"/>
        <v>81266.893333333341</v>
      </c>
      <c r="AJ84" s="706">
        <f>VLOOKUP("*"&amp;$B84&amp;"*",'S4 - Summ PRS Characteristics'!$C$13:$Q$20,15,FALSE)*$J84</f>
        <v>85.317312325518756</v>
      </c>
      <c r="AK84" s="706">
        <f t="shared" si="75"/>
        <v>3000.6826876744813</v>
      </c>
      <c r="AL84" s="706">
        <f>IF($C84="other",(1-$C72)*AJ84,(1-(VLOOKUP($C84,'S3 - Screening Tool Metrics'!$C$3:$G$17,5,FALSE)/100))*AJ84)</f>
        <v>17.063462465103747</v>
      </c>
      <c r="AM84" s="706">
        <f>IF($C84="other",$C72*AJ84,(VLOOKUP($C84,'S3 - Screening Tool Metrics'!$C$3:$G$17,5,FALSE)/100)*AJ84)</f>
        <v>68.253849860415002</v>
      </c>
      <c r="AN84" s="709">
        <f t="shared" si="69"/>
        <v>2.2117255301495464</v>
      </c>
    </row>
    <row r="85" spans="2:40" x14ac:dyDescent="0.15">
      <c r="B85" s="700" t="s">
        <v>13</v>
      </c>
      <c r="C85" s="721" t="str">
        <f>$C74</f>
        <v>Other</v>
      </c>
      <c r="D85" s="552" t="s">
        <v>292</v>
      </c>
      <c r="E85" s="710">
        <f>VLOOKUP($B85&amp;"_"&amp;$D85,'App5 - CRUK Inci Rates'!C:H,6,FALSE)</f>
        <v>0</v>
      </c>
      <c r="F85" s="711">
        <f>VLOOKUP($B85&amp;"_"&amp;$D85,'App5 - CRUK Inci Rates'!C:H,3,FALSE)</f>
        <v>51.143985282427074</v>
      </c>
      <c r="G85" s="712">
        <f>VLOOKUP($B85&amp;"_"&amp;$D85,'App5 - CRUK Inci Rates'!C:J,8,FALSE)</f>
        <v>5245973.666666667</v>
      </c>
      <c r="H85" s="713">
        <f>VLOOKUP($B85&amp;"_"&amp;$D85,'App5 - CRUK Inci Rates'!C:J,7,FALSE)</f>
        <v>0</v>
      </c>
      <c r="I85" s="713">
        <f>VLOOKUP($B85&amp;"_"&amp;$D85,'App5 - CRUK Inci Rates'!C:J,4,FALSE)</f>
        <v>5245973.666666667</v>
      </c>
      <c r="J85" s="709">
        <f>VLOOKUP($B85&amp;"_"&amp;$D85,'App5 - CRUK Inci Rates'!C:K,9,FALSE)</f>
        <v>2683</v>
      </c>
      <c r="K85" s="706">
        <f t="shared" si="70"/>
        <v>2622986.8333333335</v>
      </c>
      <c r="L85" s="706">
        <f>VLOOKUP("*"&amp;$B85&amp;"*",'S4 - Summ PRS Characteristics'!$C$13:$Q$20,11,FALSE)*$J85</f>
        <v>1768.143025872663</v>
      </c>
      <c r="M85" s="706">
        <f t="shared" si="71"/>
        <v>914.85697412733703</v>
      </c>
      <c r="N85" s="706">
        <f>IF($C85="other",(1-$C$7)*L85,(1-(VLOOKUP($C85,'S3 - Screening Tool Metrics'!$C$3:$G$17,5,FALSE)/100))*L85)</f>
        <v>353.62860517453254</v>
      </c>
      <c r="O85" s="706">
        <f>IF($C85="other",$C$7*L85,(VLOOKUP($C85,'S3 - Screening Tool Metrics'!$C$3:$G$17,5,FALSE)/100)*L85)</f>
        <v>1414.5144206981304</v>
      </c>
      <c r="P85" s="706">
        <f t="shared" si="72"/>
        <v>52.721372370411125</v>
      </c>
      <c r="Q85" s="707">
        <f t="shared" si="62"/>
        <v>1049194.7333333334</v>
      </c>
      <c r="R85" s="706">
        <f>VLOOKUP("*"&amp;$B85&amp;"*",'S4 - Summ PRS Characteristics'!$C$13:$Q$20,12,FALSE)*$J85</f>
        <v>893.24909916146328</v>
      </c>
      <c r="S85" s="706">
        <f t="shared" si="73"/>
        <v>1789.7509008385368</v>
      </c>
      <c r="T85" s="706">
        <f>IF($C85="other",(1-$C72)*R85,(1-(VLOOKUP($C85,'S3 - Screening Tool Metrics'!$C$3:$G$17,5,FALSE)/100))*R85)</f>
        <v>178.64981983229262</v>
      </c>
      <c r="U85" s="706">
        <f>IF($C85="other",$C72*R85,(VLOOKUP($C85,'S3 - Screening Tool Metrics'!$C$3:$G$17,5,FALSE)/100)*R85)</f>
        <v>714.59927932917071</v>
      </c>
      <c r="V85" s="706">
        <f t="shared" si="63"/>
        <v>26.634337656696633</v>
      </c>
      <c r="W85" s="707">
        <f t="shared" si="64"/>
        <v>524597.3666666667</v>
      </c>
      <c r="X85" s="706">
        <f>VLOOKUP("*"&amp;$B85&amp;"*",'S4 - Summ PRS Characteristics'!$C$13:$Q$20,13,FALSE)*$J85</f>
        <v>514.24287666117459</v>
      </c>
      <c r="Y85" s="706">
        <f t="shared" si="74"/>
        <v>2168.7571233388253</v>
      </c>
      <c r="Z85" s="706">
        <f>IF($C85="other",(1-$C72)*X85,(1-(VLOOKUP($C85,'S3 - Screening Tool Metrics'!$C$3:$G$17,5,FALSE)/100))*X85)</f>
        <v>102.8485753322349</v>
      </c>
      <c r="AA85" s="706">
        <f>IF($C85="other",$C72*X85,(VLOOKUP($C85,'S3 - Screening Tool Metrics'!$C$3:$G$17,5,FALSE)/100)*X85)</f>
        <v>411.39430132893972</v>
      </c>
      <c r="AB85" s="709">
        <f t="shared" si="65"/>
        <v>15.333369412185602</v>
      </c>
      <c r="AC85" s="706">
        <f t="shared" si="66"/>
        <v>262298.68333333335</v>
      </c>
      <c r="AD85" s="706">
        <f>VLOOKUP("*"&amp;$B85&amp;"*",'S4 - Summ PRS Characteristics'!$C$13:$Q$20,14,FALSE)*$J85</f>
        <v>290.84248495593982</v>
      </c>
      <c r="AE85" s="706">
        <f t="shared" si="76"/>
        <v>2392.1575150440603</v>
      </c>
      <c r="AF85" s="706">
        <f>IF($C85="other",(1-$C72)*AD85,(1-(VLOOKUP($C85,'S3 - Screening Tool Metrics'!$C$3:$G$17,5,FALSE)/100))*AD85)</f>
        <v>58.168496991187951</v>
      </c>
      <c r="AG85" s="706">
        <f>IF($C85="other",$C72*AD85,(VLOOKUP($C85,'S3 - Screening Tool Metrics'!$C$3:$G$17,5,FALSE)/100)*AD85)</f>
        <v>232.67398796475186</v>
      </c>
      <c r="AH85" s="708">
        <f t="shared" si="67"/>
        <v>8.6721575834793843</v>
      </c>
      <c r="AI85" s="707">
        <f t="shared" si="68"/>
        <v>52459.736666666671</v>
      </c>
      <c r="AJ85" s="706">
        <f>VLOOKUP("*"&amp;$B85&amp;"*",'S4 - Summ PRS Characteristics'!$C$13:$Q$20,15,FALSE)*$J85</f>
        <v>74.175744967390415</v>
      </c>
      <c r="AK85" s="706">
        <f t="shared" si="75"/>
        <v>2608.8242550326095</v>
      </c>
      <c r="AL85" s="706">
        <f>IF($C85="other",(1-$C72)*AJ85,(1-(VLOOKUP($C85,'S3 - Screening Tool Metrics'!$C$3:$G$17,5,FALSE)/100))*AJ85)</f>
        <v>14.83514899347808</v>
      </c>
      <c r="AM85" s="706">
        <f>IF($C85="other",$C72*AJ85,(VLOOKUP($C85,'S3 - Screening Tool Metrics'!$C$3:$G$17,5,FALSE)/100)*AJ85)</f>
        <v>59.340595973912336</v>
      </c>
      <c r="AN85" s="709">
        <f t="shared" si="69"/>
        <v>2.2117255301495464</v>
      </c>
    </row>
    <row r="86" spans="2:40" x14ac:dyDescent="0.15">
      <c r="B86" s="700" t="s">
        <v>13</v>
      </c>
      <c r="C86" s="721" t="str">
        <f>$C73</f>
        <v>Other</v>
      </c>
      <c r="D86" s="552" t="s">
        <v>204</v>
      </c>
      <c r="E86" s="710">
        <f>VLOOKUP($B86&amp;"_"&amp;$D86,'App5 - CRUK Inci Rates'!C:H,6,FALSE)</f>
        <v>0</v>
      </c>
      <c r="F86" s="711">
        <f>VLOOKUP($B86&amp;"_"&amp;$D86,'App5 - CRUK Inci Rates'!C:H,3,FALSE)</f>
        <v>36.978998402462771</v>
      </c>
      <c r="G86" s="712">
        <f>VLOOKUP($B86&amp;"_"&amp;$D86,'App5 - CRUK Inci Rates'!C:J,8,FALSE)</f>
        <v>15281647</v>
      </c>
      <c r="H86" s="713">
        <f>VLOOKUP($B86&amp;"_"&amp;$D86,'App5 - CRUK Inci Rates'!C:J,7,FALSE)</f>
        <v>0</v>
      </c>
      <c r="I86" s="713">
        <f>VLOOKUP($B86&amp;"_"&amp;$D86,'App5 - CRUK Inci Rates'!C:J,4,FALSE)</f>
        <v>15281647</v>
      </c>
      <c r="J86" s="709">
        <f>VLOOKUP($B86&amp;"_"&amp;$D86,'App5 - CRUK Inci Rates'!C:K,9,FALSE)</f>
        <v>5651</v>
      </c>
      <c r="K86" s="706">
        <f t="shared" si="70"/>
        <v>7640823.5</v>
      </c>
      <c r="L86" s="706">
        <f>VLOOKUP("*"&amp;$B86&amp;"*",'S4 - Summ PRS Characteristics'!$C$13:$Q$20,11,FALSE)*$J86</f>
        <v>3724.1059408149154</v>
      </c>
      <c r="M86" s="706">
        <f t="shared" si="71"/>
        <v>1926.8940591850846</v>
      </c>
      <c r="N86" s="706">
        <f>IF($C86="other",(1-$C$7)*L86,(1-(VLOOKUP($C86,'S3 - Screening Tool Metrics'!$C$3:$G$17,5,FALSE)/100))*L86)</f>
        <v>744.82118816298293</v>
      </c>
      <c r="O86" s="706">
        <f>IF($C86="other",$C$7*L86,(VLOOKUP($C86,'S3 - Screening Tool Metrics'!$C$3:$G$17,5,FALSE)/100)*L86)</f>
        <v>2979.2847526519326</v>
      </c>
      <c r="P86" s="706">
        <f t="shared" si="72"/>
        <v>52.721372370411125</v>
      </c>
      <c r="Q86" s="707">
        <f t="shared" si="62"/>
        <v>3056329.4000000004</v>
      </c>
      <c r="R86" s="706">
        <f>VLOOKUP("*"&amp;$B86&amp;"*",'S4 - Summ PRS Characteristics'!$C$13:$Q$20,12,FALSE)*$J86</f>
        <v>1881.3830262249082</v>
      </c>
      <c r="S86" s="706">
        <f t="shared" si="73"/>
        <v>3769.6169737750915</v>
      </c>
      <c r="T86" s="706">
        <f>IF($C86="other",(1-$C72)*R86,(1-(VLOOKUP($C86,'S3 - Screening Tool Metrics'!$C$3:$G$17,5,FALSE)/100))*R86)</f>
        <v>376.27660524498157</v>
      </c>
      <c r="U86" s="706">
        <f>IF($C86="other",$C72*R86,(VLOOKUP($C86,'S3 - Screening Tool Metrics'!$C$3:$G$17,5,FALSE)/100)*R86)</f>
        <v>1505.1064209799267</v>
      </c>
      <c r="V86" s="706">
        <f t="shared" si="63"/>
        <v>26.634337656696633</v>
      </c>
      <c r="W86" s="707">
        <f t="shared" si="64"/>
        <v>1528164.7000000002</v>
      </c>
      <c r="X86" s="706">
        <f>VLOOKUP("*"&amp;$B86&amp;"*",'S4 - Summ PRS Characteristics'!$C$13:$Q$20,13,FALSE)*$J86</f>
        <v>1083.1108818532605</v>
      </c>
      <c r="Y86" s="706">
        <f t="shared" si="74"/>
        <v>4567.8891181467397</v>
      </c>
      <c r="Z86" s="706">
        <f>IF($C86="other",(1-$C72)*X86,(1-(VLOOKUP($C86,'S3 - Screening Tool Metrics'!$C$3:$G$17,5,FALSE)/100))*X86)</f>
        <v>216.62217637065206</v>
      </c>
      <c r="AA86" s="706">
        <f>IF($C86="other",$C72*X86,(VLOOKUP($C86,'S3 - Screening Tool Metrics'!$C$3:$G$17,5,FALSE)/100)*X86)</f>
        <v>866.48870548260845</v>
      </c>
      <c r="AB86" s="709">
        <f t="shared" si="65"/>
        <v>15.333369412185604</v>
      </c>
      <c r="AC86" s="706">
        <f t="shared" si="66"/>
        <v>764082.35000000009</v>
      </c>
      <c r="AD86" s="706">
        <f>VLOOKUP("*"&amp;$B86&amp;"*",'S4 - Summ PRS Characteristics'!$C$13:$Q$20,14,FALSE)*$J86</f>
        <v>612.57953130302496</v>
      </c>
      <c r="AE86" s="706">
        <f t="shared" si="76"/>
        <v>5038.4204686969751</v>
      </c>
      <c r="AF86" s="706">
        <f>IF($C86="other",(1-$C72)*AD86,(1-(VLOOKUP($C86,'S3 - Screening Tool Metrics'!$C$3:$G$17,5,FALSE)/100))*AD86)</f>
        <v>122.51590626060496</v>
      </c>
      <c r="AG86" s="706">
        <f>IF($C86="other",$C72*AD86,(VLOOKUP($C86,'S3 - Screening Tool Metrics'!$C$3:$G$17,5,FALSE)/100)*AD86)</f>
        <v>490.06362504241997</v>
      </c>
      <c r="AH86" s="708">
        <f t="shared" si="67"/>
        <v>8.6721575834793843</v>
      </c>
      <c r="AI86" s="707">
        <f t="shared" si="68"/>
        <v>152816.47</v>
      </c>
      <c r="AJ86" s="706">
        <f>VLOOKUP("*"&amp;$B86&amp;"*",'S4 - Summ PRS Characteristics'!$C$13:$Q$20,15,FALSE)*$J86</f>
        <v>156.23076213593859</v>
      </c>
      <c r="AK86" s="706">
        <f t="shared" si="75"/>
        <v>5494.7692378640613</v>
      </c>
      <c r="AL86" s="706">
        <f>IF($C86="other",(1-$C72)*AJ86,(1-(VLOOKUP($C86,'S3 - Screening Tool Metrics'!$C$3:$G$17,5,FALSE)/100))*AJ86)</f>
        <v>31.24615242718771</v>
      </c>
      <c r="AM86" s="706">
        <f>IF($C86="other",$C72*AJ86,(VLOOKUP($C86,'S3 - Screening Tool Metrics'!$C$3:$G$17,5,FALSE)/100)*AJ86)</f>
        <v>124.98460970875088</v>
      </c>
      <c r="AN86" s="709">
        <f t="shared" si="69"/>
        <v>2.2117255301495464</v>
      </c>
    </row>
    <row r="87" spans="2:40" ht="14" thickBot="1" x14ac:dyDescent="0.2">
      <c r="B87" s="700" t="s">
        <v>13</v>
      </c>
      <c r="C87" s="721"/>
      <c r="D87" s="552" t="s">
        <v>205</v>
      </c>
      <c r="E87" s="710">
        <f>VLOOKUP($B87&amp;"_"&amp;$D87,'App5 - CRUK Inci Rates'!C:H,6,FALSE)</f>
        <v>0</v>
      </c>
      <c r="F87" s="711">
        <f>VLOOKUP($B87&amp;"_"&amp;$D87,'App5 - CRUK Inci Rates'!C:H,3,FALSE)</f>
        <v>22.8</v>
      </c>
      <c r="G87" s="712">
        <f>VLOOKUP($B87&amp;"_"&amp;$D87,'App5 - CRUK Inci Rates'!C:J,8,FALSE)</f>
        <v>33458051.999999996</v>
      </c>
      <c r="H87" s="713">
        <f>VLOOKUP($B87&amp;"_"&amp;$D87,'App5 - CRUK Inci Rates'!C:J,7,FALSE)</f>
        <v>0</v>
      </c>
      <c r="I87" s="713">
        <f>VLOOKUP($B87&amp;"_"&amp;$D87,'App5 - CRUK Inci Rates'!C:J,4,FALSE)</f>
        <v>33458051.999999996</v>
      </c>
      <c r="J87" s="709">
        <f>VLOOKUP($B87&amp;"_"&amp;$D87,'App5 - CRUK Inci Rates'!C:K,9,FALSE)</f>
        <v>7495</v>
      </c>
      <c r="K87" s="716"/>
      <c r="L87" s="716"/>
      <c r="M87" s="716"/>
      <c r="N87" s="716"/>
      <c r="O87" s="716"/>
      <c r="P87" s="716"/>
      <c r="Q87" s="715"/>
      <c r="R87" s="716"/>
      <c r="S87" s="716"/>
      <c r="T87" s="716"/>
      <c r="U87" s="716"/>
      <c r="V87" s="716"/>
      <c r="W87" s="715"/>
      <c r="X87" s="716"/>
      <c r="Y87" s="716"/>
      <c r="Z87" s="716"/>
      <c r="AA87" s="716"/>
      <c r="AB87" s="718"/>
      <c r="AC87" s="716"/>
      <c r="AD87" s="716"/>
      <c r="AE87" s="716"/>
      <c r="AF87" s="716"/>
      <c r="AG87" s="716"/>
      <c r="AH87" s="717"/>
      <c r="AI87" s="715"/>
      <c r="AJ87" s="716"/>
      <c r="AK87" s="716"/>
      <c r="AL87" s="716"/>
      <c r="AM87" s="716"/>
      <c r="AN87" s="718"/>
    </row>
    <row r="88" spans="2:40" ht="21" customHeight="1" thickBot="1" x14ac:dyDescent="0.2">
      <c r="B88" s="686" t="s">
        <v>14</v>
      </c>
      <c r="C88" s="687">
        <v>0.8</v>
      </c>
      <c r="D88" s="688"/>
      <c r="E88" s="689"/>
      <c r="F88" s="690"/>
      <c r="G88" s="691"/>
      <c r="H88" s="692"/>
      <c r="I88" s="692"/>
      <c r="J88" s="693"/>
      <c r="K88" s="694"/>
      <c r="L88" s="694"/>
      <c r="M88" s="694"/>
      <c r="N88" s="694"/>
      <c r="O88" s="694"/>
      <c r="P88" s="694"/>
      <c r="Q88" s="695"/>
      <c r="R88" s="696"/>
      <c r="S88" s="696"/>
      <c r="T88" s="696"/>
      <c r="U88" s="696"/>
      <c r="V88" s="696"/>
      <c r="W88" s="695"/>
      <c r="X88" s="696"/>
      <c r="Y88" s="696"/>
      <c r="Z88" s="696"/>
      <c r="AA88" s="696"/>
      <c r="AB88" s="699"/>
      <c r="AC88" s="696"/>
      <c r="AD88" s="696"/>
      <c r="AE88" s="696"/>
      <c r="AF88" s="696"/>
      <c r="AG88" s="696"/>
      <c r="AH88" s="697"/>
      <c r="AI88" s="695"/>
      <c r="AJ88" s="696"/>
      <c r="AK88" s="696"/>
      <c r="AL88" s="696"/>
      <c r="AM88" s="696"/>
      <c r="AN88" s="699"/>
    </row>
    <row r="89" spans="2:40" x14ac:dyDescent="0.15">
      <c r="B89" s="700" t="s">
        <v>14</v>
      </c>
      <c r="C89" s="741" t="s">
        <v>180</v>
      </c>
      <c r="D89" s="593" t="s">
        <v>192</v>
      </c>
      <c r="E89" s="701">
        <f>VLOOKUP($B89&amp;"_"&amp;$D89,'App5 - CRUK Inci Rates'!C:H,6,FALSE)</f>
        <v>10.1</v>
      </c>
      <c r="F89" s="702">
        <f>VLOOKUP($B89&amp;"_"&amp;$D89,'App5 - CRUK Inci Rates'!C:H,3,FALSE)</f>
        <v>5</v>
      </c>
      <c r="G89" s="703">
        <f>VLOOKUP($B89&amp;"_"&amp;$D89,'App5 - CRUK Inci Rates'!C:J,8,FALSE)</f>
        <v>4075608</v>
      </c>
      <c r="H89" s="704">
        <f>VLOOKUP($B89&amp;"_"&amp;$D89,'App5 - CRUK Inci Rates'!C:J,7,FALSE)</f>
        <v>2021384.6666666667</v>
      </c>
      <c r="I89" s="704">
        <f>VLOOKUP($B89&amp;"_"&amp;$D89,'App5 - CRUK Inci Rates'!C:J,4,FALSE)</f>
        <v>2054223.3333333333</v>
      </c>
      <c r="J89" s="705">
        <f>VLOOKUP($B89&amp;"_"&amp;$D89,'App5 - CRUK Inci Rates'!C:K,9,FALSE)</f>
        <v>307</v>
      </c>
      <c r="K89" s="706">
        <f t="shared" si="70"/>
        <v>2037804</v>
      </c>
      <c r="L89" s="706">
        <f>VLOOKUP("*"&amp;$B89&amp;"*",'S4 - Summ PRS Characteristics'!$C$13:$Q$20,11,FALSE)*$J89</f>
        <v>215.0582802054999</v>
      </c>
      <c r="M89" s="706">
        <f t="shared" si="71"/>
        <v>91.941719794500102</v>
      </c>
      <c r="N89" s="706">
        <f>IF($C89="other",(1-$C$7)*L89,(1-(VLOOKUP($C89,'S3 - Screening Tool Metrics'!$C$3:$G$17,5,FALSE)/100))*L89)</f>
        <v>43.011656041099968</v>
      </c>
      <c r="O89" s="706">
        <f>IF($C89="other",$C$7*L89,(VLOOKUP($C89,'S3 - Screening Tool Metrics'!$C$3:$G$17,5,FALSE)/100)*L89)</f>
        <v>172.04662416439993</v>
      </c>
      <c r="P89" s="706">
        <f t="shared" si="72"/>
        <v>56.041245656156327</v>
      </c>
      <c r="Q89" s="707">
        <f t="shared" ref="Q89:Q102" si="77">$G89*Q$3</f>
        <v>815121.60000000009</v>
      </c>
      <c r="R89" s="706">
        <f>VLOOKUP("*"&amp;$B89&amp;"*",'S4 - Summ PRS Characteristics'!$C$13:$Q$20,12,FALSE)*$J89</f>
        <v>115.46299255600569</v>
      </c>
      <c r="S89" s="706">
        <f>$J89-R89</f>
        <v>191.5370074439943</v>
      </c>
      <c r="T89" s="706">
        <f>IF($C89="other",(1-$C88)*R89,(1-(VLOOKUP($C89,'S3 - Screening Tool Metrics'!$C$3:$G$17,5,FALSE)/100))*R89)</f>
        <v>23.092598511201132</v>
      </c>
      <c r="U89" s="706">
        <f>IF($C89="other",$C88*R89,(VLOOKUP($C89,'S3 - Screening Tool Metrics'!$C$3:$G$17,5,FALSE)/100)*R89)</f>
        <v>92.370394044804556</v>
      </c>
      <c r="V89" s="706">
        <f t="shared" ref="V89:V102" si="78">U89/J89*100</f>
        <v>30.088076236092686</v>
      </c>
      <c r="W89" s="707">
        <f t="shared" ref="W89:W102" si="79">$G89*W$3</f>
        <v>407560.80000000005</v>
      </c>
      <c r="X89" s="706">
        <f>VLOOKUP("*"&amp;$B89&amp;"*",'S4 - Summ PRS Characteristics'!$C$13:$Q$20,13,FALSE)*$J89</f>
        <v>69.051743224744769</v>
      </c>
      <c r="Y89" s="706">
        <f>$J89-X89</f>
        <v>237.94825677525523</v>
      </c>
      <c r="Z89" s="706">
        <f>IF($C89="other",(1-$C88)*X89,(1-(VLOOKUP($C89,'S3 - Screening Tool Metrics'!$C$3:$G$17,5,FALSE)/100))*X89)</f>
        <v>13.810348644948951</v>
      </c>
      <c r="AA89" s="706">
        <f>IF($C89="other",$C88*X89,(VLOOKUP($C89,'S3 - Screening Tool Metrics'!$C$3:$G$17,5,FALSE)/100)*X89)</f>
        <v>55.241394579795816</v>
      </c>
      <c r="AB89" s="709">
        <f t="shared" ref="AB89:AB102" si="80">$AA89/$J89*100</f>
        <v>17.993939602539356</v>
      </c>
      <c r="AC89" s="706">
        <f t="shared" ref="AC89:AC102" si="81">$G89*AC$3</f>
        <v>203780.40000000002</v>
      </c>
      <c r="AD89" s="706">
        <f>VLOOKUP("*"&amp;$B89&amp;"*",'S4 - Summ PRS Characteristics'!$C$13:$Q$20,14,FALSE)*$J89</f>
        <v>40.393995449018064</v>
      </c>
      <c r="AE89" s="706">
        <f>$J89-AD89</f>
        <v>266.60600455098194</v>
      </c>
      <c r="AF89" s="706">
        <f>IF($C89="other",(1-$C88)*AD89,(1-(VLOOKUP($C89,'S3 - Screening Tool Metrics'!$C$3:$G$17,5,FALSE)/100))*AD89)</f>
        <v>8.0787990898036117</v>
      </c>
      <c r="AG89" s="706">
        <f>IF($C89="other",$C88*AD89,(VLOOKUP($C89,'S3 - Screening Tool Metrics'!$C$3:$G$17,5,FALSE)/100)*AD89)</f>
        <v>32.315196359214454</v>
      </c>
      <c r="AH89" s="708">
        <f t="shared" ref="AH89:AH102" si="82">$AG89/$J89*100</f>
        <v>10.526122592577998</v>
      </c>
      <c r="AI89" s="707">
        <f t="shared" ref="AI89:AI102" si="83">$G89*AI$3</f>
        <v>40756.080000000002</v>
      </c>
      <c r="AJ89" s="706">
        <f>VLOOKUP("*"&amp;$B89&amp;"*",'S4 - Summ PRS Characteristics'!$C$13:$Q$20,15,FALSE)*$J89</f>
        <v>11.019367601762657</v>
      </c>
      <c r="AK89" s="706">
        <f>$J89-AJ89</f>
        <v>295.98063239823733</v>
      </c>
      <c r="AL89" s="706">
        <f>IF($C89="other",(1-$C88)*AJ89,(1-(VLOOKUP($C89,'S3 - Screening Tool Metrics'!$C$3:$G$17,5,FALSE)/100))*AJ89)</f>
        <v>2.2038735203525306</v>
      </c>
      <c r="AM89" s="706">
        <f>IF($C89="other",$C88*AJ89,(VLOOKUP($C89,'S3 - Screening Tool Metrics'!$C$3:$G$17,5,FALSE)/100)*AJ89)</f>
        <v>8.8154940814101259</v>
      </c>
      <c r="AN89" s="709">
        <f t="shared" ref="AN89:AN102" si="84">$AM89/$J89*100</f>
        <v>2.871496443456067</v>
      </c>
    </row>
    <row r="90" spans="2:40" x14ac:dyDescent="0.15">
      <c r="B90" s="700" t="s">
        <v>14</v>
      </c>
      <c r="C90" s="721" t="str">
        <f>$C89</f>
        <v>Other</v>
      </c>
      <c r="D90" s="552" t="s">
        <v>193</v>
      </c>
      <c r="E90" s="710">
        <f>VLOOKUP($B90&amp;"_"&amp;$D90,'App5 - CRUK Inci Rates'!C:H,6,FALSE)</f>
        <v>17.7</v>
      </c>
      <c r="F90" s="711">
        <f>VLOOKUP($B90&amp;"_"&amp;$D90,'App5 - CRUK Inci Rates'!C:H,3,FALSE)</f>
        <v>7.8</v>
      </c>
      <c r="G90" s="712">
        <f>VLOOKUP($B90&amp;"_"&amp;$D90,'App5 - CRUK Inci Rates'!C:J,8,FALSE)</f>
        <v>4567159.333333334</v>
      </c>
      <c r="H90" s="713">
        <f>VLOOKUP($B90&amp;"_"&amp;$D90,'App5 - CRUK Inci Rates'!C:J,7,FALSE)</f>
        <v>2251680</v>
      </c>
      <c r="I90" s="713">
        <f>VLOOKUP($B90&amp;"_"&amp;$D90,'App5 - CRUK Inci Rates'!C:J,4,FALSE)</f>
        <v>2315479.3333333335</v>
      </c>
      <c r="J90" s="709">
        <f>VLOOKUP($B90&amp;"_"&amp;$D90,'App5 - CRUK Inci Rates'!C:K,9,FALSE)</f>
        <v>580</v>
      </c>
      <c r="K90" s="706">
        <f t="shared" si="70"/>
        <v>2283579.666666667</v>
      </c>
      <c r="L90" s="706">
        <f>VLOOKUP("*"&amp;$B90&amp;"*",'S4 - Summ PRS Characteristics'!$C$13:$Q$20,11,FALSE)*$J90</f>
        <v>406.29903100713335</v>
      </c>
      <c r="M90" s="706">
        <f t="shared" si="71"/>
        <v>173.70096899286665</v>
      </c>
      <c r="N90" s="706">
        <f>IF($C90="other",(1-$C$7)*L90,(1-(VLOOKUP($C90,'S3 - Screening Tool Metrics'!$C$3:$G$17,5,FALSE)/100))*L90)</f>
        <v>81.259806201426656</v>
      </c>
      <c r="O90" s="706">
        <f>IF($C90="other",$C$7*L90,(VLOOKUP($C90,'S3 - Screening Tool Metrics'!$C$3:$G$17,5,FALSE)/100)*L90)</f>
        <v>325.03922480570668</v>
      </c>
      <c r="P90" s="706">
        <f t="shared" si="72"/>
        <v>56.041245656156327</v>
      </c>
      <c r="Q90" s="707">
        <f t="shared" si="77"/>
        <v>913431.86666666681</v>
      </c>
      <c r="R90" s="706">
        <f>VLOOKUP("*"&amp;$B90&amp;"*",'S4 - Summ PRS Characteristics'!$C$13:$Q$20,12,FALSE)*$J90</f>
        <v>218.13855271167199</v>
      </c>
      <c r="S90" s="706">
        <f t="shared" ref="S90:S102" si="85">$J90-R90</f>
        <v>361.86144728832801</v>
      </c>
      <c r="T90" s="706">
        <f>IF($C90="other",(1-$C88)*R90,(1-(VLOOKUP($C90,'S3 - Screening Tool Metrics'!$C$3:$G$17,5,FALSE)/100))*R90)</f>
        <v>43.627710542334391</v>
      </c>
      <c r="U90" s="706">
        <f>IF($C90="other",$C88*R90,(VLOOKUP($C90,'S3 - Screening Tool Metrics'!$C$3:$G$17,5,FALSE)/100)*R90)</f>
        <v>174.51084216933759</v>
      </c>
      <c r="V90" s="706">
        <f t="shared" si="78"/>
        <v>30.088076236092686</v>
      </c>
      <c r="W90" s="707">
        <f t="shared" si="79"/>
        <v>456715.93333333341</v>
      </c>
      <c r="X90" s="706">
        <f>VLOOKUP("*"&amp;$B90&amp;"*",'S4 - Summ PRS Characteristics'!$C$13:$Q$20,13,FALSE)*$J90</f>
        <v>130.45606211841033</v>
      </c>
      <c r="Y90" s="706">
        <f t="shared" ref="Y90:Y102" si="86">$J90-X90</f>
        <v>449.54393788158967</v>
      </c>
      <c r="Z90" s="706">
        <f>IF($C90="other",(1-$C88)*X90,(1-(VLOOKUP($C90,'S3 - Screening Tool Metrics'!$C$3:$G$17,5,FALSE)/100))*X90)</f>
        <v>26.091212423682059</v>
      </c>
      <c r="AA90" s="706">
        <f>IF($C90="other",$C88*X90,(VLOOKUP($C90,'S3 - Screening Tool Metrics'!$C$3:$G$17,5,FALSE)/100)*X90)</f>
        <v>104.36484969472826</v>
      </c>
      <c r="AB90" s="709">
        <f t="shared" si="80"/>
        <v>17.993939602539356</v>
      </c>
      <c r="AC90" s="706">
        <f t="shared" si="81"/>
        <v>228357.9666666667</v>
      </c>
      <c r="AD90" s="706">
        <f>VLOOKUP("*"&amp;$B90&amp;"*",'S4 - Summ PRS Characteristics'!$C$13:$Q$20,14,FALSE)*$J90</f>
        <v>76.314388796190485</v>
      </c>
      <c r="AE90" s="706">
        <f>$J90-AD90</f>
        <v>503.68561120380951</v>
      </c>
      <c r="AF90" s="706">
        <f>IF($C90="other",(1-$C88)*AD90,(1-(VLOOKUP($C90,'S3 - Screening Tool Metrics'!$C$3:$G$17,5,FALSE)/100))*AD90)</f>
        <v>15.262877759238094</v>
      </c>
      <c r="AG90" s="706">
        <f>IF($C90="other",$C88*AD90,(VLOOKUP($C90,'S3 - Screening Tool Metrics'!$C$3:$G$17,5,FALSE)/100)*AD90)</f>
        <v>61.051511036952391</v>
      </c>
      <c r="AH90" s="708">
        <f t="shared" si="82"/>
        <v>10.526122592577998</v>
      </c>
      <c r="AI90" s="707">
        <f t="shared" si="83"/>
        <v>45671.593333333338</v>
      </c>
      <c r="AJ90" s="706">
        <f>VLOOKUP("*"&amp;$B90&amp;"*",'S4 - Summ PRS Characteristics'!$C$13:$Q$20,15,FALSE)*$J90</f>
        <v>20.818349215056486</v>
      </c>
      <c r="AK90" s="706">
        <f t="shared" ref="AK90:AK102" si="87">$J90-AJ90</f>
        <v>559.18165078494349</v>
      </c>
      <c r="AL90" s="706">
        <f>IF($C90="other",(1-$C88)*AJ90,(1-(VLOOKUP($C90,'S3 - Screening Tool Metrics'!$C$3:$G$17,5,FALSE)/100))*AJ90)</f>
        <v>4.1636698430112959</v>
      </c>
      <c r="AM90" s="706">
        <f>IF($C90="other",$C88*AJ90,(VLOOKUP($C90,'S3 - Screening Tool Metrics'!$C$3:$G$17,5,FALSE)/100)*AJ90)</f>
        <v>16.654679372045191</v>
      </c>
      <c r="AN90" s="709">
        <f t="shared" si="84"/>
        <v>2.8714964434560675</v>
      </c>
    </row>
    <row r="91" spans="2:40" x14ac:dyDescent="0.15">
      <c r="B91" s="700" t="s">
        <v>14</v>
      </c>
      <c r="C91" s="721" t="str">
        <f>$C89</f>
        <v>Other</v>
      </c>
      <c r="D91" s="552" t="s">
        <v>194</v>
      </c>
      <c r="E91" s="710">
        <f>VLOOKUP($B91&amp;"_"&amp;$D91,'App5 - CRUK Inci Rates'!C:H,6,FALSE)</f>
        <v>26.8</v>
      </c>
      <c r="F91" s="711">
        <f>VLOOKUP($B91&amp;"_"&amp;$D91,'App5 - CRUK Inci Rates'!C:H,3,FALSE)</f>
        <v>12.7</v>
      </c>
      <c r="G91" s="712">
        <f>VLOOKUP($B91&amp;"_"&amp;$D91,'App5 - CRUK Inci Rates'!C:J,8,FALSE)</f>
        <v>4658110.666666666</v>
      </c>
      <c r="H91" s="713">
        <f>VLOOKUP($B91&amp;"_"&amp;$D91,'App5 - CRUK Inci Rates'!C:J,7,FALSE)</f>
        <v>2293472.6666666665</v>
      </c>
      <c r="I91" s="713">
        <f>VLOOKUP($B91&amp;"_"&amp;$D91,'App5 - CRUK Inci Rates'!C:J,4,FALSE)</f>
        <v>2364638</v>
      </c>
      <c r="J91" s="709">
        <f>VLOOKUP($B91&amp;"_"&amp;$D91,'App5 - CRUK Inci Rates'!C:K,9,FALSE)</f>
        <v>915</v>
      </c>
      <c r="K91" s="706">
        <f t="shared" si="70"/>
        <v>2329055.333333333</v>
      </c>
      <c r="L91" s="706">
        <f>VLOOKUP("*"&amp;$B91&amp;"*",'S4 - Summ PRS Characteristics'!$C$13:$Q$20,11,FALSE)*$J91</f>
        <v>640.97174719228792</v>
      </c>
      <c r="M91" s="706">
        <f t="shared" si="71"/>
        <v>274.02825280771208</v>
      </c>
      <c r="N91" s="706">
        <f>IF($C91="other",(1-$C$7)*L91,(1-(VLOOKUP($C91,'S3 - Screening Tool Metrics'!$C$3:$G$17,5,FALSE)/100))*L91)</f>
        <v>128.19434943845755</v>
      </c>
      <c r="O91" s="706">
        <f>IF($C91="other",$C$7*L91,(VLOOKUP($C91,'S3 - Screening Tool Metrics'!$C$3:$G$17,5,FALSE)/100)*L91)</f>
        <v>512.77739775383031</v>
      </c>
      <c r="P91" s="706">
        <f t="shared" si="72"/>
        <v>56.041245656156313</v>
      </c>
      <c r="Q91" s="707">
        <f t="shared" si="77"/>
        <v>931622.1333333333</v>
      </c>
      <c r="R91" s="706">
        <f>VLOOKUP("*"&amp;$B91&amp;"*",'S4 - Summ PRS Characteristics'!$C$13:$Q$20,12,FALSE)*$J91</f>
        <v>344.13237195031013</v>
      </c>
      <c r="S91" s="706">
        <f t="shared" si="85"/>
        <v>570.86762804968987</v>
      </c>
      <c r="T91" s="706">
        <f>IF($C91="other",(1-$C88)*R91,(1-(VLOOKUP($C91,'S3 - Screening Tool Metrics'!$C$3:$G$17,5,FALSE)/100))*R91)</f>
        <v>68.826474390062018</v>
      </c>
      <c r="U91" s="706">
        <f>IF($C91="other",$C88*R91,(VLOOKUP($C91,'S3 - Screening Tool Metrics'!$C$3:$G$17,5,FALSE)/100)*R91)</f>
        <v>275.30589756024813</v>
      </c>
      <c r="V91" s="706">
        <f t="shared" si="78"/>
        <v>30.088076236092693</v>
      </c>
      <c r="W91" s="707">
        <f t="shared" si="79"/>
        <v>465811.06666666665</v>
      </c>
      <c r="X91" s="706">
        <f>VLOOKUP("*"&amp;$B91&amp;"*",'S4 - Summ PRS Characteristics'!$C$13:$Q$20,13,FALSE)*$J91</f>
        <v>205.80568420404387</v>
      </c>
      <c r="Y91" s="706">
        <f t="shared" si="86"/>
        <v>709.19431579595607</v>
      </c>
      <c r="Z91" s="706">
        <f>IF($C91="other",(1-$C88)*X91,(1-(VLOOKUP($C91,'S3 - Screening Tool Metrics'!$C$3:$G$17,5,FALSE)/100))*X91)</f>
        <v>41.161136840808766</v>
      </c>
      <c r="AA91" s="706">
        <f>IF($C91="other",$C88*X91,(VLOOKUP($C91,'S3 - Screening Tool Metrics'!$C$3:$G$17,5,FALSE)/100)*X91)</f>
        <v>164.64454736323512</v>
      </c>
      <c r="AB91" s="709">
        <f t="shared" si="80"/>
        <v>17.993939602539356</v>
      </c>
      <c r="AC91" s="706">
        <f t="shared" si="81"/>
        <v>232905.53333333333</v>
      </c>
      <c r="AD91" s="706">
        <f>VLOOKUP("*"&amp;$B91&amp;"*",'S4 - Summ PRS Characteristics'!$C$13:$Q$20,14,FALSE)*$J91</f>
        <v>120.39252715261085</v>
      </c>
      <c r="AE91" s="706">
        <f t="shared" ref="AE91:AE102" si="88">$J91-AD91</f>
        <v>794.60747284738909</v>
      </c>
      <c r="AF91" s="706">
        <f>IF($C91="other",(1-$C88)*AD91,(1-(VLOOKUP($C91,'S3 - Screening Tool Metrics'!$C$3:$G$17,5,FALSE)/100))*AD91)</f>
        <v>24.078505430522164</v>
      </c>
      <c r="AG91" s="706">
        <f>IF($C91="other",$C88*AD91,(VLOOKUP($C91,'S3 - Screening Tool Metrics'!$C$3:$G$17,5,FALSE)/100)*AD91)</f>
        <v>96.314021722088683</v>
      </c>
      <c r="AH91" s="708">
        <f t="shared" si="82"/>
        <v>10.526122592577998</v>
      </c>
      <c r="AI91" s="707">
        <f t="shared" si="83"/>
        <v>46581.106666666659</v>
      </c>
      <c r="AJ91" s="706">
        <f>VLOOKUP("*"&amp;$B91&amp;"*",'S4 - Summ PRS Characteristics'!$C$13:$Q$20,15,FALSE)*$J91</f>
        <v>32.842740572028767</v>
      </c>
      <c r="AK91" s="706">
        <f t="shared" si="87"/>
        <v>882.15725942797121</v>
      </c>
      <c r="AL91" s="706">
        <f>IF($C91="other",(1-$C88)*AJ91,(1-(VLOOKUP($C91,'S3 - Screening Tool Metrics'!$C$3:$G$17,5,FALSE)/100))*AJ91)</f>
        <v>6.5685481144057523</v>
      </c>
      <c r="AM91" s="706">
        <f>IF($C91="other",$C88*AJ91,(VLOOKUP($C91,'S3 - Screening Tool Metrics'!$C$3:$G$17,5,FALSE)/100)*AJ91)</f>
        <v>26.274192457623016</v>
      </c>
      <c r="AN91" s="709">
        <f t="shared" si="84"/>
        <v>2.8714964434560675</v>
      </c>
    </row>
    <row r="92" spans="2:40" x14ac:dyDescent="0.15">
      <c r="B92" s="700" t="s">
        <v>14</v>
      </c>
      <c r="C92" s="721" t="str">
        <f>$C89</f>
        <v>Other</v>
      </c>
      <c r="D92" s="552" t="s">
        <v>195</v>
      </c>
      <c r="E92" s="710">
        <f>VLOOKUP($B92&amp;"_"&amp;$D92,'App5 - CRUK Inci Rates'!C:H,6,FALSE)</f>
        <v>37.1</v>
      </c>
      <c r="F92" s="711">
        <f>VLOOKUP($B92&amp;"_"&amp;$D92,'App5 - CRUK Inci Rates'!C:H,3,FALSE)</f>
        <v>18.600000000000001</v>
      </c>
      <c r="G92" s="712">
        <f>VLOOKUP($B92&amp;"_"&amp;$D92,'App5 - CRUK Inci Rates'!C:J,8,FALSE)</f>
        <v>4181606</v>
      </c>
      <c r="H92" s="713">
        <f>VLOOKUP($B92&amp;"_"&amp;$D92,'App5 - CRUK Inci Rates'!C:J,7,FALSE)</f>
        <v>2061918.6666666667</v>
      </c>
      <c r="I92" s="713">
        <f>VLOOKUP($B92&amp;"_"&amp;$D92,'App5 - CRUK Inci Rates'!C:J,4,FALSE)</f>
        <v>2119687.3333333335</v>
      </c>
      <c r="J92" s="709">
        <f>VLOOKUP($B92&amp;"_"&amp;$D92,'App5 - CRUK Inci Rates'!C:K,9,FALSE)</f>
        <v>1160</v>
      </c>
      <c r="K92" s="706">
        <f t="shared" si="70"/>
        <v>2090803</v>
      </c>
      <c r="L92" s="706">
        <f>VLOOKUP("*"&amp;$B92&amp;"*",'S4 - Summ PRS Characteristics'!$C$13:$Q$20,11,FALSE)*$J92</f>
        <v>812.5980620142667</v>
      </c>
      <c r="M92" s="706">
        <f t="shared" si="71"/>
        <v>347.4019379857333</v>
      </c>
      <c r="N92" s="706">
        <f>IF($C92="other",(1-$C$7)*L92,(1-(VLOOKUP($C92,'S3 - Screening Tool Metrics'!$C$3:$G$17,5,FALSE)/100))*L92)</f>
        <v>162.51961240285331</v>
      </c>
      <c r="O92" s="706">
        <f>IF($C92="other",$C$7*L92,(VLOOKUP($C92,'S3 - Screening Tool Metrics'!$C$3:$G$17,5,FALSE)/100)*L92)</f>
        <v>650.07844961141336</v>
      </c>
      <c r="P92" s="706">
        <f t="shared" si="72"/>
        <v>56.041245656156327</v>
      </c>
      <c r="Q92" s="707">
        <f t="shared" si="77"/>
        <v>836321.20000000007</v>
      </c>
      <c r="R92" s="706">
        <f>VLOOKUP("*"&amp;$B92&amp;"*",'S4 - Summ PRS Characteristics'!$C$13:$Q$20,12,FALSE)*$J92</f>
        <v>436.27710542334398</v>
      </c>
      <c r="S92" s="706">
        <f t="shared" si="85"/>
        <v>723.72289457665602</v>
      </c>
      <c r="T92" s="706">
        <f>IF($C92="other",(1-$C88)*R92,(1-(VLOOKUP($C92,'S3 - Screening Tool Metrics'!$C$3:$G$17,5,FALSE)/100))*R92)</f>
        <v>87.255421084668782</v>
      </c>
      <c r="U92" s="706">
        <f>IF($C92="other",$C88*R92,(VLOOKUP($C92,'S3 - Screening Tool Metrics'!$C$3:$G$17,5,FALSE)/100)*R92)</f>
        <v>349.02168433867519</v>
      </c>
      <c r="V92" s="706">
        <f t="shared" si="78"/>
        <v>30.088076236092686</v>
      </c>
      <c r="W92" s="707">
        <f t="shared" si="79"/>
        <v>418160.60000000003</v>
      </c>
      <c r="X92" s="706">
        <f>VLOOKUP("*"&amp;$B92&amp;"*",'S4 - Summ PRS Characteristics'!$C$13:$Q$20,13,FALSE)*$J92</f>
        <v>260.91212423682066</v>
      </c>
      <c r="Y92" s="706">
        <f t="shared" si="86"/>
        <v>899.08787576317934</v>
      </c>
      <c r="Z92" s="706">
        <f>IF($C92="other",(1-$C88)*X92,(1-(VLOOKUP($C92,'S3 - Screening Tool Metrics'!$C$3:$G$17,5,FALSE)/100))*X92)</f>
        <v>52.182424847364118</v>
      </c>
      <c r="AA92" s="706">
        <f>IF($C92="other",$C88*X92,(VLOOKUP($C92,'S3 - Screening Tool Metrics'!$C$3:$G$17,5,FALSE)/100)*X92)</f>
        <v>208.72969938945653</v>
      </c>
      <c r="AB92" s="709">
        <f t="shared" si="80"/>
        <v>17.993939602539356</v>
      </c>
      <c r="AC92" s="706">
        <f t="shared" si="81"/>
        <v>209080.30000000002</v>
      </c>
      <c r="AD92" s="706">
        <f>VLOOKUP("*"&amp;$B92&amp;"*",'S4 - Summ PRS Characteristics'!$C$13:$Q$20,14,FALSE)*$J92</f>
        <v>152.62877759238097</v>
      </c>
      <c r="AE92" s="706">
        <f t="shared" si="88"/>
        <v>1007.371222407619</v>
      </c>
      <c r="AF92" s="706">
        <f>IF($C92="other",(1-$C88)*AD92,(1-(VLOOKUP($C92,'S3 - Screening Tool Metrics'!$C$3:$G$17,5,FALSE)/100))*AD92)</f>
        <v>30.525755518476188</v>
      </c>
      <c r="AG92" s="706">
        <f>IF($C92="other",$C88*AD92,(VLOOKUP($C92,'S3 - Screening Tool Metrics'!$C$3:$G$17,5,FALSE)/100)*AD92)</f>
        <v>122.10302207390478</v>
      </c>
      <c r="AH92" s="708">
        <f t="shared" si="82"/>
        <v>10.526122592577998</v>
      </c>
      <c r="AI92" s="707">
        <f t="shared" si="83"/>
        <v>41816.06</v>
      </c>
      <c r="AJ92" s="706">
        <f>VLOOKUP("*"&amp;$B92&amp;"*",'S4 - Summ PRS Characteristics'!$C$13:$Q$20,15,FALSE)*$J92</f>
        <v>41.636698430112972</v>
      </c>
      <c r="AK92" s="706">
        <f t="shared" si="87"/>
        <v>1118.363301569887</v>
      </c>
      <c r="AL92" s="706">
        <f>IF($C92="other",(1-$C88)*AJ92,(1-(VLOOKUP($C92,'S3 - Screening Tool Metrics'!$C$3:$G$17,5,FALSE)/100))*AJ92)</f>
        <v>8.3273396860225919</v>
      </c>
      <c r="AM92" s="706">
        <f>IF($C92="other",$C88*AJ92,(VLOOKUP($C92,'S3 - Screening Tool Metrics'!$C$3:$G$17,5,FALSE)/100)*AJ92)</f>
        <v>33.309358744090382</v>
      </c>
      <c r="AN92" s="709">
        <f t="shared" si="84"/>
        <v>2.8714964434560675</v>
      </c>
    </row>
    <row r="93" spans="2:40" x14ac:dyDescent="0.15">
      <c r="B93" s="700" t="s">
        <v>14</v>
      </c>
      <c r="C93" s="721" t="str">
        <f>$C89</f>
        <v>Other</v>
      </c>
      <c r="D93" s="552" t="s">
        <v>196</v>
      </c>
      <c r="E93" s="710">
        <f>VLOOKUP($B93&amp;"_"&amp;$D93,'App5 - CRUK Inci Rates'!C:H,6,FALSE)</f>
        <v>53.7</v>
      </c>
      <c r="F93" s="711">
        <f>VLOOKUP($B93&amp;"_"&amp;$D93,'App5 - CRUK Inci Rates'!C:H,3,FALSE)</f>
        <v>26.2</v>
      </c>
      <c r="G93" s="712">
        <f>VLOOKUP($B93&amp;"_"&amp;$D93,'App5 - CRUK Inci Rates'!C:J,8,FALSE)</f>
        <v>3602002</v>
      </c>
      <c r="H93" s="713">
        <f>VLOOKUP($B93&amp;"_"&amp;$D93,'App5 - CRUK Inci Rates'!C:J,7,FALSE)</f>
        <v>1764828</v>
      </c>
      <c r="I93" s="713">
        <f>VLOOKUP($B93&amp;"_"&amp;$D93,'App5 - CRUK Inci Rates'!C:J,4,FALSE)</f>
        <v>1837174</v>
      </c>
      <c r="J93" s="709">
        <f>VLOOKUP($B93&amp;"_"&amp;$D93,'App5 - CRUK Inci Rates'!C:K,9,FALSE)</f>
        <v>1429</v>
      </c>
      <c r="K93" s="706">
        <f t="shared" si="70"/>
        <v>1801001</v>
      </c>
      <c r="L93" s="706">
        <f>VLOOKUP("*"&amp;$B93&amp;"*",'S4 - Summ PRS Characteristics'!$C$13:$Q$20,11,FALSE)*$J93</f>
        <v>1001.0367505330923</v>
      </c>
      <c r="M93" s="706">
        <f t="shared" si="71"/>
        <v>427.96324946690766</v>
      </c>
      <c r="N93" s="706">
        <f>IF($C93="other",(1-$C$7)*L93,(1-(VLOOKUP($C93,'S3 - Screening Tool Metrics'!$C$3:$G$17,5,FALSE)/100))*L93)</f>
        <v>200.20735010661843</v>
      </c>
      <c r="O93" s="706">
        <f>IF($C93="other",$C$7*L93,(VLOOKUP($C93,'S3 - Screening Tool Metrics'!$C$3:$G$17,5,FALSE)/100)*L93)</f>
        <v>800.82940042647397</v>
      </c>
      <c r="P93" s="706">
        <f t="shared" si="72"/>
        <v>56.041245656156335</v>
      </c>
      <c r="Q93" s="707">
        <f t="shared" si="77"/>
        <v>720400.4</v>
      </c>
      <c r="R93" s="706">
        <f>VLOOKUP("*"&amp;$B93&amp;"*",'S4 - Summ PRS Characteristics'!$C$13:$Q$20,12,FALSE)*$J93</f>
        <v>537.44826176720562</v>
      </c>
      <c r="S93" s="706">
        <f t="shared" si="85"/>
        <v>891.55173823279438</v>
      </c>
      <c r="T93" s="706">
        <f>IF($C93="other",(1-$C88)*R93,(1-(VLOOKUP($C93,'S3 - Screening Tool Metrics'!$C$3:$G$17,5,FALSE)/100))*R93)</f>
        <v>107.4896523534411</v>
      </c>
      <c r="U93" s="706">
        <f>IF($C93="other",$C88*R93,(VLOOKUP($C93,'S3 - Screening Tool Metrics'!$C$3:$G$17,5,FALSE)/100)*R93)</f>
        <v>429.95860941376452</v>
      </c>
      <c r="V93" s="706">
        <f t="shared" si="78"/>
        <v>30.088076236092686</v>
      </c>
      <c r="W93" s="707">
        <f t="shared" si="79"/>
        <v>360200.2</v>
      </c>
      <c r="X93" s="706">
        <f>VLOOKUP("*"&amp;$B93&amp;"*",'S4 - Summ PRS Characteristics'!$C$13:$Q$20,13,FALSE)*$J93</f>
        <v>321.41674615035924</v>
      </c>
      <c r="Y93" s="706">
        <f t="shared" si="86"/>
        <v>1107.5832538496406</v>
      </c>
      <c r="Z93" s="706">
        <f>IF($C93="other",(1-$C88)*X93,(1-(VLOOKUP($C93,'S3 - Screening Tool Metrics'!$C$3:$G$17,5,FALSE)/100))*X93)</f>
        <v>64.283349230071835</v>
      </c>
      <c r="AA93" s="706">
        <f>IF($C93="other",$C88*X93,(VLOOKUP($C93,'S3 - Screening Tool Metrics'!$C$3:$G$17,5,FALSE)/100)*X93)</f>
        <v>257.1333969202874</v>
      </c>
      <c r="AB93" s="709">
        <f t="shared" si="80"/>
        <v>17.993939602539356</v>
      </c>
      <c r="AC93" s="706">
        <f t="shared" si="81"/>
        <v>180100.1</v>
      </c>
      <c r="AD93" s="706">
        <f>VLOOKUP("*"&amp;$B93&amp;"*",'S4 - Summ PRS Characteristics'!$C$13:$Q$20,14,FALSE)*$J93</f>
        <v>188.02286480992447</v>
      </c>
      <c r="AE93" s="706">
        <f t="shared" si="88"/>
        <v>1240.9771351900756</v>
      </c>
      <c r="AF93" s="706">
        <f>IF($C93="other",(1-$C88)*AD93,(1-(VLOOKUP($C93,'S3 - Screening Tool Metrics'!$C$3:$G$17,5,FALSE)/100))*AD93)</f>
        <v>37.604572961984886</v>
      </c>
      <c r="AG93" s="706">
        <f>IF($C93="other",$C88*AD93,(VLOOKUP($C93,'S3 - Screening Tool Metrics'!$C$3:$G$17,5,FALSE)/100)*AD93)</f>
        <v>150.41829184793957</v>
      </c>
      <c r="AH93" s="708">
        <f t="shared" si="82"/>
        <v>10.526122592577996</v>
      </c>
      <c r="AI93" s="707">
        <f t="shared" si="83"/>
        <v>36020.020000000004</v>
      </c>
      <c r="AJ93" s="706">
        <f>VLOOKUP("*"&amp;$B93&amp;"*",'S4 - Summ PRS Characteristics'!$C$13:$Q$20,15,FALSE)*$J93</f>
        <v>51.292105221233996</v>
      </c>
      <c r="AK93" s="706">
        <f t="shared" si="87"/>
        <v>1377.7078947787661</v>
      </c>
      <c r="AL93" s="706">
        <f>IF($C93="other",(1-$C88)*AJ93,(1-(VLOOKUP($C93,'S3 - Screening Tool Metrics'!$C$3:$G$17,5,FALSE)/100))*AJ93)</f>
        <v>10.258421044246797</v>
      </c>
      <c r="AM93" s="706">
        <f>IF($C93="other",$C88*AJ93,(VLOOKUP($C93,'S3 - Screening Tool Metrics'!$C$3:$G$17,5,FALSE)/100)*AJ93)</f>
        <v>41.033684176987201</v>
      </c>
      <c r="AN93" s="709">
        <f t="shared" si="84"/>
        <v>2.871496443456067</v>
      </c>
    </row>
    <row r="94" spans="2:40" x14ac:dyDescent="0.15">
      <c r="B94" s="700" t="s">
        <v>14</v>
      </c>
      <c r="C94" s="721" t="str">
        <f>$C89</f>
        <v>Other</v>
      </c>
      <c r="D94" s="552" t="s">
        <v>197</v>
      </c>
      <c r="E94" s="710">
        <f>VLOOKUP($B94&amp;"_"&amp;$D94,'App5 - CRUK Inci Rates'!C:H,6,FALSE)</f>
        <v>73.900000000000006</v>
      </c>
      <c r="F94" s="711">
        <f>VLOOKUP($B94&amp;"_"&amp;$D94,'App5 - CRUK Inci Rates'!C:H,3,FALSE)</f>
        <v>36.4</v>
      </c>
      <c r="G94" s="712">
        <f>VLOOKUP($B94&amp;"_"&amp;$D94,'App5 - CRUK Inci Rates'!C:J,8,FALSE)</f>
        <v>3502183.333333333</v>
      </c>
      <c r="H94" s="713">
        <f>VLOOKUP($B94&amp;"_"&amp;$D94,'App5 - CRUK Inci Rates'!C:J,7,FALSE)</f>
        <v>1696993.3333333333</v>
      </c>
      <c r="I94" s="713">
        <f>VLOOKUP($B94&amp;"_"&amp;$D94,'App5 - CRUK Inci Rates'!C:J,4,FALSE)</f>
        <v>1805190</v>
      </c>
      <c r="J94" s="709">
        <f>VLOOKUP($B94&amp;"_"&amp;$D94,'App5 - CRUK Inci Rates'!C:K,9,FALSE)</f>
        <v>1911</v>
      </c>
      <c r="K94" s="706">
        <f t="shared" si="70"/>
        <v>1751091.6666666665</v>
      </c>
      <c r="L94" s="706">
        <f>VLOOKUP("*"&amp;$B94&amp;"*",'S4 - Summ PRS Characteristics'!$C$13:$Q$20,11,FALSE)*$J94</f>
        <v>1338.6852556114341</v>
      </c>
      <c r="M94" s="706">
        <f t="shared" si="71"/>
        <v>572.31474438856594</v>
      </c>
      <c r="N94" s="706">
        <f>IF($C94="other",(1-$C$7)*L94,(1-(VLOOKUP($C94,'S3 - Screening Tool Metrics'!$C$3:$G$17,5,FALSE)/100))*L94)</f>
        <v>267.73705112228674</v>
      </c>
      <c r="O94" s="706">
        <f>IF($C94="other",$C$7*L94,(VLOOKUP($C94,'S3 - Screening Tool Metrics'!$C$3:$G$17,5,FALSE)/100)*L94)</f>
        <v>1070.9482044891472</v>
      </c>
      <c r="P94" s="706">
        <f t="shared" si="72"/>
        <v>56.041245656156313</v>
      </c>
      <c r="Q94" s="707">
        <f t="shared" si="77"/>
        <v>700436.66666666663</v>
      </c>
      <c r="R94" s="706">
        <f>VLOOKUP("*"&amp;$B94&amp;"*",'S4 - Summ PRS Characteristics'!$C$13:$Q$20,12,FALSE)*$J94</f>
        <v>718.72892108966403</v>
      </c>
      <c r="S94" s="706">
        <f t="shared" si="85"/>
        <v>1192.271078910336</v>
      </c>
      <c r="T94" s="706">
        <f>IF($C94="other",(1-$C88)*R94,(1-(VLOOKUP($C94,'S3 - Screening Tool Metrics'!$C$3:$G$17,5,FALSE)/100))*R94)</f>
        <v>143.74578421793277</v>
      </c>
      <c r="U94" s="706">
        <f>IF($C94="other",$C88*R94,(VLOOKUP($C94,'S3 - Screening Tool Metrics'!$C$3:$G$17,5,FALSE)/100)*R94)</f>
        <v>574.98313687173129</v>
      </c>
      <c r="V94" s="706">
        <f t="shared" si="78"/>
        <v>30.088076236092686</v>
      </c>
      <c r="W94" s="707">
        <f t="shared" si="79"/>
        <v>350218.33333333331</v>
      </c>
      <c r="X94" s="706">
        <f>VLOOKUP("*"&amp;$B94&amp;"*",'S4 - Summ PRS Characteristics'!$C$13:$Q$20,13,FALSE)*$J94</f>
        <v>429.83023225565881</v>
      </c>
      <c r="Y94" s="706">
        <f t="shared" si="86"/>
        <v>1481.1697677443412</v>
      </c>
      <c r="Z94" s="706">
        <f>IF($C94="other",(1-$C88)*X94,(1-(VLOOKUP($C94,'S3 - Screening Tool Metrics'!$C$3:$G$17,5,FALSE)/100))*X94)</f>
        <v>85.966046451131746</v>
      </c>
      <c r="AA94" s="706">
        <f>IF($C94="other",$C88*X94,(VLOOKUP($C94,'S3 - Screening Tool Metrics'!$C$3:$G$17,5,FALSE)/100)*X94)</f>
        <v>343.8641858045271</v>
      </c>
      <c r="AB94" s="709">
        <f t="shared" si="80"/>
        <v>17.993939602539356</v>
      </c>
      <c r="AC94" s="706">
        <f t="shared" si="81"/>
        <v>175109.16666666666</v>
      </c>
      <c r="AD94" s="706">
        <f>VLOOKUP("*"&amp;$B94&amp;"*",'S4 - Summ PRS Characteristics'!$C$13:$Q$20,14,FALSE)*$J94</f>
        <v>251.44275343020692</v>
      </c>
      <c r="AE94" s="706">
        <f t="shared" si="88"/>
        <v>1659.5572465697931</v>
      </c>
      <c r="AF94" s="706">
        <f>IF($C94="other",(1-$C88)*AD94,(1-(VLOOKUP($C94,'S3 - Screening Tool Metrics'!$C$3:$G$17,5,FALSE)/100))*AD94)</f>
        <v>50.288550686041376</v>
      </c>
      <c r="AG94" s="706">
        <f>IF($C94="other",$C88*AD94,(VLOOKUP($C94,'S3 - Screening Tool Metrics'!$C$3:$G$17,5,FALSE)/100)*AD94)</f>
        <v>201.15420274416556</v>
      </c>
      <c r="AH94" s="708">
        <f t="shared" si="82"/>
        <v>10.526122592578</v>
      </c>
      <c r="AI94" s="707">
        <f t="shared" si="83"/>
        <v>35021.833333333328</v>
      </c>
      <c r="AJ94" s="706">
        <f>VLOOKUP("*"&amp;$B94&amp;"*",'S4 - Summ PRS Characteristics'!$C$13:$Q$20,15,FALSE)*$J94</f>
        <v>68.592871293056803</v>
      </c>
      <c r="AK94" s="706">
        <f t="shared" si="87"/>
        <v>1842.4071287069432</v>
      </c>
      <c r="AL94" s="706">
        <f>IF($C94="other",(1-$C88)*AJ94,(1-(VLOOKUP($C94,'S3 - Screening Tool Metrics'!$C$3:$G$17,5,FALSE)/100))*AJ94)</f>
        <v>13.718574258611357</v>
      </c>
      <c r="AM94" s="706">
        <f>IF($C94="other",$C88*AJ94,(VLOOKUP($C94,'S3 - Screening Tool Metrics'!$C$3:$G$17,5,FALSE)/100)*AJ94)</f>
        <v>54.874297034445448</v>
      </c>
      <c r="AN94" s="709">
        <f t="shared" si="84"/>
        <v>2.8714964434560675</v>
      </c>
    </row>
    <row r="95" spans="2:40" x14ac:dyDescent="0.15">
      <c r="B95" s="700" t="s">
        <v>14</v>
      </c>
      <c r="C95" s="721" t="str">
        <f>$C89</f>
        <v>Other</v>
      </c>
      <c r="D95" s="552" t="s">
        <v>198</v>
      </c>
      <c r="E95" s="710">
        <f>VLOOKUP($B95&amp;"_"&amp;$D95,'App5 - CRUK Inci Rates'!C:H,6,FALSE)</f>
        <v>91.2</v>
      </c>
      <c r="F95" s="711">
        <f>VLOOKUP($B95&amp;"_"&amp;$D95,'App5 - CRUK Inci Rates'!C:H,3,FALSE)</f>
        <v>45.1</v>
      </c>
      <c r="G95" s="712">
        <f>VLOOKUP($B95&amp;"_"&amp;$D95,'App5 - CRUK Inci Rates'!C:J,8,FALSE)</f>
        <v>3071574.666666667</v>
      </c>
      <c r="H95" s="713">
        <f>VLOOKUP($B95&amp;"_"&amp;$D95,'App5 - CRUK Inci Rates'!C:J,7,FALSE)</f>
        <v>1467965</v>
      </c>
      <c r="I95" s="713">
        <f>VLOOKUP($B95&amp;"_"&amp;$D95,'App5 - CRUK Inci Rates'!C:J,4,FALSE)</f>
        <v>1603609.6666666667</v>
      </c>
      <c r="J95" s="709">
        <f>VLOOKUP($B95&amp;"_"&amp;$D95,'App5 - CRUK Inci Rates'!C:K,9,FALSE)</f>
        <v>2063</v>
      </c>
      <c r="K95" s="706">
        <f t="shared" si="70"/>
        <v>1535787.3333333335</v>
      </c>
      <c r="L95" s="706">
        <f>VLOOKUP("*"&amp;$B95&amp;"*",'S4 - Summ PRS Characteristics'!$C$13:$Q$20,11,FALSE)*$J95</f>
        <v>1445.1636223581311</v>
      </c>
      <c r="M95" s="706">
        <f t="shared" si="71"/>
        <v>617.83637764186892</v>
      </c>
      <c r="N95" s="706">
        <f>IF($C95="other",(1-$C$7)*L95,(1-(VLOOKUP($C95,'S3 - Screening Tool Metrics'!$C$3:$G$17,5,FALSE)/100))*L95)</f>
        <v>289.03272447162612</v>
      </c>
      <c r="O95" s="706">
        <f>IF($C95="other",$C$7*L95,(VLOOKUP($C95,'S3 - Screening Tool Metrics'!$C$3:$G$17,5,FALSE)/100)*L95)</f>
        <v>1156.130897886505</v>
      </c>
      <c r="P95" s="706">
        <f t="shared" si="72"/>
        <v>56.041245656156327</v>
      </c>
      <c r="Q95" s="707">
        <f t="shared" si="77"/>
        <v>614314.93333333347</v>
      </c>
      <c r="R95" s="706">
        <f>VLOOKUP("*"&amp;$B95&amp;"*",'S4 - Summ PRS Characteristics'!$C$13:$Q$20,12,FALSE)*$J95</f>
        <v>775.89626593824016</v>
      </c>
      <c r="S95" s="706">
        <f t="shared" si="85"/>
        <v>1287.10373406176</v>
      </c>
      <c r="T95" s="706">
        <f>IF($C95="other",(1-$C88)*R95,(1-(VLOOKUP($C95,'S3 - Screening Tool Metrics'!$C$3:$G$17,5,FALSE)/100))*R95)</f>
        <v>155.17925318764799</v>
      </c>
      <c r="U95" s="706">
        <f>IF($C95="other",$C88*R95,(VLOOKUP($C95,'S3 - Screening Tool Metrics'!$C$3:$G$17,5,FALSE)/100)*R95)</f>
        <v>620.71701275059218</v>
      </c>
      <c r="V95" s="706">
        <f t="shared" si="78"/>
        <v>30.088076236092686</v>
      </c>
      <c r="W95" s="707">
        <f t="shared" si="79"/>
        <v>307157.46666666673</v>
      </c>
      <c r="X95" s="706">
        <f>VLOOKUP("*"&amp;$B95&amp;"*",'S4 - Summ PRS Characteristics'!$C$13:$Q$20,13,FALSE)*$J95</f>
        <v>464.0187175004836</v>
      </c>
      <c r="Y95" s="706">
        <f t="shared" si="86"/>
        <v>1598.9812824995165</v>
      </c>
      <c r="Z95" s="706">
        <f>IF($C95="other",(1-$C88)*X95,(1-(VLOOKUP($C95,'S3 - Screening Tool Metrics'!$C$3:$G$17,5,FALSE)/100))*X95)</f>
        <v>92.803743500096701</v>
      </c>
      <c r="AA95" s="706">
        <f>IF($C95="other",$C88*X95,(VLOOKUP($C95,'S3 - Screening Tool Metrics'!$C$3:$G$17,5,FALSE)/100)*X95)</f>
        <v>371.21497400038692</v>
      </c>
      <c r="AB95" s="709">
        <f t="shared" si="80"/>
        <v>17.993939602539356</v>
      </c>
      <c r="AC95" s="706">
        <f t="shared" si="81"/>
        <v>153578.73333333337</v>
      </c>
      <c r="AD95" s="706">
        <f>VLOOKUP("*"&amp;$B95&amp;"*",'S4 - Summ PRS Characteristics'!$C$13:$Q$20,14,FALSE)*$J95</f>
        <v>271.44238635610509</v>
      </c>
      <c r="AE95" s="706">
        <f t="shared" si="88"/>
        <v>1791.5576136438949</v>
      </c>
      <c r="AF95" s="706">
        <f>IF($C95="other",(1-$C88)*AD95,(1-(VLOOKUP($C95,'S3 - Screening Tool Metrics'!$C$3:$G$17,5,FALSE)/100))*AD95)</f>
        <v>54.288477271221005</v>
      </c>
      <c r="AG95" s="706">
        <f>IF($C95="other",$C88*AD95,(VLOOKUP($C95,'S3 - Screening Tool Metrics'!$C$3:$G$17,5,FALSE)/100)*AD95)</f>
        <v>217.15390908488408</v>
      </c>
      <c r="AH95" s="708">
        <f t="shared" si="82"/>
        <v>10.526122592577996</v>
      </c>
      <c r="AI95" s="707">
        <f t="shared" si="83"/>
        <v>30715.74666666667</v>
      </c>
      <c r="AJ95" s="706">
        <f>VLOOKUP("*"&amp;$B95&amp;"*",'S4 - Summ PRS Characteristics'!$C$13:$Q$20,15,FALSE)*$J95</f>
        <v>74.048714535623319</v>
      </c>
      <c r="AK95" s="706">
        <f t="shared" si="87"/>
        <v>1988.9512854643767</v>
      </c>
      <c r="AL95" s="706">
        <f>IF($C95="other",(1-$C88)*AJ95,(1-(VLOOKUP($C95,'S3 - Screening Tool Metrics'!$C$3:$G$17,5,FALSE)/100))*AJ95)</f>
        <v>14.80974290712466</v>
      </c>
      <c r="AM95" s="706">
        <f>IF($C95="other",$C88*AJ95,(VLOOKUP($C95,'S3 - Screening Tool Metrics'!$C$3:$G$17,5,FALSE)/100)*AJ95)</f>
        <v>59.23897162849866</v>
      </c>
      <c r="AN95" s="709">
        <f t="shared" si="84"/>
        <v>2.8714964434560666</v>
      </c>
    </row>
    <row r="96" spans="2:40" x14ac:dyDescent="0.15">
      <c r="B96" s="700" t="s">
        <v>14</v>
      </c>
      <c r="C96" s="721" t="str">
        <f>$C89</f>
        <v>Other</v>
      </c>
      <c r="D96" s="552" t="s">
        <v>199</v>
      </c>
      <c r="E96" s="710">
        <f>VLOOKUP($B96&amp;"_"&amp;$D96,'App5 - CRUK Inci Rates'!C:H,6,FALSE)</f>
        <v>110.1</v>
      </c>
      <c r="F96" s="711">
        <f>VLOOKUP($B96&amp;"_"&amp;$D96,'App5 - CRUK Inci Rates'!C:H,3,FALSE)</f>
        <v>57.2</v>
      </c>
      <c r="G96" s="712">
        <f>VLOOKUP($B96&amp;"_"&amp;$D96,'App5 - CRUK Inci Rates'!C:J,8,FALSE)</f>
        <v>2189010.6666666665</v>
      </c>
      <c r="H96" s="713">
        <f>VLOOKUP($B96&amp;"_"&amp;$D96,'App5 - CRUK Inci Rates'!C:J,7,FALSE)</f>
        <v>1007365.3333333334</v>
      </c>
      <c r="I96" s="713">
        <f>VLOOKUP($B96&amp;"_"&amp;$D96,'App5 - CRUK Inci Rates'!C:J,4,FALSE)</f>
        <v>1181645.3333333333</v>
      </c>
      <c r="J96" s="709">
        <f>VLOOKUP($B96&amp;"_"&amp;$D96,'App5 - CRUK Inci Rates'!C:K,9,FALSE)</f>
        <v>1785</v>
      </c>
      <c r="K96" s="706">
        <f t="shared" si="70"/>
        <v>1094505.3333333333</v>
      </c>
      <c r="L96" s="706">
        <f>VLOOKUP("*"&amp;$B96&amp;"*",'S4 - Summ PRS Characteristics'!$C$13:$Q$20,11,FALSE)*$J96</f>
        <v>1250.4202937029879</v>
      </c>
      <c r="M96" s="706">
        <f t="shared" si="71"/>
        <v>534.57970629701208</v>
      </c>
      <c r="N96" s="706">
        <f>IF($C96="other",(1-$C$7)*L96,(1-(VLOOKUP($C96,'S3 - Screening Tool Metrics'!$C$3:$G$17,5,FALSE)/100))*L96)</f>
        <v>250.08405874059753</v>
      </c>
      <c r="O96" s="706">
        <f>IF($C96="other",$C$7*L96,(VLOOKUP($C96,'S3 - Screening Tool Metrics'!$C$3:$G$17,5,FALSE)/100)*L96)</f>
        <v>1000.3362349623903</v>
      </c>
      <c r="P96" s="706">
        <f t="shared" si="72"/>
        <v>56.041245656156327</v>
      </c>
      <c r="Q96" s="707">
        <f t="shared" si="77"/>
        <v>437802.1333333333</v>
      </c>
      <c r="R96" s="706">
        <f>VLOOKUP("*"&amp;$B96&amp;"*",'S4 - Summ PRS Characteristics'!$C$13:$Q$20,12,FALSE)*$J96</f>
        <v>671.34020101781812</v>
      </c>
      <c r="S96" s="706">
        <f t="shared" si="85"/>
        <v>1113.6597989821819</v>
      </c>
      <c r="T96" s="706">
        <f>IF($C96="other",(1-$C88)*R96,(1-(VLOOKUP($C96,'S3 - Screening Tool Metrics'!$C$3:$G$17,5,FALSE)/100))*R96)</f>
        <v>134.2680402035636</v>
      </c>
      <c r="U96" s="706">
        <f>IF($C96="other",$C88*R96,(VLOOKUP($C96,'S3 - Screening Tool Metrics'!$C$3:$G$17,5,FALSE)/100)*R96)</f>
        <v>537.07216081425452</v>
      </c>
      <c r="V96" s="706">
        <f t="shared" si="78"/>
        <v>30.088076236092693</v>
      </c>
      <c r="W96" s="707">
        <f t="shared" si="79"/>
        <v>218901.06666666665</v>
      </c>
      <c r="X96" s="706">
        <f>VLOOKUP("*"&amp;$B96&amp;"*",'S4 - Summ PRS Characteristics'!$C$13:$Q$20,13,FALSE)*$J96</f>
        <v>401.48977738165934</v>
      </c>
      <c r="Y96" s="706">
        <f t="shared" si="86"/>
        <v>1383.5102226183408</v>
      </c>
      <c r="Z96" s="706">
        <f>IF($C96="other",(1-$C88)*X96,(1-(VLOOKUP($C96,'S3 - Screening Tool Metrics'!$C$3:$G$17,5,FALSE)/100))*X96)</f>
        <v>80.29795547633185</v>
      </c>
      <c r="AA96" s="706">
        <f>IF($C96="other",$C88*X96,(VLOOKUP($C96,'S3 - Screening Tool Metrics'!$C$3:$G$17,5,FALSE)/100)*X96)</f>
        <v>321.19182190532752</v>
      </c>
      <c r="AB96" s="709">
        <f t="shared" si="80"/>
        <v>17.993939602539356</v>
      </c>
      <c r="AC96" s="706">
        <f t="shared" si="81"/>
        <v>109450.53333333333</v>
      </c>
      <c r="AD96" s="706">
        <f>VLOOKUP("*"&amp;$B96&amp;"*",'S4 - Summ PRS Characteristics'!$C$13:$Q$20,14,FALSE)*$J96</f>
        <v>234.86411034689658</v>
      </c>
      <c r="AE96" s="706">
        <f t="shared" si="88"/>
        <v>1550.1358896531035</v>
      </c>
      <c r="AF96" s="706">
        <f>IF($C96="other",(1-$C88)*AD96,(1-(VLOOKUP($C96,'S3 - Screening Tool Metrics'!$C$3:$G$17,5,FALSE)/100))*AD96)</f>
        <v>46.972822069379305</v>
      </c>
      <c r="AG96" s="706">
        <f>IF($C96="other",$C88*AD96,(VLOOKUP($C96,'S3 - Screening Tool Metrics'!$C$3:$G$17,5,FALSE)/100)*AD96)</f>
        <v>187.89128827751728</v>
      </c>
      <c r="AH96" s="708">
        <f t="shared" si="82"/>
        <v>10.526122592577998</v>
      </c>
      <c r="AI96" s="707">
        <f t="shared" si="83"/>
        <v>21890.106666666667</v>
      </c>
      <c r="AJ96" s="706">
        <f>VLOOKUP("*"&amp;$B96&amp;"*",'S4 - Summ PRS Characteristics'!$C$13:$Q$20,15,FALSE)*$J96</f>
        <v>64.070264394613488</v>
      </c>
      <c r="AK96" s="706">
        <f t="shared" si="87"/>
        <v>1720.9297356053864</v>
      </c>
      <c r="AL96" s="706">
        <f>IF($C96="other",(1-$C88)*AJ96,(1-(VLOOKUP($C96,'S3 - Screening Tool Metrics'!$C$3:$G$17,5,FALSE)/100))*AJ96)</f>
        <v>12.814052878922695</v>
      </c>
      <c r="AM96" s="706">
        <f>IF($C96="other",$C88*AJ96,(VLOOKUP($C96,'S3 - Screening Tool Metrics'!$C$3:$G$17,5,FALSE)/100)*AJ96)</f>
        <v>51.256211515690794</v>
      </c>
      <c r="AN96" s="709">
        <f t="shared" si="84"/>
        <v>2.8714964434560666</v>
      </c>
    </row>
    <row r="97" spans="2:40" x14ac:dyDescent="0.15">
      <c r="B97" s="700" t="s">
        <v>14</v>
      </c>
      <c r="C97" s="721" t="str">
        <f>$C89</f>
        <v>Other</v>
      </c>
      <c r="D97" s="552" t="s">
        <v>200</v>
      </c>
      <c r="E97" s="710">
        <f>VLOOKUP($B97&amp;"_"&amp;$D97,'App5 - CRUK Inci Rates'!C:H,6,FALSE)</f>
        <v>34.622861697796182</v>
      </c>
      <c r="F97" s="711">
        <f>VLOOKUP($B97&amp;"_"&amp;$D97,'App5 - CRUK Inci Rates'!C:H,3,FALSE)</f>
        <v>16.932887508650499</v>
      </c>
      <c r="G97" s="712">
        <f>VLOOKUP($B97&amp;"_"&amp;$D97,'App5 - CRUK Inci Rates'!C:J,8,FALSE)</f>
        <v>24586669.333333336</v>
      </c>
      <c r="H97" s="713">
        <f>VLOOKUP($B97&amp;"_"&amp;$D97,'App5 - CRUK Inci Rates'!C:J,7,FALSE)</f>
        <v>12090277.333333334</v>
      </c>
      <c r="I97" s="713">
        <f>VLOOKUP($B97&amp;"_"&amp;$D97,'App5 - CRUK Inci Rates'!C:J,4,FALSE)</f>
        <v>12496392</v>
      </c>
      <c r="J97" s="709">
        <f>VLOOKUP($B97&amp;"_"&amp;$D97,'App5 - CRUK Inci Rates'!C:K,9,FALSE)</f>
        <v>6302</v>
      </c>
      <c r="K97" s="706">
        <f t="shared" si="70"/>
        <v>12293334.666666668</v>
      </c>
      <c r="L97" s="706">
        <f>VLOOKUP("*"&amp;$B97&amp;"*",'S4 - Summ PRS Characteristics'!$C$13:$Q$20,11,FALSE)*$J97</f>
        <v>4414.6491265637142</v>
      </c>
      <c r="M97" s="706">
        <f t="shared" si="71"/>
        <v>1887.3508734362858</v>
      </c>
      <c r="N97" s="706">
        <f>IF($C97="other",(1-$C$7)*L97,(1-(VLOOKUP($C97,'S3 - Screening Tool Metrics'!$C$3:$G$17,5,FALSE)/100))*L97)</f>
        <v>882.92982531274265</v>
      </c>
      <c r="O97" s="706">
        <f>IF($C97="other",$C$7*L97,(VLOOKUP($C97,'S3 - Screening Tool Metrics'!$C$3:$G$17,5,FALSE)/100)*L97)</f>
        <v>3531.7193012509715</v>
      </c>
      <c r="P97" s="706">
        <f t="shared" si="72"/>
        <v>56.041245656156327</v>
      </c>
      <c r="Q97" s="707">
        <f t="shared" si="77"/>
        <v>4917333.8666666672</v>
      </c>
      <c r="R97" s="706">
        <f>VLOOKUP("*"&amp;$B97&amp;"*",'S4 - Summ PRS Characteristics'!$C$13:$Q$20,12,FALSE)*$J97</f>
        <v>2370.1882054982016</v>
      </c>
      <c r="S97" s="706">
        <f t="shared" si="85"/>
        <v>3931.8117945017984</v>
      </c>
      <c r="T97" s="706">
        <f>IF($C97="other",(1-$C88)*R97,(1-(VLOOKUP($C97,'S3 - Screening Tool Metrics'!$C$3:$G$17,5,FALSE)/100))*R97)</f>
        <v>474.03764109964021</v>
      </c>
      <c r="U97" s="706">
        <f>IF($C97="other",$C88*R97,(VLOOKUP($C97,'S3 - Screening Tool Metrics'!$C$3:$G$17,5,FALSE)/100)*R97)</f>
        <v>1896.1505643985613</v>
      </c>
      <c r="V97" s="706">
        <f t="shared" si="78"/>
        <v>30.088076236092693</v>
      </c>
      <c r="W97" s="707">
        <f t="shared" si="79"/>
        <v>2458666.9333333336</v>
      </c>
      <c r="X97" s="706">
        <f>VLOOKUP("*"&amp;$B97&amp;"*",'S4 - Summ PRS Characteristics'!$C$13:$Q$20,13,FALSE)*$J97</f>
        <v>1417.4725921900376</v>
      </c>
      <c r="Y97" s="706">
        <f t="shared" si="86"/>
        <v>4884.5274078099628</v>
      </c>
      <c r="Z97" s="706">
        <f>IF($C97="other",(1-$C88)*X97,(1-(VLOOKUP($C97,'S3 - Screening Tool Metrics'!$C$3:$G$17,5,FALSE)/100))*X97)</f>
        <v>283.49451843800745</v>
      </c>
      <c r="AA97" s="706">
        <f>IF($C97="other",$C88*X97,(VLOOKUP($C97,'S3 - Screening Tool Metrics'!$C$3:$G$17,5,FALSE)/100)*X97)</f>
        <v>1133.9780737520302</v>
      </c>
      <c r="AB97" s="709">
        <f t="shared" si="80"/>
        <v>17.993939602539356</v>
      </c>
      <c r="AC97" s="706">
        <f t="shared" si="81"/>
        <v>1229333.4666666668</v>
      </c>
      <c r="AD97" s="706">
        <f>VLOOKUP("*"&amp;$B97&amp;"*",'S4 - Summ PRS Characteristics'!$C$13:$Q$20,14,FALSE)*$J97</f>
        <v>829.19530723033176</v>
      </c>
      <c r="AE97" s="706">
        <f t="shared" si="88"/>
        <v>5472.8046927696687</v>
      </c>
      <c r="AF97" s="706">
        <f>IF($C97="other",(1-$C88)*AD97,(1-(VLOOKUP($C97,'S3 - Screening Tool Metrics'!$C$3:$G$17,5,FALSE)/100))*AD97)</f>
        <v>165.83906144606632</v>
      </c>
      <c r="AG97" s="706">
        <f>IF($C97="other",$C88*AD97,(VLOOKUP($C97,'S3 - Screening Tool Metrics'!$C$3:$G$17,5,FALSE)/100)*AD97)</f>
        <v>663.35624578426541</v>
      </c>
      <c r="AH97" s="708">
        <f t="shared" si="82"/>
        <v>10.526122592577998</v>
      </c>
      <c r="AI97" s="707">
        <f t="shared" si="83"/>
        <v>245866.69333333336</v>
      </c>
      <c r="AJ97" s="706">
        <f>VLOOKUP("*"&amp;$B97&amp;"*",'S4 - Summ PRS Characteristics'!$C$13:$Q$20,15,FALSE)*$J97</f>
        <v>226.20213233325168</v>
      </c>
      <c r="AK97" s="706">
        <f t="shared" si="87"/>
        <v>6075.7978676667481</v>
      </c>
      <c r="AL97" s="706">
        <f>IF($C97="other",(1-$C88)*AJ97,(1-(VLOOKUP($C97,'S3 - Screening Tool Metrics'!$C$3:$G$17,5,FALSE)/100))*AJ97)</f>
        <v>45.240426466650327</v>
      </c>
      <c r="AM97" s="706">
        <f>IF($C97="other",$C88*AJ97,(VLOOKUP($C97,'S3 - Screening Tool Metrics'!$C$3:$G$17,5,FALSE)/100)*AJ97)</f>
        <v>180.96170586660136</v>
      </c>
      <c r="AN97" s="709">
        <f t="shared" si="84"/>
        <v>2.8714964434560675</v>
      </c>
    </row>
    <row r="98" spans="2:40" x14ac:dyDescent="0.15">
      <c r="B98" s="700" t="s">
        <v>14</v>
      </c>
      <c r="C98" s="721" t="str">
        <f>$C89</f>
        <v>Other</v>
      </c>
      <c r="D98" s="552" t="s">
        <v>201</v>
      </c>
      <c r="E98" s="710">
        <f>VLOOKUP($B98&amp;"_"&amp;$D98,'App5 - CRUK Inci Rates'!C:H,6,FALSE)</f>
        <v>14.135054044739473</v>
      </c>
      <c r="F98" s="711">
        <f>VLOOKUP($B98&amp;"_"&amp;$D98,'App5 - CRUK Inci Rates'!C:H,3,FALSE)</f>
        <v>6.4764131930257953</v>
      </c>
      <c r="G98" s="712">
        <f>VLOOKUP($B98&amp;"_"&amp;$D98,'App5 - CRUK Inci Rates'!C:J,8,FALSE)</f>
        <v>8642767.333333334</v>
      </c>
      <c r="H98" s="713">
        <f>VLOOKUP($B98&amp;"_"&amp;$D98,'App5 - CRUK Inci Rates'!C:J,7,FALSE)</f>
        <v>4273064.666666667</v>
      </c>
      <c r="I98" s="713">
        <f>VLOOKUP($B98&amp;"_"&amp;$D98,'App5 - CRUK Inci Rates'!C:J,4,FALSE)</f>
        <v>4369702.666666667</v>
      </c>
      <c r="J98" s="709">
        <f>VLOOKUP($B98&amp;"_"&amp;$D98,'App5 - CRUK Inci Rates'!C:K,9,FALSE)</f>
        <v>887</v>
      </c>
      <c r="K98" s="706">
        <f t="shared" si="70"/>
        <v>4321383.666666667</v>
      </c>
      <c r="L98" s="706">
        <f>VLOOKUP("*"&amp;$B98&amp;"*",'S4 - Summ PRS Characteristics'!$C$13:$Q$20,11,FALSE)*$J98</f>
        <v>621.35731121263325</v>
      </c>
      <c r="M98" s="706">
        <f t="shared" si="71"/>
        <v>265.64268878736675</v>
      </c>
      <c r="N98" s="706">
        <f>IF($C98="other",(1-$C$7)*L98,(1-(VLOOKUP($C98,'S3 - Screening Tool Metrics'!$C$3:$G$17,5,FALSE)/100))*L98)</f>
        <v>124.27146224252662</v>
      </c>
      <c r="O98" s="706">
        <f>IF($C98="other",$C$7*L98,(VLOOKUP($C98,'S3 - Screening Tool Metrics'!$C$3:$G$17,5,FALSE)/100)*L98)</f>
        <v>497.08584897010661</v>
      </c>
      <c r="P98" s="706">
        <f t="shared" si="72"/>
        <v>56.041245656156327</v>
      </c>
      <c r="Q98" s="707">
        <f t="shared" si="77"/>
        <v>1728553.4666666668</v>
      </c>
      <c r="R98" s="706">
        <f>VLOOKUP("*"&amp;$B98&amp;"*",'S4 - Summ PRS Characteristics'!$C$13:$Q$20,12,FALSE)*$J98</f>
        <v>333.60154526767764</v>
      </c>
      <c r="S98" s="706">
        <f t="shared" si="85"/>
        <v>553.39845473232231</v>
      </c>
      <c r="T98" s="706">
        <f>IF($C98="other",(1-$C88)*R98,(1-(VLOOKUP($C98,'S3 - Screening Tool Metrics'!$C$3:$G$17,5,FALSE)/100))*R98)</f>
        <v>66.720309053535516</v>
      </c>
      <c r="U98" s="706">
        <f>IF($C98="other",$C88*R98,(VLOOKUP($C98,'S3 - Screening Tool Metrics'!$C$3:$G$17,5,FALSE)/100)*R98)</f>
        <v>266.88123621414212</v>
      </c>
      <c r="V98" s="706">
        <f t="shared" si="78"/>
        <v>30.088076236092686</v>
      </c>
      <c r="W98" s="707">
        <f t="shared" si="79"/>
        <v>864276.7333333334</v>
      </c>
      <c r="X98" s="706">
        <f>VLOOKUP("*"&amp;$B98&amp;"*",'S4 - Summ PRS Characteristics'!$C$13:$Q$20,13,FALSE)*$J98</f>
        <v>199.5078053431551</v>
      </c>
      <c r="Y98" s="706">
        <f t="shared" si="86"/>
        <v>687.49219465684496</v>
      </c>
      <c r="Z98" s="706">
        <f>IF($C98="other",(1-$C88)*X98,(1-(VLOOKUP($C98,'S3 - Screening Tool Metrics'!$C$3:$G$17,5,FALSE)/100))*X98)</f>
        <v>39.901561068631011</v>
      </c>
      <c r="AA98" s="706">
        <f>IF($C98="other",$C88*X98,(VLOOKUP($C98,'S3 - Screening Tool Metrics'!$C$3:$G$17,5,FALSE)/100)*X98)</f>
        <v>159.6062442745241</v>
      </c>
      <c r="AB98" s="709">
        <f t="shared" si="80"/>
        <v>17.993939602539356</v>
      </c>
      <c r="AC98" s="706">
        <f t="shared" si="81"/>
        <v>432138.3666666667</v>
      </c>
      <c r="AD98" s="706">
        <f>VLOOKUP("*"&amp;$B98&amp;"*",'S4 - Summ PRS Characteristics'!$C$13:$Q$20,14,FALSE)*$J98</f>
        <v>116.70838424520855</v>
      </c>
      <c r="AE98" s="706">
        <f t="shared" si="88"/>
        <v>770.29161575479145</v>
      </c>
      <c r="AF98" s="706">
        <f>IF($C98="other",(1-$C88)*AD98,(1-(VLOOKUP($C98,'S3 - Screening Tool Metrics'!$C$3:$G$17,5,FALSE)/100))*AD98)</f>
        <v>23.341676849041704</v>
      </c>
      <c r="AG98" s="706">
        <f>IF($C98="other",$C88*AD98,(VLOOKUP($C98,'S3 - Screening Tool Metrics'!$C$3:$G$17,5,FALSE)/100)*AD98)</f>
        <v>93.366707396166845</v>
      </c>
      <c r="AH98" s="708">
        <f t="shared" si="82"/>
        <v>10.526122592577998</v>
      </c>
      <c r="AI98" s="707">
        <f t="shared" si="83"/>
        <v>86427.67333333334</v>
      </c>
      <c r="AJ98" s="706">
        <f>VLOOKUP("*"&amp;$B98&amp;"*",'S4 - Summ PRS Characteristics'!$C$13:$Q$20,15,FALSE)*$J98</f>
        <v>31.837716816819142</v>
      </c>
      <c r="AK98" s="706">
        <f t="shared" si="87"/>
        <v>855.16228318318088</v>
      </c>
      <c r="AL98" s="706">
        <f>IF($C98="other",(1-$C88)*AJ98,(1-(VLOOKUP($C98,'S3 - Screening Tool Metrics'!$C$3:$G$17,5,FALSE)/100))*AJ98)</f>
        <v>6.3675433633638274</v>
      </c>
      <c r="AM98" s="706">
        <f>IF($C98="other",$C88*AJ98,(VLOOKUP($C98,'S3 - Screening Tool Metrics'!$C$3:$G$17,5,FALSE)/100)*AJ98)</f>
        <v>25.470173453455317</v>
      </c>
      <c r="AN98" s="709">
        <f t="shared" si="84"/>
        <v>2.871496443456067</v>
      </c>
    </row>
    <row r="99" spans="2:40" x14ac:dyDescent="0.15">
      <c r="B99" s="700" t="s">
        <v>14</v>
      </c>
      <c r="C99" s="721" t="str">
        <f>$C89</f>
        <v>Other</v>
      </c>
      <c r="D99" s="552" t="s">
        <v>202</v>
      </c>
      <c r="E99" s="710">
        <f>VLOOKUP($B99&amp;"_"&amp;$D99,'App5 - CRUK Inci Rates'!C:H,6,FALSE)</f>
        <v>31.661908068880759</v>
      </c>
      <c r="F99" s="711">
        <f>VLOOKUP($B99&amp;"_"&amp;$D99,'App5 - CRUK Inci Rates'!C:H,3,FALSE)</f>
        <v>15.520729391028421</v>
      </c>
      <c r="G99" s="712">
        <f>VLOOKUP($B99&amp;"_"&amp;$D99,'App5 - CRUK Inci Rates'!C:J,8,FALSE)</f>
        <v>8839716.6666666679</v>
      </c>
      <c r="H99" s="713">
        <f>VLOOKUP($B99&amp;"_"&amp;$D99,'App5 - CRUK Inci Rates'!C:J,7,FALSE)</f>
        <v>4355391.333333333</v>
      </c>
      <c r="I99" s="713">
        <f>VLOOKUP($B99&amp;"_"&amp;$D99,'App5 - CRUK Inci Rates'!C:J,4,FALSE)</f>
        <v>4484325.333333334</v>
      </c>
      <c r="J99" s="709">
        <f>VLOOKUP($B99&amp;"_"&amp;$D99,'App5 - CRUK Inci Rates'!C:K,9,FALSE)</f>
        <v>2075</v>
      </c>
      <c r="K99" s="706">
        <f t="shared" si="70"/>
        <v>4419858.333333334</v>
      </c>
      <c r="L99" s="706">
        <f>VLOOKUP("*"&amp;$B99&amp;"*",'S4 - Summ PRS Characteristics'!$C$13:$Q$20,11,FALSE)*$J99</f>
        <v>1453.5698092065545</v>
      </c>
      <c r="M99" s="706">
        <f t="shared" si="71"/>
        <v>621.43019079344549</v>
      </c>
      <c r="N99" s="706">
        <f>IF($C99="other",(1-$C$7)*L99,(1-(VLOOKUP($C99,'S3 - Screening Tool Metrics'!$C$3:$G$17,5,FALSE)/100))*L99)</f>
        <v>290.71396184131083</v>
      </c>
      <c r="O99" s="706">
        <f>IF($C99="other",$C$7*L99,(VLOOKUP($C99,'S3 - Screening Tool Metrics'!$C$3:$G$17,5,FALSE)/100)*L99)</f>
        <v>1162.8558473652436</v>
      </c>
      <c r="P99" s="706">
        <f t="shared" si="72"/>
        <v>56.041245656156313</v>
      </c>
      <c r="Q99" s="707">
        <f t="shared" si="77"/>
        <v>1767943.3333333337</v>
      </c>
      <c r="R99" s="706">
        <f>VLOOKUP("*"&amp;$B99&amp;"*",'S4 - Summ PRS Characteristics'!$C$13:$Q$20,12,FALSE)*$J99</f>
        <v>780.40947737365411</v>
      </c>
      <c r="S99" s="706">
        <f t="shared" si="85"/>
        <v>1294.5905226263458</v>
      </c>
      <c r="T99" s="706">
        <f>IF($C99="other",(1-$C88)*R99,(1-(VLOOKUP($C99,'S3 - Screening Tool Metrics'!$C$3:$G$17,5,FALSE)/100))*R99)</f>
        <v>156.0818954747308</v>
      </c>
      <c r="U99" s="706">
        <f>IF($C99="other",$C88*R99,(VLOOKUP($C99,'S3 - Screening Tool Metrics'!$C$3:$G$17,5,FALSE)/100)*R99)</f>
        <v>624.32758189892331</v>
      </c>
      <c r="V99" s="706">
        <f t="shared" si="78"/>
        <v>30.088076236092693</v>
      </c>
      <c r="W99" s="707">
        <f t="shared" si="79"/>
        <v>883971.66666666686</v>
      </c>
      <c r="X99" s="706">
        <f>VLOOKUP("*"&amp;$B99&amp;"*",'S4 - Summ PRS Characteristics'!$C$13:$Q$20,13,FALSE)*$J99</f>
        <v>466.71780844086453</v>
      </c>
      <c r="Y99" s="706">
        <f t="shared" si="86"/>
        <v>1608.2821915591355</v>
      </c>
      <c r="Z99" s="706">
        <f>IF($C99="other",(1-$C88)*X99,(1-(VLOOKUP($C99,'S3 - Screening Tool Metrics'!$C$3:$G$17,5,FALSE)/100))*X99)</f>
        <v>93.343561688172883</v>
      </c>
      <c r="AA99" s="706">
        <f>IF($C99="other",$C88*X99,(VLOOKUP($C99,'S3 - Screening Tool Metrics'!$C$3:$G$17,5,FALSE)/100)*X99)</f>
        <v>373.37424675269165</v>
      </c>
      <c r="AB99" s="709">
        <f t="shared" si="80"/>
        <v>17.993939602539356</v>
      </c>
      <c r="AC99" s="706">
        <f t="shared" si="81"/>
        <v>441985.83333333343</v>
      </c>
      <c r="AD99" s="706">
        <f>VLOOKUP("*"&amp;$B99&amp;"*",'S4 - Summ PRS Characteristics'!$C$13:$Q$20,14,FALSE)*$J99</f>
        <v>273.02130474499182</v>
      </c>
      <c r="AE99" s="706">
        <f t="shared" si="88"/>
        <v>1801.9786952550082</v>
      </c>
      <c r="AF99" s="706">
        <f>IF($C99="other",(1-$C88)*AD99,(1-(VLOOKUP($C99,'S3 - Screening Tool Metrics'!$C$3:$G$17,5,FALSE)/100))*AD99)</f>
        <v>54.604260948998352</v>
      </c>
      <c r="AG99" s="706">
        <f>IF($C99="other",$C88*AD99,(VLOOKUP($C99,'S3 - Screening Tool Metrics'!$C$3:$G$17,5,FALSE)/100)*AD99)</f>
        <v>218.41704379599346</v>
      </c>
      <c r="AH99" s="708">
        <f t="shared" si="82"/>
        <v>10.526122592577998</v>
      </c>
      <c r="AI99" s="707">
        <f t="shared" si="83"/>
        <v>88397.166666666686</v>
      </c>
      <c r="AJ99" s="706">
        <f>VLOOKUP("*"&amp;$B99&amp;"*",'S4 - Summ PRS Characteristics'!$C$13:$Q$20,15,FALSE)*$J99</f>
        <v>74.479439002141731</v>
      </c>
      <c r="AK99" s="706">
        <f t="shared" si="87"/>
        <v>2000.5205609978582</v>
      </c>
      <c r="AL99" s="706">
        <f>IF($C99="other",(1-$C88)*AJ99,(1-(VLOOKUP($C99,'S3 - Screening Tool Metrics'!$C$3:$G$17,5,FALSE)/100))*AJ99)</f>
        <v>14.895887800428342</v>
      </c>
      <c r="AM99" s="706">
        <f>IF($C99="other",$C88*AJ99,(VLOOKUP($C99,'S3 - Screening Tool Metrics'!$C$3:$G$17,5,FALSE)/100)*AJ99)</f>
        <v>59.583551201713391</v>
      </c>
      <c r="AN99" s="709">
        <f t="shared" si="84"/>
        <v>2.871496443456067</v>
      </c>
    </row>
    <row r="100" spans="2:40" x14ac:dyDescent="0.15">
      <c r="B100" s="700" t="s">
        <v>14</v>
      </c>
      <c r="C100" s="721" t="str">
        <f>$C89</f>
        <v>Other</v>
      </c>
      <c r="D100" s="552" t="s">
        <v>203</v>
      </c>
      <c r="E100" s="710">
        <f>VLOOKUP($B100&amp;"_"&amp;$D100,'App5 - CRUK Inci Rates'!C:H,6,FALSE)</f>
        <v>45.821959216665384</v>
      </c>
      <c r="F100" s="711">
        <f>VLOOKUP($B100&amp;"_"&amp;$D100,'App5 - CRUK Inci Rates'!C:H,3,FALSE)</f>
        <v>22.555310346140132</v>
      </c>
      <c r="G100" s="712">
        <f>VLOOKUP($B100&amp;"_"&amp;$D100,'App5 - CRUK Inci Rates'!C:J,8,FALSE)</f>
        <v>15943902</v>
      </c>
      <c r="H100" s="713">
        <f>VLOOKUP($B100&amp;"_"&amp;$D100,'App5 - CRUK Inci Rates'!C:J,7,FALSE)</f>
        <v>7817212.666666666</v>
      </c>
      <c r="I100" s="713">
        <f>VLOOKUP($B100&amp;"_"&amp;$D100,'App5 - CRUK Inci Rates'!C:J,4,FALSE)</f>
        <v>8126689.333333334</v>
      </c>
      <c r="J100" s="709">
        <f>VLOOKUP($B100&amp;"_"&amp;$D100,'App5 - CRUK Inci Rates'!C:K,9,FALSE)</f>
        <v>5415</v>
      </c>
      <c r="K100" s="706">
        <f t="shared" si="70"/>
        <v>7971951</v>
      </c>
      <c r="L100" s="706">
        <f>VLOOKUP("*"&amp;$B100&amp;"*",'S4 - Summ PRS Characteristics'!$C$13:$Q$20,11,FALSE)*$J100</f>
        <v>3793.2918153510809</v>
      </c>
      <c r="M100" s="706">
        <f t="shared" si="71"/>
        <v>1621.7081846489191</v>
      </c>
      <c r="N100" s="706">
        <f>IF($C100="other",(1-$C$7)*L100,(1-(VLOOKUP($C100,'S3 - Screening Tool Metrics'!$C$3:$G$17,5,FALSE)/100))*L100)</f>
        <v>758.65836307021607</v>
      </c>
      <c r="O100" s="706">
        <f>IF($C100="other",$C$7*L100,(VLOOKUP($C100,'S3 - Screening Tool Metrics'!$C$3:$G$17,5,FALSE)/100)*L100)</f>
        <v>3034.6334522808647</v>
      </c>
      <c r="P100" s="706">
        <f t="shared" si="72"/>
        <v>56.041245656156327</v>
      </c>
      <c r="Q100" s="707">
        <f t="shared" si="77"/>
        <v>3188780.4000000004</v>
      </c>
      <c r="R100" s="706">
        <f>VLOOKUP("*"&amp;$B100&amp;"*",'S4 - Summ PRS Characteristics'!$C$13:$Q$20,12,FALSE)*$J100</f>
        <v>2036.5866602305236</v>
      </c>
      <c r="S100" s="706">
        <f t="shared" si="85"/>
        <v>3378.4133397694764</v>
      </c>
      <c r="T100" s="706">
        <f>IF($C100="other",(1-$C88)*R100,(1-(VLOOKUP($C100,'S3 - Screening Tool Metrics'!$C$3:$G$17,5,FALSE)/100))*R100)</f>
        <v>407.31733204610464</v>
      </c>
      <c r="U100" s="706">
        <f>IF($C100="other",$C88*R100,(VLOOKUP($C100,'S3 - Screening Tool Metrics'!$C$3:$G$17,5,FALSE)/100)*R100)</f>
        <v>1629.269328184419</v>
      </c>
      <c r="V100" s="706">
        <f t="shared" si="78"/>
        <v>30.088076236092686</v>
      </c>
      <c r="W100" s="707">
        <f t="shared" si="79"/>
        <v>1594390.2000000002</v>
      </c>
      <c r="X100" s="706">
        <f>VLOOKUP("*"&amp;$B100&amp;"*",'S4 - Summ PRS Characteristics'!$C$13:$Q$20,13,FALSE)*$J100</f>
        <v>1217.9647868468826</v>
      </c>
      <c r="Y100" s="706">
        <f t="shared" si="86"/>
        <v>4197.0352131531172</v>
      </c>
      <c r="Z100" s="706">
        <f>IF($C100="other",(1-$C88)*X100,(1-(VLOOKUP($C100,'S3 - Screening Tool Metrics'!$C$3:$G$17,5,FALSE)/100))*X100)</f>
        <v>243.59295736937645</v>
      </c>
      <c r="AA100" s="706">
        <f>IF($C100="other",$C88*X100,(VLOOKUP($C100,'S3 - Screening Tool Metrics'!$C$3:$G$17,5,FALSE)/100)*X100)</f>
        <v>974.37182947750614</v>
      </c>
      <c r="AB100" s="709">
        <f t="shared" si="80"/>
        <v>17.993939602539356</v>
      </c>
      <c r="AC100" s="706">
        <f t="shared" si="81"/>
        <v>797195.10000000009</v>
      </c>
      <c r="AD100" s="706">
        <f>VLOOKUP("*"&amp;$B100&amp;"*",'S4 - Summ PRS Characteristics'!$C$13:$Q$20,14,FALSE)*$J100</f>
        <v>712.48692298512321</v>
      </c>
      <c r="AE100" s="706">
        <f t="shared" si="88"/>
        <v>4702.5130770148771</v>
      </c>
      <c r="AF100" s="706">
        <f>IF($C100="other",(1-$C88)*AD100,(1-(VLOOKUP($C100,'S3 - Screening Tool Metrics'!$C$3:$G$17,5,FALSE)/100))*AD100)</f>
        <v>142.49738459702462</v>
      </c>
      <c r="AG100" s="706">
        <f>IF($C100="other",$C88*AD100,(VLOOKUP($C100,'S3 - Screening Tool Metrics'!$C$3:$G$17,5,FALSE)/100)*AD100)</f>
        <v>569.98953838809859</v>
      </c>
      <c r="AH100" s="708">
        <f t="shared" si="82"/>
        <v>10.526122592577998</v>
      </c>
      <c r="AI100" s="707">
        <f t="shared" si="83"/>
        <v>159439.01999999999</v>
      </c>
      <c r="AJ100" s="706">
        <f>VLOOKUP("*"&amp;$B100&amp;"*",'S4 - Summ PRS Characteristics'!$C$13:$Q$20,15,FALSE)*$J100</f>
        <v>194.36441551643253</v>
      </c>
      <c r="AK100" s="706">
        <f t="shared" si="87"/>
        <v>5220.6355844835671</v>
      </c>
      <c r="AL100" s="706">
        <f>IF($C100="other",(1-$C88)*AJ100,(1-(VLOOKUP($C100,'S3 - Screening Tool Metrics'!$C$3:$G$17,5,FALSE)/100))*AJ100)</f>
        <v>38.872883103286497</v>
      </c>
      <c r="AM100" s="706">
        <f>IF($C100="other",$C88*AJ100,(VLOOKUP($C100,'S3 - Screening Tool Metrics'!$C$3:$G$17,5,FALSE)/100)*AJ100)</f>
        <v>155.49153241314605</v>
      </c>
      <c r="AN100" s="709">
        <f t="shared" si="84"/>
        <v>2.8714964434560675</v>
      </c>
    </row>
    <row r="101" spans="2:40" x14ac:dyDescent="0.15">
      <c r="B101" s="700" t="s">
        <v>14</v>
      </c>
      <c r="C101" s="721" t="str">
        <f>$C90</f>
        <v>Other</v>
      </c>
      <c r="D101" s="552" t="s">
        <v>292</v>
      </c>
      <c r="E101" s="710">
        <f>VLOOKUP($B101&amp;"_"&amp;$D101,'App5 - CRUK Inci Rates'!C:H,6,FALSE)</f>
        <v>71.848955725532122</v>
      </c>
      <c r="F101" s="711">
        <f>VLOOKUP($B101&amp;"_"&amp;$D101,'App5 - CRUK Inci Rates'!C:H,3,FALSE)</f>
        <v>35.474825423256348</v>
      </c>
      <c r="G101" s="712">
        <f>VLOOKUP($B101&amp;"_"&amp;$D101,'App5 - CRUK Inci Rates'!C:J,8,FALSE)</f>
        <v>8881256.9603638444</v>
      </c>
      <c r="H101" s="713">
        <f>VLOOKUP($B101&amp;"_"&amp;$D101,'App5 - CRUK Inci Rates'!C:J,7,FALSE)</f>
        <v>4929786.333333333</v>
      </c>
      <c r="I101" s="713">
        <f>VLOOKUP($B101&amp;"_"&amp;$D101,'App5 - CRUK Inci Rates'!C:J,4,FALSE)</f>
        <v>5245973.666666667</v>
      </c>
      <c r="J101" s="709">
        <f>VLOOKUP($B101&amp;"_"&amp;$D101,'App5 - CRUK Inci Rates'!C:K,9,FALSE)</f>
        <v>5403</v>
      </c>
      <c r="K101" s="706">
        <f t="shared" si="70"/>
        <v>4440628.4801819222</v>
      </c>
      <c r="L101" s="706">
        <f>VLOOKUP("*"&amp;$B101&amp;"*",'S4 - Summ PRS Characteristics'!$C$13:$Q$20,11,FALSE)*$J101</f>
        <v>3784.8856285026577</v>
      </c>
      <c r="M101" s="706">
        <f t="shared" si="71"/>
        <v>1618.1143714973423</v>
      </c>
      <c r="N101" s="706">
        <f>IF($C101="other",(1-$C$7)*L101,(1-(VLOOKUP($C101,'S3 - Screening Tool Metrics'!$C$3:$G$17,5,FALSE)/100))*L101)</f>
        <v>756.97712570053136</v>
      </c>
      <c r="O101" s="706">
        <f>IF($C101="other",$C$7*L101,(VLOOKUP($C101,'S3 - Screening Tool Metrics'!$C$3:$G$17,5,FALSE)/100)*L101)</f>
        <v>3027.9085028021263</v>
      </c>
      <c r="P101" s="706">
        <f t="shared" si="72"/>
        <v>56.041245656156327</v>
      </c>
      <c r="Q101" s="707">
        <f t="shared" si="77"/>
        <v>1776251.3920727689</v>
      </c>
      <c r="R101" s="706">
        <f>VLOOKUP("*"&amp;$B101&amp;"*",'S4 - Summ PRS Characteristics'!$C$13:$Q$20,12,FALSE)*$J101</f>
        <v>2032.0734487951099</v>
      </c>
      <c r="S101" s="706">
        <f t="shared" si="85"/>
        <v>3370.9265512048901</v>
      </c>
      <c r="T101" s="706">
        <f>IF($C101="other",(1-$C88)*R101,(1-(VLOOKUP($C101,'S3 - Screening Tool Metrics'!$C$3:$G$17,5,FALSE)/100))*R101)</f>
        <v>406.41468975902188</v>
      </c>
      <c r="U101" s="706">
        <f>IF($C101="other",$C88*R101,(VLOOKUP($C101,'S3 - Screening Tool Metrics'!$C$3:$G$17,5,FALSE)/100)*R101)</f>
        <v>1625.658759036088</v>
      </c>
      <c r="V101" s="706">
        <f t="shared" si="78"/>
        <v>30.088076236092686</v>
      </c>
      <c r="W101" s="707">
        <f t="shared" si="79"/>
        <v>888125.69603638444</v>
      </c>
      <c r="X101" s="706">
        <f>VLOOKUP("*"&amp;$B101&amp;"*",'S4 - Summ PRS Characteristics'!$C$13:$Q$20,13,FALSE)*$J101</f>
        <v>1215.2656959065016</v>
      </c>
      <c r="Y101" s="706">
        <f t="shared" si="86"/>
        <v>4187.7343040934984</v>
      </c>
      <c r="Z101" s="706">
        <f>IF($C101="other",(1-$C88)*X101,(1-(VLOOKUP($C101,'S3 - Screening Tool Metrics'!$C$3:$G$17,5,FALSE)/100))*X101)</f>
        <v>243.05313918130028</v>
      </c>
      <c r="AA101" s="706">
        <f>IF($C101="other",$C88*X101,(VLOOKUP($C101,'S3 - Screening Tool Metrics'!$C$3:$G$17,5,FALSE)/100)*X101)</f>
        <v>972.21255672520135</v>
      </c>
      <c r="AB101" s="709">
        <f t="shared" si="80"/>
        <v>17.993939602539356</v>
      </c>
      <c r="AC101" s="706">
        <f t="shared" si="81"/>
        <v>444062.84801819222</v>
      </c>
      <c r="AD101" s="706">
        <f>VLOOKUP("*"&amp;$B101&amp;"*",'S4 - Summ PRS Characteristics'!$C$13:$Q$20,14,FALSE)*$J101</f>
        <v>710.90800459623654</v>
      </c>
      <c r="AE101" s="706">
        <f t="shared" si="88"/>
        <v>4692.0919954037636</v>
      </c>
      <c r="AF101" s="706">
        <f>IF($C101="other",(1-$C88)*AD101,(1-(VLOOKUP($C101,'S3 - Screening Tool Metrics'!$C$3:$G$17,5,FALSE)/100))*AD101)</f>
        <v>142.18160091924727</v>
      </c>
      <c r="AG101" s="706">
        <f>IF($C101="other",$C88*AD101,(VLOOKUP($C101,'S3 - Screening Tool Metrics'!$C$3:$G$17,5,FALSE)/100)*AD101)</f>
        <v>568.72640367698921</v>
      </c>
      <c r="AH101" s="708">
        <f t="shared" si="82"/>
        <v>10.526122592577998</v>
      </c>
      <c r="AI101" s="707">
        <f t="shared" si="83"/>
        <v>88812.569603638447</v>
      </c>
      <c r="AJ101" s="706">
        <f>VLOOKUP("*"&amp;$B101&amp;"*",'S4 - Summ PRS Characteristics'!$C$13:$Q$20,15,FALSE)*$J101</f>
        <v>193.93369104991413</v>
      </c>
      <c r="AK101" s="706">
        <f t="shared" si="87"/>
        <v>5209.0663089500858</v>
      </c>
      <c r="AL101" s="706">
        <f>IF($C101="other",(1-$C88)*AJ101,(1-(VLOOKUP($C101,'S3 - Screening Tool Metrics'!$C$3:$G$17,5,FALSE)/100))*AJ101)</f>
        <v>38.786738209982815</v>
      </c>
      <c r="AM101" s="706">
        <f>IF($C101="other",$C88*AJ101,(VLOOKUP($C101,'S3 - Screening Tool Metrics'!$C$3:$G$17,5,FALSE)/100)*AJ101)</f>
        <v>155.14695283993132</v>
      </c>
      <c r="AN101" s="709">
        <f t="shared" si="84"/>
        <v>2.8714964434560675</v>
      </c>
    </row>
    <row r="102" spans="2:40" x14ac:dyDescent="0.15">
      <c r="B102" s="700" t="s">
        <v>14</v>
      </c>
      <c r="C102" s="721" t="str">
        <f>$C89</f>
        <v>Other</v>
      </c>
      <c r="D102" s="552" t="s">
        <v>204</v>
      </c>
      <c r="E102" s="710">
        <f>VLOOKUP($B102&amp;"_"&amp;$D102,'App5 - CRUK Inci Rates'!C:H,6,FALSE)</f>
        <v>45.545645274943674</v>
      </c>
      <c r="F102" s="711">
        <f>VLOOKUP($B102&amp;"_"&amp;$D102,'App5 - CRUK Inci Rates'!C:H,3,FALSE)</f>
        <v>23.007991219794569</v>
      </c>
      <c r="G102" s="712">
        <f>VLOOKUP($B102&amp;"_"&amp;$D102,'App5 - CRUK Inci Rates'!C:J,8,FALSE)</f>
        <v>29847254.666666668</v>
      </c>
      <c r="H102" s="713">
        <f>VLOOKUP($B102&amp;"_"&amp;$D102,'App5 - CRUK Inci Rates'!C:J,7,FALSE)</f>
        <v>14565607.666666668</v>
      </c>
      <c r="I102" s="713">
        <f>VLOOKUP($B102&amp;"_"&amp;$D102,'App5 - CRUK Inci Rates'!C:J,4,FALSE)</f>
        <v>15281647</v>
      </c>
      <c r="J102" s="709">
        <f>VLOOKUP($B102&amp;"_"&amp;$D102,'App5 - CRUK Inci Rates'!C:K,9,FALSE)</f>
        <v>10150</v>
      </c>
      <c r="K102" s="706">
        <f t="shared" si="70"/>
        <v>14923627.333333334</v>
      </c>
      <c r="L102" s="706">
        <f>VLOOKUP("*"&amp;$B102&amp;"*",'S4 - Summ PRS Characteristics'!$C$13:$Q$20,11,FALSE)*$J102</f>
        <v>7110.2330426248336</v>
      </c>
      <c r="M102" s="706">
        <f t="shared" si="71"/>
        <v>3039.7669573751664</v>
      </c>
      <c r="N102" s="706">
        <f>IF($C102="other",(1-$C$7)*L102,(1-(VLOOKUP($C102,'S3 - Screening Tool Metrics'!$C$3:$G$17,5,FALSE)/100))*L102)</f>
        <v>1422.0466085249664</v>
      </c>
      <c r="O102" s="706">
        <f>IF($C102="other",$C$7*L102,(VLOOKUP($C102,'S3 - Screening Tool Metrics'!$C$3:$G$17,5,FALSE)/100)*L102)</f>
        <v>5688.1864340998673</v>
      </c>
      <c r="P102" s="706">
        <f t="shared" si="72"/>
        <v>56.041245656156327</v>
      </c>
      <c r="Q102" s="707">
        <f t="shared" si="77"/>
        <v>5969450.9333333336</v>
      </c>
      <c r="R102" s="706">
        <f>VLOOKUP("*"&amp;$B102&amp;"*",'S4 - Summ PRS Characteristics'!$C$13:$Q$20,12,FALSE)*$J102</f>
        <v>3817.4246724542595</v>
      </c>
      <c r="S102" s="706">
        <f t="shared" si="85"/>
        <v>6332.5753275457409</v>
      </c>
      <c r="T102" s="706">
        <f>IF($C102="other",(1-$C88)*R102,(1-(VLOOKUP($C102,'S3 - Screening Tool Metrics'!$C$3:$G$17,5,FALSE)/100))*R102)</f>
        <v>763.48493449085174</v>
      </c>
      <c r="U102" s="706">
        <f>IF($C102="other",$C88*R102,(VLOOKUP($C102,'S3 - Screening Tool Metrics'!$C$3:$G$17,5,FALSE)/100)*R102)</f>
        <v>3053.9397379634079</v>
      </c>
      <c r="V102" s="706">
        <f t="shared" si="78"/>
        <v>30.088076236092686</v>
      </c>
      <c r="W102" s="707">
        <f t="shared" si="79"/>
        <v>2984725.4666666668</v>
      </c>
      <c r="X102" s="706">
        <f>VLOOKUP("*"&amp;$B102&amp;"*",'S4 - Summ PRS Characteristics'!$C$13:$Q$20,13,FALSE)*$J102</f>
        <v>2282.9810870721808</v>
      </c>
      <c r="Y102" s="706">
        <f t="shared" si="86"/>
        <v>7867.0189129278187</v>
      </c>
      <c r="Z102" s="706">
        <f>IF($C102="other",(1-$C88)*X102,(1-(VLOOKUP($C102,'S3 - Screening Tool Metrics'!$C$3:$G$17,5,FALSE)/100))*X102)</f>
        <v>456.59621741443607</v>
      </c>
      <c r="AA102" s="706">
        <f>IF($C102="other",$C88*X102,(VLOOKUP($C102,'S3 - Screening Tool Metrics'!$C$3:$G$17,5,FALSE)/100)*X102)</f>
        <v>1826.3848696577447</v>
      </c>
      <c r="AB102" s="709">
        <f t="shared" si="80"/>
        <v>17.993939602539356</v>
      </c>
      <c r="AC102" s="706">
        <f t="shared" si="81"/>
        <v>1492362.7333333334</v>
      </c>
      <c r="AD102" s="706">
        <f>VLOOKUP("*"&amp;$B102&amp;"*",'S4 - Summ PRS Characteristics'!$C$13:$Q$20,14,FALSE)*$J102</f>
        <v>1335.5018039333336</v>
      </c>
      <c r="AE102" s="706">
        <f t="shared" si="88"/>
        <v>8814.4981960666664</v>
      </c>
      <c r="AF102" s="706">
        <f>IF($C102="other",(1-$C88)*AD102,(1-(VLOOKUP($C102,'S3 - Screening Tool Metrics'!$C$3:$G$17,5,FALSE)/100))*AD102)</f>
        <v>267.10036078666667</v>
      </c>
      <c r="AG102" s="706">
        <f>IF($C102="other",$C88*AD102,(VLOOKUP($C102,'S3 - Screening Tool Metrics'!$C$3:$G$17,5,FALSE)/100)*AD102)</f>
        <v>1068.4014431466669</v>
      </c>
      <c r="AH102" s="708">
        <f t="shared" si="82"/>
        <v>10.526122592578</v>
      </c>
      <c r="AI102" s="707">
        <f t="shared" si="83"/>
        <v>298472.54666666669</v>
      </c>
      <c r="AJ102" s="706">
        <f>VLOOKUP("*"&amp;$B102&amp;"*",'S4 - Summ PRS Characteristics'!$C$13:$Q$20,15,FALSE)*$J102</f>
        <v>364.32111126348849</v>
      </c>
      <c r="AK102" s="706">
        <f t="shared" si="87"/>
        <v>9785.678888736511</v>
      </c>
      <c r="AL102" s="706">
        <f>IF($C102="other",(1-$C88)*AJ102,(1-(VLOOKUP($C102,'S3 - Screening Tool Metrics'!$C$3:$G$17,5,FALSE)/100))*AJ102)</f>
        <v>72.864222252697687</v>
      </c>
      <c r="AM102" s="706">
        <f>IF($C102="other",$C88*AJ102,(VLOOKUP($C102,'S3 - Screening Tool Metrics'!$C$3:$G$17,5,FALSE)/100)*AJ102)</f>
        <v>291.4568890107908</v>
      </c>
      <c r="AN102" s="709">
        <f t="shared" si="84"/>
        <v>2.871496443456067</v>
      </c>
    </row>
    <row r="103" spans="2:40" ht="14" thickBot="1" x14ac:dyDescent="0.2">
      <c r="B103" s="700" t="s">
        <v>14</v>
      </c>
      <c r="C103" s="721"/>
      <c r="D103" s="552" t="s">
        <v>205</v>
      </c>
      <c r="E103" s="710">
        <f>VLOOKUP($B103&amp;"_"&amp;$D103,'App5 - CRUK Inci Rates'!C:H,6,FALSE)</f>
        <v>29.2</v>
      </c>
      <c r="F103" s="711">
        <f>VLOOKUP($B103&amp;"_"&amp;$D103,'App5 - CRUK Inci Rates'!C:H,3,FALSE)</f>
        <v>14.8</v>
      </c>
      <c r="G103" s="712">
        <f>VLOOKUP($B103&amp;"_"&amp;$D103,'App5 - CRUK Inci Rates'!C:J,8,FALSE)</f>
        <v>66041277.666666664</v>
      </c>
      <c r="H103" s="713">
        <f>VLOOKUP($B103&amp;"_"&amp;$D103,'App5 - CRUK Inci Rates'!C:J,7,FALSE)</f>
        <v>32583225.666666668</v>
      </c>
      <c r="I103" s="713">
        <f>VLOOKUP($B103&amp;"_"&amp;$D103,'App5 - CRUK Inci Rates'!C:J,4,FALSE)</f>
        <v>33458051.999999996</v>
      </c>
      <c r="J103" s="709">
        <f>VLOOKUP($B103&amp;"_"&amp;$D103,'App5 - CRUK Inci Rates'!C:K,9,FALSE)</f>
        <v>13323</v>
      </c>
      <c r="K103" s="716"/>
      <c r="L103" s="716"/>
      <c r="M103" s="716"/>
      <c r="N103" s="716"/>
      <c r="O103" s="716"/>
      <c r="P103" s="716"/>
      <c r="Q103" s="715"/>
      <c r="R103" s="716"/>
      <c r="S103" s="716"/>
      <c r="T103" s="716"/>
      <c r="U103" s="716"/>
      <c r="V103" s="716"/>
      <c r="W103" s="715"/>
      <c r="X103" s="716"/>
      <c r="Y103" s="716"/>
      <c r="Z103" s="716"/>
      <c r="AA103" s="716"/>
      <c r="AB103" s="718"/>
      <c r="AC103" s="716"/>
      <c r="AD103" s="716"/>
      <c r="AE103" s="716"/>
      <c r="AF103" s="716"/>
      <c r="AG103" s="716"/>
      <c r="AH103" s="717"/>
      <c r="AI103" s="715"/>
      <c r="AJ103" s="716"/>
      <c r="AK103" s="716"/>
      <c r="AL103" s="716"/>
      <c r="AM103" s="716"/>
      <c r="AN103" s="718"/>
    </row>
    <row r="104" spans="2:40" ht="21" customHeight="1" thickBot="1" x14ac:dyDescent="0.2">
      <c r="B104" s="686" t="s">
        <v>32</v>
      </c>
      <c r="C104" s="687">
        <v>0.8</v>
      </c>
      <c r="D104" s="688"/>
      <c r="E104" s="689"/>
      <c r="F104" s="690"/>
      <c r="G104" s="691"/>
      <c r="H104" s="692"/>
      <c r="I104" s="692"/>
      <c r="J104" s="693"/>
      <c r="K104" s="694"/>
      <c r="L104" s="694"/>
      <c r="M104" s="694"/>
      <c r="N104" s="694"/>
      <c r="O104" s="694"/>
      <c r="P104" s="694"/>
      <c r="Q104" s="695"/>
      <c r="R104" s="696"/>
      <c r="S104" s="696"/>
      <c r="T104" s="696"/>
      <c r="U104" s="696"/>
      <c r="V104" s="696"/>
      <c r="W104" s="695"/>
      <c r="X104" s="696"/>
      <c r="Y104" s="696"/>
      <c r="Z104" s="696"/>
      <c r="AA104" s="696"/>
      <c r="AB104" s="699"/>
      <c r="AC104" s="696"/>
      <c r="AD104" s="696"/>
      <c r="AE104" s="696"/>
      <c r="AF104" s="696"/>
      <c r="AG104" s="696"/>
      <c r="AH104" s="697"/>
      <c r="AI104" s="695"/>
      <c r="AJ104" s="696"/>
      <c r="AK104" s="696"/>
      <c r="AL104" s="696"/>
      <c r="AM104" s="696"/>
      <c r="AN104" s="699"/>
    </row>
    <row r="105" spans="2:40" x14ac:dyDescent="0.15">
      <c r="B105" s="700" t="s">
        <v>32</v>
      </c>
      <c r="C105" s="741" t="s">
        <v>180</v>
      </c>
      <c r="D105" s="593" t="s">
        <v>192</v>
      </c>
      <c r="E105" s="701">
        <f>VLOOKUP($B105&amp;"_"&amp;$D105,'App5 - CRUK Inci Rates'!C:H,6,FALSE)</f>
        <v>6</v>
      </c>
      <c r="F105" s="702">
        <f>VLOOKUP($B105&amp;"_"&amp;$D105,'App5 - CRUK Inci Rates'!C:H,3,FALSE)</f>
        <v>5.8</v>
      </c>
      <c r="G105" s="703">
        <f>VLOOKUP($B105&amp;"_"&amp;$D105,'App5 - CRUK Inci Rates'!C:J,8,FALSE)</f>
        <v>4075608</v>
      </c>
      <c r="H105" s="704">
        <f>VLOOKUP($B105&amp;"_"&amp;$D105,'App5 - CRUK Inci Rates'!C:J,7,FALSE)</f>
        <v>2021384.6666666667</v>
      </c>
      <c r="I105" s="704">
        <f>VLOOKUP($B105&amp;"_"&amp;$D105,'App5 - CRUK Inci Rates'!C:J,4,FALSE)</f>
        <v>2054223.3333333333</v>
      </c>
      <c r="J105" s="705">
        <f>VLOOKUP($B105&amp;"_"&amp;$D105,'App5 - CRUK Inci Rates'!C:K,9,FALSE)</f>
        <v>240</v>
      </c>
      <c r="K105" s="706">
        <f t="shared" si="70"/>
        <v>2037804</v>
      </c>
      <c r="L105" s="706">
        <f>VLOOKUP("*"&amp;$B105&amp;"*",'S4 - Summ PRS Characteristics'!$C$13:$Q$20,11,FALSE)*$J105</f>
        <v>156.53379396881436</v>
      </c>
      <c r="M105" s="706">
        <f t="shared" si="71"/>
        <v>83.466206031185635</v>
      </c>
      <c r="N105" s="706">
        <f>IF($C105="other",(1-$C$7)*L105,(1-(VLOOKUP($C105,'S3 - Screening Tool Metrics'!$C$3:$G$17,5,FALSE)/100))*L105)</f>
        <v>31.306758793762867</v>
      </c>
      <c r="O105" s="706">
        <f>IF($C105="other",$C$7*L105,(VLOOKUP($C105,'S3 - Screening Tool Metrics'!$C$3:$G$17,5,FALSE)/100)*L105)</f>
        <v>125.2270351750515</v>
      </c>
      <c r="P105" s="706">
        <f t="shared" si="72"/>
        <v>52.177931322938122</v>
      </c>
      <c r="Q105" s="707">
        <f t="shared" ref="Q105:Q118" si="89">$G105*Q$3</f>
        <v>815121.60000000009</v>
      </c>
      <c r="R105" s="706">
        <f>VLOOKUP("*"&amp;$B105&amp;"*",'S4 - Summ PRS Characteristics'!$C$13:$Q$20,12,FALSE)*$J105</f>
        <v>78.300243534502457</v>
      </c>
      <c r="S105" s="706">
        <f>$J105-R105</f>
        <v>161.69975646549756</v>
      </c>
      <c r="T105" s="706">
        <f>IF($C105="other",(1-$C104)*R105,(1-(VLOOKUP($C105,'S3 - Screening Tool Metrics'!$C$3:$G$17,5,FALSE)/100))*R105)</f>
        <v>15.660048706900488</v>
      </c>
      <c r="U105" s="706">
        <f>IF($C105="other",$C104*R105,(VLOOKUP($C105,'S3 - Screening Tool Metrics'!$C$3:$G$17,5,FALSE)/100)*R105)</f>
        <v>62.640194827601967</v>
      </c>
      <c r="V105" s="706">
        <f t="shared" ref="V105:V118" si="90">U105/J105*100</f>
        <v>26.100081178167482</v>
      </c>
      <c r="W105" s="707">
        <f t="shared" ref="W105:W118" si="91">$G105*W$3</f>
        <v>407560.80000000005</v>
      </c>
      <c r="X105" s="706">
        <f>VLOOKUP("*"&amp;$B105&amp;"*",'S4 - Summ PRS Characteristics'!$C$13:$Q$20,13,FALSE)*$J105</f>
        <v>44.801771563364156</v>
      </c>
      <c r="Y105" s="706">
        <f>$J105-X105</f>
        <v>195.19822843663584</v>
      </c>
      <c r="Z105" s="706">
        <f>IF($C105="other",(1-$C104)*X105,(1-(VLOOKUP($C105,'S3 - Screening Tool Metrics'!$C$3:$G$17,5,FALSE)/100))*X105)</f>
        <v>8.9603543126728287</v>
      </c>
      <c r="AA105" s="706">
        <f>IF($C105="other",$C104*X105,(VLOOKUP($C105,'S3 - Screening Tool Metrics'!$C$3:$G$17,5,FALSE)/100)*X105)</f>
        <v>35.841417250691329</v>
      </c>
      <c r="AB105" s="709">
        <f t="shared" ref="AB105:AB118" si="92">$AA105/$J105*100</f>
        <v>14.93392385445472</v>
      </c>
      <c r="AC105" s="706">
        <f t="shared" ref="AC105:AC118" si="93">$G105*AC$3</f>
        <v>203780.40000000002</v>
      </c>
      <c r="AD105" s="706">
        <f>VLOOKUP("*"&amp;$B105&amp;"*",'S4 - Summ PRS Characteristics'!$C$13:$Q$20,14,FALSE)*$J105</f>
        <v>25.201919779185356</v>
      </c>
      <c r="AE105" s="706">
        <f>$J105-AD105</f>
        <v>214.79808022081465</v>
      </c>
      <c r="AF105" s="706">
        <f>IF($C105="other",(1-$C104)*AD105,(1-(VLOOKUP($C105,'S3 - Screening Tool Metrics'!$C$3:$G$17,5,FALSE)/100))*AD105)</f>
        <v>5.0403839558370702</v>
      </c>
      <c r="AG105" s="706">
        <f>IF($C105="other",$C104*AD105,(VLOOKUP($C105,'S3 - Screening Tool Metrics'!$C$3:$G$17,5,FALSE)/100)*AD105)</f>
        <v>20.161535823348288</v>
      </c>
      <c r="AH105" s="708">
        <f t="shared" ref="AH105:AH118" si="94">$AG105/$J105*100</f>
        <v>8.4006399263951206</v>
      </c>
      <c r="AI105" s="707">
        <f t="shared" ref="AI105:AI118" si="95">$G105*AI$3</f>
        <v>40756.080000000002</v>
      </c>
      <c r="AJ105" s="706">
        <f>VLOOKUP("*"&amp;$B105&amp;"*",'S4 - Summ PRS Characteristics'!$C$13:$Q$20,15,FALSE)*$J105</f>
        <v>6.358604351255746</v>
      </c>
      <c r="AK105" s="706">
        <f>$J105-AJ105</f>
        <v>233.64139564874426</v>
      </c>
      <c r="AL105" s="706">
        <f>IF($C105="other",(1-$C104)*AJ105,(1-(VLOOKUP($C105,'S3 - Screening Tool Metrics'!$C$3:$G$17,5,FALSE)/100))*AJ105)</f>
        <v>1.2717208702511489</v>
      </c>
      <c r="AM105" s="706">
        <f>IF($C105="other",$C104*AJ105,(VLOOKUP($C105,'S3 - Screening Tool Metrics'!$C$3:$G$17,5,FALSE)/100)*AJ105)</f>
        <v>5.0868834810045973</v>
      </c>
      <c r="AN105" s="709">
        <f t="shared" ref="AN105:AN118" si="96">$AM105/$J105*100</f>
        <v>2.1195347837519156</v>
      </c>
    </row>
    <row r="106" spans="2:40" x14ac:dyDescent="0.15">
      <c r="B106" s="700" t="s">
        <v>32</v>
      </c>
      <c r="C106" s="721" t="str">
        <f>$C105</f>
        <v>Other</v>
      </c>
      <c r="D106" s="552" t="s">
        <v>193</v>
      </c>
      <c r="E106" s="710">
        <f>VLOOKUP($B106&amp;"_"&amp;$D106,'App5 - CRUK Inci Rates'!C:H,6,FALSE)</f>
        <v>16.3</v>
      </c>
      <c r="F106" s="711">
        <f>VLOOKUP($B106&amp;"_"&amp;$D106,'App5 - CRUK Inci Rates'!C:H,3,FALSE)</f>
        <v>14.7</v>
      </c>
      <c r="G106" s="712">
        <f>VLOOKUP($B106&amp;"_"&amp;$D106,'App5 - CRUK Inci Rates'!C:J,8,FALSE)</f>
        <v>4567159.333333334</v>
      </c>
      <c r="H106" s="713">
        <f>VLOOKUP($B106&amp;"_"&amp;$D106,'App5 - CRUK Inci Rates'!C:J,7,FALSE)</f>
        <v>2251680</v>
      </c>
      <c r="I106" s="713">
        <f>VLOOKUP($B106&amp;"_"&amp;$D106,'App5 - CRUK Inci Rates'!C:J,4,FALSE)</f>
        <v>2315479.3333333335</v>
      </c>
      <c r="J106" s="709">
        <f>VLOOKUP($B106&amp;"_"&amp;$D106,'App5 - CRUK Inci Rates'!C:K,9,FALSE)</f>
        <v>706</v>
      </c>
      <c r="K106" s="706">
        <f t="shared" si="70"/>
        <v>2283579.666666667</v>
      </c>
      <c r="L106" s="706">
        <f>VLOOKUP("*"&amp;$B106&amp;"*",'S4 - Summ PRS Characteristics'!$C$13:$Q$20,11,FALSE)*$J106</f>
        <v>460.47024392492887</v>
      </c>
      <c r="M106" s="706">
        <f t="shared" si="71"/>
        <v>245.52975607507113</v>
      </c>
      <c r="N106" s="706">
        <f>IF($C106="other",(1-$C$7)*L106,(1-(VLOOKUP($C106,'S3 - Screening Tool Metrics'!$C$3:$G$17,5,FALSE)/100))*L106)</f>
        <v>92.094048784985759</v>
      </c>
      <c r="O106" s="706">
        <f>IF($C106="other",$C$7*L106,(VLOOKUP($C106,'S3 - Screening Tool Metrics'!$C$3:$G$17,5,FALSE)/100)*L106)</f>
        <v>368.37619513994309</v>
      </c>
      <c r="P106" s="706">
        <f t="shared" si="72"/>
        <v>52.177931322938122</v>
      </c>
      <c r="Q106" s="707">
        <f t="shared" si="89"/>
        <v>913431.86666666681</v>
      </c>
      <c r="R106" s="706">
        <f>VLOOKUP("*"&amp;$B106&amp;"*",'S4 - Summ PRS Characteristics'!$C$13:$Q$20,12,FALSE)*$J106</f>
        <v>230.33321639732804</v>
      </c>
      <c r="S106" s="706">
        <f t="shared" ref="S106:S118" si="97">$J106-R106</f>
        <v>475.66678360267196</v>
      </c>
      <c r="T106" s="706">
        <f>IF($C106="other",(1-$C104)*R106,(1-(VLOOKUP($C106,'S3 - Screening Tool Metrics'!$C$3:$G$17,5,FALSE)/100))*R106)</f>
        <v>46.066643279465602</v>
      </c>
      <c r="U106" s="706">
        <f>IF($C106="other",$C104*R106,(VLOOKUP($C106,'S3 - Screening Tool Metrics'!$C$3:$G$17,5,FALSE)/100)*R106)</f>
        <v>184.26657311786244</v>
      </c>
      <c r="V106" s="706">
        <f t="shared" si="90"/>
        <v>26.100081178167482</v>
      </c>
      <c r="W106" s="707">
        <f t="shared" si="91"/>
        <v>456715.93333333341</v>
      </c>
      <c r="X106" s="706">
        <f>VLOOKUP("*"&amp;$B106&amp;"*",'S4 - Summ PRS Characteristics'!$C$13:$Q$20,13,FALSE)*$J106</f>
        <v>131.7918780155629</v>
      </c>
      <c r="Y106" s="706">
        <f t="shared" ref="Y106:Y118" si="98">$J106-X106</f>
        <v>574.20812198443707</v>
      </c>
      <c r="Z106" s="706">
        <f>IF($C106="other",(1-$C104)*X106,(1-(VLOOKUP($C106,'S3 - Screening Tool Metrics'!$C$3:$G$17,5,FALSE)/100))*X106)</f>
        <v>26.358375603112574</v>
      </c>
      <c r="AA106" s="706">
        <f>IF($C106="other",$C104*X106,(VLOOKUP($C106,'S3 - Screening Tool Metrics'!$C$3:$G$17,5,FALSE)/100)*X106)</f>
        <v>105.43350241245032</v>
      </c>
      <c r="AB106" s="709">
        <f t="shared" si="92"/>
        <v>14.93392385445472</v>
      </c>
      <c r="AC106" s="706">
        <f t="shared" si="93"/>
        <v>228357.9666666667</v>
      </c>
      <c r="AD106" s="706">
        <f>VLOOKUP("*"&amp;$B106&amp;"*",'S4 - Summ PRS Characteristics'!$C$13:$Q$20,14,FALSE)*$J106</f>
        <v>74.135647350436926</v>
      </c>
      <c r="AE106" s="706">
        <f>$J106-AD106</f>
        <v>631.8643526495631</v>
      </c>
      <c r="AF106" s="706">
        <f>IF($C106="other",(1-$C104)*AD106,(1-(VLOOKUP($C106,'S3 - Screening Tool Metrics'!$C$3:$G$17,5,FALSE)/100))*AD106)</f>
        <v>14.827129470087382</v>
      </c>
      <c r="AG106" s="706">
        <f>IF($C106="other",$C104*AD106,(VLOOKUP($C106,'S3 - Screening Tool Metrics'!$C$3:$G$17,5,FALSE)/100)*AD106)</f>
        <v>59.308517880349541</v>
      </c>
      <c r="AH106" s="708">
        <f t="shared" si="94"/>
        <v>8.4006399263951188</v>
      </c>
      <c r="AI106" s="707">
        <f t="shared" si="95"/>
        <v>45671.593333333338</v>
      </c>
      <c r="AJ106" s="706">
        <f>VLOOKUP("*"&amp;$B106&amp;"*",'S4 - Summ PRS Characteristics'!$C$13:$Q$20,15,FALSE)*$J106</f>
        <v>18.70489446661065</v>
      </c>
      <c r="AK106" s="706">
        <f t="shared" ref="AK106:AK118" si="99">$J106-AJ106</f>
        <v>687.29510553338935</v>
      </c>
      <c r="AL106" s="706">
        <f>IF($C106="other",(1-$C104)*AJ106,(1-(VLOOKUP($C106,'S3 - Screening Tool Metrics'!$C$3:$G$17,5,FALSE)/100))*AJ106)</f>
        <v>3.7409788933221293</v>
      </c>
      <c r="AM106" s="706">
        <f>IF($C106="other",$C104*AJ106,(VLOOKUP($C106,'S3 - Screening Tool Metrics'!$C$3:$G$17,5,FALSE)/100)*AJ106)</f>
        <v>14.963915573288521</v>
      </c>
      <c r="AN106" s="709">
        <f t="shared" si="96"/>
        <v>2.1195347837519152</v>
      </c>
    </row>
    <row r="107" spans="2:40" x14ac:dyDescent="0.15">
      <c r="B107" s="700" t="s">
        <v>32</v>
      </c>
      <c r="C107" s="721" t="str">
        <f>$C105</f>
        <v>Other</v>
      </c>
      <c r="D107" s="552" t="s">
        <v>194</v>
      </c>
      <c r="E107" s="710">
        <f>VLOOKUP($B107&amp;"_"&amp;$D107,'App5 - CRUK Inci Rates'!C:H,6,FALSE)</f>
        <v>33.4</v>
      </c>
      <c r="F107" s="711">
        <f>VLOOKUP($B107&amp;"_"&amp;$D107,'App5 - CRUK Inci Rates'!C:H,3,FALSE)</f>
        <v>31.5</v>
      </c>
      <c r="G107" s="712">
        <f>VLOOKUP($B107&amp;"_"&amp;$D107,'App5 - CRUK Inci Rates'!C:J,8,FALSE)</f>
        <v>4658110.666666666</v>
      </c>
      <c r="H107" s="713">
        <f>VLOOKUP($B107&amp;"_"&amp;$D107,'App5 - CRUK Inci Rates'!C:J,7,FALSE)</f>
        <v>2293472.6666666665</v>
      </c>
      <c r="I107" s="713">
        <f>VLOOKUP($B107&amp;"_"&amp;$D107,'App5 - CRUK Inci Rates'!C:J,4,FALSE)</f>
        <v>2364638</v>
      </c>
      <c r="J107" s="709">
        <f>VLOOKUP($B107&amp;"_"&amp;$D107,'App5 - CRUK Inci Rates'!C:K,9,FALSE)</f>
        <v>1512</v>
      </c>
      <c r="K107" s="706">
        <f t="shared" si="70"/>
        <v>2329055.333333333</v>
      </c>
      <c r="L107" s="706">
        <f>VLOOKUP("*"&amp;$B107&amp;"*",'S4 - Summ PRS Characteristics'!$C$13:$Q$20,11,FALSE)*$J107</f>
        <v>986.16290200353046</v>
      </c>
      <c r="M107" s="706">
        <f t="shared" si="71"/>
        <v>525.83709799646954</v>
      </c>
      <c r="N107" s="706">
        <f>IF($C107="other",(1-$C$7)*L107,(1-(VLOOKUP($C107,'S3 - Screening Tool Metrics'!$C$3:$G$17,5,FALSE)/100))*L107)</f>
        <v>197.23258040070604</v>
      </c>
      <c r="O107" s="706">
        <f>IF($C107="other",$C$7*L107,(VLOOKUP($C107,'S3 - Screening Tool Metrics'!$C$3:$G$17,5,FALSE)/100)*L107)</f>
        <v>788.93032160282439</v>
      </c>
      <c r="P107" s="706">
        <f t="shared" si="72"/>
        <v>52.177931322938122</v>
      </c>
      <c r="Q107" s="707">
        <f t="shared" si="89"/>
        <v>931622.1333333333</v>
      </c>
      <c r="R107" s="706">
        <f>VLOOKUP("*"&amp;$B107&amp;"*",'S4 - Summ PRS Characteristics'!$C$13:$Q$20,12,FALSE)*$J107</f>
        <v>493.29153426736548</v>
      </c>
      <c r="S107" s="706">
        <f t="shared" si="97"/>
        <v>1018.7084657326345</v>
      </c>
      <c r="T107" s="706">
        <f>IF($C107="other",(1-$C104)*R107,(1-(VLOOKUP($C107,'S3 - Screening Tool Metrics'!$C$3:$G$17,5,FALSE)/100))*R107)</f>
        <v>98.658306853473078</v>
      </c>
      <c r="U107" s="706">
        <f>IF($C107="other",$C104*R107,(VLOOKUP($C107,'S3 - Screening Tool Metrics'!$C$3:$G$17,5,FALSE)/100)*R107)</f>
        <v>394.63322741389243</v>
      </c>
      <c r="V107" s="706">
        <f t="shared" si="90"/>
        <v>26.100081178167489</v>
      </c>
      <c r="W107" s="707">
        <f t="shared" si="91"/>
        <v>465811.06666666665</v>
      </c>
      <c r="X107" s="706">
        <f>VLOOKUP("*"&amp;$B107&amp;"*",'S4 - Summ PRS Characteristics'!$C$13:$Q$20,13,FALSE)*$J107</f>
        <v>282.25116084919415</v>
      </c>
      <c r="Y107" s="706">
        <f t="shared" si="98"/>
        <v>1229.7488391508059</v>
      </c>
      <c r="Z107" s="706">
        <f>IF($C107="other",(1-$C104)*X107,(1-(VLOOKUP($C107,'S3 - Screening Tool Metrics'!$C$3:$G$17,5,FALSE)/100))*X107)</f>
        <v>56.45023216983882</v>
      </c>
      <c r="AA107" s="706">
        <f>IF($C107="other",$C104*X107,(VLOOKUP($C107,'S3 - Screening Tool Metrics'!$C$3:$G$17,5,FALSE)/100)*X107)</f>
        <v>225.80092867935534</v>
      </c>
      <c r="AB107" s="709">
        <f t="shared" si="92"/>
        <v>14.933923854454717</v>
      </c>
      <c r="AC107" s="706">
        <f t="shared" si="93"/>
        <v>232905.53333333333</v>
      </c>
      <c r="AD107" s="706">
        <f>VLOOKUP("*"&amp;$B107&amp;"*",'S4 - Summ PRS Characteristics'!$C$13:$Q$20,14,FALSE)*$J107</f>
        <v>158.77209460886775</v>
      </c>
      <c r="AE107" s="706">
        <f t="shared" ref="AE107:AE118" si="100">$J107-AD107</f>
        <v>1353.2279053911323</v>
      </c>
      <c r="AF107" s="706">
        <f>IF($C107="other",(1-$C104)*AD107,(1-(VLOOKUP($C107,'S3 - Screening Tool Metrics'!$C$3:$G$17,5,FALSE)/100))*AD107)</f>
        <v>31.754418921773542</v>
      </c>
      <c r="AG107" s="706">
        <f>IF($C107="other",$C104*AD107,(VLOOKUP($C107,'S3 - Screening Tool Metrics'!$C$3:$G$17,5,FALSE)/100)*AD107)</f>
        <v>127.0176756870942</v>
      </c>
      <c r="AH107" s="708">
        <f t="shared" si="94"/>
        <v>8.4006399263951188</v>
      </c>
      <c r="AI107" s="707">
        <f t="shared" si="95"/>
        <v>46581.106666666659</v>
      </c>
      <c r="AJ107" s="706">
        <f>VLOOKUP("*"&amp;$B107&amp;"*",'S4 - Summ PRS Characteristics'!$C$13:$Q$20,15,FALSE)*$J107</f>
        <v>40.059207412911199</v>
      </c>
      <c r="AK107" s="706">
        <f t="shared" si="99"/>
        <v>1471.9407925870887</v>
      </c>
      <c r="AL107" s="706">
        <f>IF($C107="other",(1-$C104)*AJ107,(1-(VLOOKUP($C107,'S3 - Screening Tool Metrics'!$C$3:$G$17,5,FALSE)/100))*AJ107)</f>
        <v>8.0118414825822377</v>
      </c>
      <c r="AM107" s="706">
        <f>IF($C107="other",$C104*AJ107,(VLOOKUP($C107,'S3 - Screening Tool Metrics'!$C$3:$G$17,5,FALSE)/100)*AJ107)</f>
        <v>32.047365930328958</v>
      </c>
      <c r="AN107" s="709">
        <f t="shared" si="96"/>
        <v>2.1195347837519152</v>
      </c>
    </row>
    <row r="108" spans="2:40" x14ac:dyDescent="0.15">
      <c r="B108" s="700" t="s">
        <v>32</v>
      </c>
      <c r="C108" s="721" t="str">
        <f>$C105</f>
        <v>Other</v>
      </c>
      <c r="D108" s="552" t="s">
        <v>195</v>
      </c>
      <c r="E108" s="710">
        <f>VLOOKUP($B108&amp;"_"&amp;$D108,'App5 - CRUK Inci Rates'!C:H,6,FALSE)</f>
        <v>71.400000000000006</v>
      </c>
      <c r="F108" s="711">
        <f>VLOOKUP($B108&amp;"_"&amp;$D108,'App5 - CRUK Inci Rates'!C:H,3,FALSE)</f>
        <v>67.099999999999994</v>
      </c>
      <c r="G108" s="712">
        <f>VLOOKUP($B108&amp;"_"&amp;$D108,'App5 - CRUK Inci Rates'!C:J,8,FALSE)</f>
        <v>4181606</v>
      </c>
      <c r="H108" s="713">
        <f>VLOOKUP($B108&amp;"_"&amp;$D108,'App5 - CRUK Inci Rates'!C:J,7,FALSE)</f>
        <v>2061918.6666666667</v>
      </c>
      <c r="I108" s="713">
        <f>VLOOKUP($B108&amp;"_"&amp;$D108,'App5 - CRUK Inci Rates'!C:J,4,FALSE)</f>
        <v>2119687.3333333335</v>
      </c>
      <c r="J108" s="709">
        <f>VLOOKUP($B108&amp;"_"&amp;$D108,'App5 - CRUK Inci Rates'!C:K,9,FALSE)</f>
        <v>2896</v>
      </c>
      <c r="K108" s="706">
        <f t="shared" si="70"/>
        <v>2090803</v>
      </c>
      <c r="L108" s="706">
        <f>VLOOKUP("*"&amp;$B108&amp;"*",'S4 - Summ PRS Characteristics'!$C$13:$Q$20,11,FALSE)*$J108</f>
        <v>1888.8411138903598</v>
      </c>
      <c r="M108" s="706">
        <f t="shared" si="71"/>
        <v>1007.1588861096402</v>
      </c>
      <c r="N108" s="706">
        <f>IF($C108="other",(1-$C$7)*L108,(1-(VLOOKUP($C108,'S3 - Screening Tool Metrics'!$C$3:$G$17,5,FALSE)/100))*L108)</f>
        <v>377.7682227780719</v>
      </c>
      <c r="O108" s="706">
        <f>IF($C108="other",$C$7*L108,(VLOOKUP($C108,'S3 - Screening Tool Metrics'!$C$3:$G$17,5,FALSE)/100)*L108)</f>
        <v>1511.0728911122878</v>
      </c>
      <c r="P108" s="706">
        <f t="shared" si="72"/>
        <v>52.177931322938122</v>
      </c>
      <c r="Q108" s="707">
        <f t="shared" si="89"/>
        <v>836321.20000000007</v>
      </c>
      <c r="R108" s="706">
        <f>VLOOKUP("*"&amp;$B108&amp;"*",'S4 - Summ PRS Characteristics'!$C$13:$Q$20,12,FALSE)*$J108</f>
        <v>944.82293864966289</v>
      </c>
      <c r="S108" s="706">
        <f t="shared" si="97"/>
        <v>1951.1770613503372</v>
      </c>
      <c r="T108" s="706">
        <f>IF($C108="other",(1-$C104)*R108,(1-(VLOOKUP($C108,'S3 - Screening Tool Metrics'!$C$3:$G$17,5,FALSE)/100))*R108)</f>
        <v>188.96458772993253</v>
      </c>
      <c r="U108" s="706">
        <f>IF($C108="other",$C104*R108,(VLOOKUP($C108,'S3 - Screening Tool Metrics'!$C$3:$G$17,5,FALSE)/100)*R108)</f>
        <v>755.85835091973036</v>
      </c>
      <c r="V108" s="706">
        <f t="shared" si="90"/>
        <v>26.100081178167482</v>
      </c>
      <c r="W108" s="707">
        <f t="shared" si="91"/>
        <v>418160.60000000003</v>
      </c>
      <c r="X108" s="706">
        <f>VLOOKUP("*"&amp;$B108&amp;"*",'S4 - Summ PRS Characteristics'!$C$13:$Q$20,13,FALSE)*$J108</f>
        <v>540.60804353126082</v>
      </c>
      <c r="Y108" s="706">
        <f t="shared" si="98"/>
        <v>2355.3919564687394</v>
      </c>
      <c r="Z108" s="706">
        <f>IF($C108="other",(1-$C104)*X108,(1-(VLOOKUP($C108,'S3 - Screening Tool Metrics'!$C$3:$G$17,5,FALSE)/100))*X108)</f>
        <v>108.12160870625215</v>
      </c>
      <c r="AA108" s="706">
        <f>IF($C108="other",$C104*X108,(VLOOKUP($C108,'S3 - Screening Tool Metrics'!$C$3:$G$17,5,FALSE)/100)*X108)</f>
        <v>432.4864348250087</v>
      </c>
      <c r="AB108" s="709">
        <f t="shared" si="92"/>
        <v>14.93392385445472</v>
      </c>
      <c r="AC108" s="706">
        <f t="shared" si="93"/>
        <v>209080.30000000002</v>
      </c>
      <c r="AD108" s="706">
        <f>VLOOKUP("*"&amp;$B108&amp;"*",'S4 - Summ PRS Characteristics'!$C$13:$Q$20,14,FALSE)*$J108</f>
        <v>304.10316533550332</v>
      </c>
      <c r="AE108" s="706">
        <f t="shared" si="100"/>
        <v>2591.8968346644965</v>
      </c>
      <c r="AF108" s="706">
        <f>IF($C108="other",(1-$C104)*AD108,(1-(VLOOKUP($C108,'S3 - Screening Tool Metrics'!$C$3:$G$17,5,FALSE)/100))*AD108)</f>
        <v>60.820633067100651</v>
      </c>
      <c r="AG108" s="706">
        <f>IF($C108="other",$C104*AD108,(VLOOKUP($C108,'S3 - Screening Tool Metrics'!$C$3:$G$17,5,FALSE)/100)*AD108)</f>
        <v>243.28253226840266</v>
      </c>
      <c r="AH108" s="708">
        <f t="shared" si="94"/>
        <v>8.4006399263951188</v>
      </c>
      <c r="AI108" s="707">
        <f t="shared" si="95"/>
        <v>41816.06</v>
      </c>
      <c r="AJ108" s="706">
        <f>VLOOKUP("*"&amp;$B108&amp;"*",'S4 - Summ PRS Characteristics'!$C$13:$Q$20,15,FALSE)*$J108</f>
        <v>76.727159171819324</v>
      </c>
      <c r="AK108" s="706">
        <f t="shared" si="99"/>
        <v>2819.2728408281805</v>
      </c>
      <c r="AL108" s="706">
        <f>IF($C108="other",(1-$C104)*AJ108,(1-(VLOOKUP($C108,'S3 - Screening Tool Metrics'!$C$3:$G$17,5,FALSE)/100))*AJ108)</f>
        <v>15.345431834363861</v>
      </c>
      <c r="AM108" s="706">
        <f>IF($C108="other",$C104*AJ108,(VLOOKUP($C108,'S3 - Screening Tool Metrics'!$C$3:$G$17,5,FALSE)/100)*AJ108)</f>
        <v>61.381727337455459</v>
      </c>
      <c r="AN108" s="709">
        <f t="shared" si="96"/>
        <v>2.1195347837519152</v>
      </c>
    </row>
    <row r="109" spans="2:40" x14ac:dyDescent="0.15">
      <c r="B109" s="700" t="s">
        <v>32</v>
      </c>
      <c r="C109" s="721" t="str">
        <f>$C105</f>
        <v>Other</v>
      </c>
      <c r="D109" s="552" t="s">
        <v>196</v>
      </c>
      <c r="E109" s="710">
        <f>VLOOKUP($B109&amp;"_"&amp;$D109,'App5 - CRUK Inci Rates'!C:H,6,FALSE)</f>
        <v>137</v>
      </c>
      <c r="F109" s="711">
        <f>VLOOKUP($B109&amp;"_"&amp;$D109,'App5 - CRUK Inci Rates'!C:H,3,FALSE)</f>
        <v>124.9</v>
      </c>
      <c r="G109" s="712">
        <f>VLOOKUP($B109&amp;"_"&amp;$D109,'App5 - CRUK Inci Rates'!C:J,8,FALSE)</f>
        <v>3602002</v>
      </c>
      <c r="H109" s="713">
        <f>VLOOKUP($B109&amp;"_"&amp;$D109,'App5 - CRUK Inci Rates'!C:J,7,FALSE)</f>
        <v>1764828</v>
      </c>
      <c r="I109" s="713">
        <f>VLOOKUP($B109&amp;"_"&amp;$D109,'App5 - CRUK Inci Rates'!C:J,4,FALSE)</f>
        <v>1837174</v>
      </c>
      <c r="J109" s="709">
        <f>VLOOKUP($B109&amp;"_"&amp;$D109,'App5 - CRUK Inci Rates'!C:K,9,FALSE)</f>
        <v>4711</v>
      </c>
      <c r="K109" s="706">
        <f t="shared" si="70"/>
        <v>1801001</v>
      </c>
      <c r="L109" s="706">
        <f>VLOOKUP("*"&amp;$B109&amp;"*",'S4 - Summ PRS Characteristics'!$C$13:$Q$20,11,FALSE)*$J109</f>
        <v>3072.6279307795185</v>
      </c>
      <c r="M109" s="706">
        <f t="shared" si="71"/>
        <v>1638.3720692204815</v>
      </c>
      <c r="N109" s="706">
        <f>IF($C109="other",(1-$C$7)*L109,(1-(VLOOKUP($C109,'S3 - Screening Tool Metrics'!$C$3:$G$17,5,FALSE)/100))*L109)</f>
        <v>614.52558615590351</v>
      </c>
      <c r="O109" s="706">
        <f>IF($C109="other",$C$7*L109,(VLOOKUP($C109,'S3 - Screening Tool Metrics'!$C$3:$G$17,5,FALSE)/100)*L109)</f>
        <v>2458.102344623615</v>
      </c>
      <c r="P109" s="706">
        <f t="shared" si="72"/>
        <v>52.177931322938122</v>
      </c>
      <c r="Q109" s="707">
        <f t="shared" si="89"/>
        <v>720400.4</v>
      </c>
      <c r="R109" s="706">
        <f>VLOOKUP("*"&amp;$B109&amp;"*",'S4 - Summ PRS Characteristics'!$C$13:$Q$20,12,FALSE)*$J109</f>
        <v>1536.9685303793378</v>
      </c>
      <c r="S109" s="706">
        <f t="shared" si="97"/>
        <v>3174.0314696206624</v>
      </c>
      <c r="T109" s="706">
        <f>IF($C109="other",(1-$C104)*R109,(1-(VLOOKUP($C109,'S3 - Screening Tool Metrics'!$C$3:$G$17,5,FALSE)/100))*R109)</f>
        <v>307.3937060758675</v>
      </c>
      <c r="U109" s="706">
        <f>IF($C109="other",$C104*R109,(VLOOKUP($C109,'S3 - Screening Tool Metrics'!$C$3:$G$17,5,FALSE)/100)*R109)</f>
        <v>1229.5748243034705</v>
      </c>
      <c r="V109" s="706">
        <f t="shared" si="90"/>
        <v>26.100081178167489</v>
      </c>
      <c r="W109" s="707">
        <f t="shared" si="91"/>
        <v>360200.2</v>
      </c>
      <c r="X109" s="706">
        <f>VLOOKUP("*"&amp;$B109&amp;"*",'S4 - Summ PRS Characteristics'!$C$13:$Q$20,13,FALSE)*$J109</f>
        <v>879.4214409792022</v>
      </c>
      <c r="Y109" s="706">
        <f t="shared" si="98"/>
        <v>3831.5785590207979</v>
      </c>
      <c r="Z109" s="706">
        <f>IF($C109="other",(1-$C104)*X109,(1-(VLOOKUP($C109,'S3 - Screening Tool Metrics'!$C$3:$G$17,5,FALSE)/100))*X109)</f>
        <v>175.88428819584041</v>
      </c>
      <c r="AA109" s="706">
        <f>IF($C109="other",$C104*X109,(VLOOKUP($C109,'S3 - Screening Tool Metrics'!$C$3:$G$17,5,FALSE)/100)*X109)</f>
        <v>703.53715278336176</v>
      </c>
      <c r="AB109" s="709">
        <f t="shared" si="92"/>
        <v>14.933923854454717</v>
      </c>
      <c r="AC109" s="706">
        <f t="shared" si="93"/>
        <v>180100.1</v>
      </c>
      <c r="AD109" s="706">
        <f>VLOOKUP("*"&amp;$B109&amp;"*",'S4 - Summ PRS Characteristics'!$C$13:$Q$20,14,FALSE)*$J109</f>
        <v>494.6926836655926</v>
      </c>
      <c r="AE109" s="706">
        <f t="shared" si="100"/>
        <v>4216.307316334407</v>
      </c>
      <c r="AF109" s="706">
        <f>IF($C109="other",(1-$C104)*AD109,(1-(VLOOKUP($C109,'S3 - Screening Tool Metrics'!$C$3:$G$17,5,FALSE)/100))*AD109)</f>
        <v>98.938536733118497</v>
      </c>
      <c r="AG109" s="706">
        <f>IF($C109="other",$C104*AD109,(VLOOKUP($C109,'S3 - Screening Tool Metrics'!$C$3:$G$17,5,FALSE)/100)*AD109)</f>
        <v>395.7541469324741</v>
      </c>
      <c r="AH109" s="708">
        <f t="shared" si="94"/>
        <v>8.4006399263951206</v>
      </c>
      <c r="AI109" s="707">
        <f t="shared" si="95"/>
        <v>36020.020000000004</v>
      </c>
      <c r="AJ109" s="706">
        <f>VLOOKUP("*"&amp;$B109&amp;"*",'S4 - Summ PRS Characteristics'!$C$13:$Q$20,15,FALSE)*$J109</f>
        <v>124.81410457819091</v>
      </c>
      <c r="AK109" s="706">
        <f t="shared" si="99"/>
        <v>4586.1858954218087</v>
      </c>
      <c r="AL109" s="706">
        <f>IF($C109="other",(1-$C104)*AJ109,(1-(VLOOKUP($C109,'S3 - Screening Tool Metrics'!$C$3:$G$17,5,FALSE)/100))*AJ109)</f>
        <v>24.962820915638176</v>
      </c>
      <c r="AM109" s="706">
        <f>IF($C109="other",$C104*AJ109,(VLOOKUP($C109,'S3 - Screening Tool Metrics'!$C$3:$G$17,5,FALSE)/100)*AJ109)</f>
        <v>99.851283662552731</v>
      </c>
      <c r="AN109" s="709">
        <f t="shared" si="96"/>
        <v>2.1195347837519156</v>
      </c>
    </row>
    <row r="110" spans="2:40" x14ac:dyDescent="0.15">
      <c r="B110" s="700" t="s">
        <v>32</v>
      </c>
      <c r="C110" s="721" t="str">
        <f>$C105</f>
        <v>Other</v>
      </c>
      <c r="D110" s="552" t="s">
        <v>197</v>
      </c>
      <c r="E110" s="710">
        <f>VLOOKUP($B110&amp;"_"&amp;$D110,'App5 - CRUK Inci Rates'!C:H,6,FALSE)</f>
        <v>229.5</v>
      </c>
      <c r="F110" s="711">
        <f>VLOOKUP($B110&amp;"_"&amp;$D110,'App5 - CRUK Inci Rates'!C:H,3,FALSE)</f>
        <v>197.8</v>
      </c>
      <c r="G110" s="712">
        <f>VLOOKUP($B110&amp;"_"&amp;$D110,'App5 - CRUK Inci Rates'!C:J,8,FALSE)</f>
        <v>3502183.333333333</v>
      </c>
      <c r="H110" s="713">
        <f>VLOOKUP($B110&amp;"_"&amp;$D110,'App5 - CRUK Inci Rates'!C:J,7,FALSE)</f>
        <v>1696993.3333333333</v>
      </c>
      <c r="I110" s="713">
        <f>VLOOKUP($B110&amp;"_"&amp;$D110,'App5 - CRUK Inci Rates'!C:J,4,FALSE)</f>
        <v>1805190</v>
      </c>
      <c r="J110" s="709">
        <f>VLOOKUP($B110&amp;"_"&amp;$D110,'App5 - CRUK Inci Rates'!C:K,9,FALSE)</f>
        <v>7466</v>
      </c>
      <c r="K110" s="706">
        <f t="shared" si="70"/>
        <v>1751091.6666666665</v>
      </c>
      <c r="L110" s="706">
        <f>VLOOKUP("*"&amp;$B110&amp;"*",'S4 - Summ PRS Characteristics'!$C$13:$Q$20,11,FALSE)*$J110</f>
        <v>4869.5054407132002</v>
      </c>
      <c r="M110" s="706">
        <f t="shared" si="71"/>
        <v>2596.4945592867998</v>
      </c>
      <c r="N110" s="706">
        <f>IF($C110="other",(1-$C$7)*L110,(1-(VLOOKUP($C110,'S3 - Screening Tool Metrics'!$C$3:$G$17,5,FALSE)/100))*L110)</f>
        <v>973.90108814263976</v>
      </c>
      <c r="O110" s="706">
        <f>IF($C110="other",$C$7*L110,(VLOOKUP($C110,'S3 - Screening Tool Metrics'!$C$3:$G$17,5,FALSE)/100)*L110)</f>
        <v>3895.6043525705604</v>
      </c>
      <c r="P110" s="706">
        <f t="shared" si="72"/>
        <v>52.177931322938122</v>
      </c>
      <c r="Q110" s="707">
        <f t="shared" si="89"/>
        <v>700436.66666666663</v>
      </c>
      <c r="R110" s="706">
        <f>VLOOKUP("*"&amp;$B110&amp;"*",'S4 - Summ PRS Characteristics'!$C$13:$Q$20,12,FALSE)*$J110</f>
        <v>2435.7900759524805</v>
      </c>
      <c r="S110" s="706">
        <f t="shared" si="97"/>
        <v>5030.20992404752</v>
      </c>
      <c r="T110" s="706">
        <f>IF($C110="other",(1-$C104)*R110,(1-(VLOOKUP($C110,'S3 - Screening Tool Metrics'!$C$3:$G$17,5,FALSE)/100))*R110)</f>
        <v>487.15801519049597</v>
      </c>
      <c r="U110" s="706">
        <f>IF($C110="other",$C104*R110,(VLOOKUP($C110,'S3 - Screening Tool Metrics'!$C$3:$G$17,5,FALSE)/100)*R110)</f>
        <v>1948.6320607619846</v>
      </c>
      <c r="V110" s="706">
        <f t="shared" si="90"/>
        <v>26.100081178167489</v>
      </c>
      <c r="W110" s="707">
        <f t="shared" si="91"/>
        <v>350218.33333333331</v>
      </c>
      <c r="X110" s="706">
        <f>VLOOKUP("*"&amp;$B110&amp;"*",'S4 - Summ PRS Characteristics'!$C$13:$Q$20,13,FALSE)*$J110</f>
        <v>1393.7084437169865</v>
      </c>
      <c r="Y110" s="706">
        <f t="shared" si="98"/>
        <v>6072.2915562830131</v>
      </c>
      <c r="Z110" s="706">
        <f>IF($C110="other",(1-$C104)*X110,(1-(VLOOKUP($C110,'S3 - Screening Tool Metrics'!$C$3:$G$17,5,FALSE)/100))*X110)</f>
        <v>278.74168874339722</v>
      </c>
      <c r="AA110" s="706">
        <f>IF($C110="other",$C104*X110,(VLOOKUP($C110,'S3 - Screening Tool Metrics'!$C$3:$G$17,5,FALSE)/100)*X110)</f>
        <v>1114.9667549735893</v>
      </c>
      <c r="AB110" s="709">
        <f t="shared" si="92"/>
        <v>14.93392385445472</v>
      </c>
      <c r="AC110" s="706">
        <f t="shared" si="93"/>
        <v>175109.16666666666</v>
      </c>
      <c r="AD110" s="706">
        <f>VLOOKUP("*"&amp;$B110&amp;"*",'S4 - Summ PRS Characteristics'!$C$13:$Q$20,14,FALSE)*$J110</f>
        <v>783.98972113082448</v>
      </c>
      <c r="AE110" s="706">
        <f t="shared" si="100"/>
        <v>6682.0102788691756</v>
      </c>
      <c r="AF110" s="706">
        <f>IF($C110="other",(1-$C104)*AD110,(1-(VLOOKUP($C110,'S3 - Screening Tool Metrics'!$C$3:$G$17,5,FALSE)/100))*AD110)</f>
        <v>156.79794422616487</v>
      </c>
      <c r="AG110" s="706">
        <f>IF($C110="other",$C104*AD110,(VLOOKUP($C110,'S3 - Screening Tool Metrics'!$C$3:$G$17,5,FALSE)/100)*AD110)</f>
        <v>627.1917769046596</v>
      </c>
      <c r="AH110" s="708">
        <f t="shared" si="94"/>
        <v>8.4006399263951188</v>
      </c>
      <c r="AI110" s="707">
        <f t="shared" si="95"/>
        <v>35021.833333333328</v>
      </c>
      <c r="AJ110" s="706">
        <f>VLOOKUP("*"&amp;$B110&amp;"*",'S4 - Summ PRS Characteristics'!$C$13:$Q$20,15,FALSE)*$J110</f>
        <v>197.80558369364749</v>
      </c>
      <c r="AK110" s="706">
        <f t="shared" si="99"/>
        <v>7268.1944163063527</v>
      </c>
      <c r="AL110" s="706">
        <f>IF($C110="other",(1-$C104)*AJ110,(1-(VLOOKUP($C110,'S3 - Screening Tool Metrics'!$C$3:$G$17,5,FALSE)/100))*AJ110)</f>
        <v>39.561116738729488</v>
      </c>
      <c r="AM110" s="706">
        <f>IF($C110="other",$C104*AJ110,(VLOOKUP($C110,'S3 - Screening Tool Metrics'!$C$3:$G$17,5,FALSE)/100)*AJ110)</f>
        <v>158.24446695491801</v>
      </c>
      <c r="AN110" s="709">
        <f t="shared" si="96"/>
        <v>2.1195347837519156</v>
      </c>
    </row>
    <row r="111" spans="2:40" x14ac:dyDescent="0.15">
      <c r="B111" s="700" t="s">
        <v>32</v>
      </c>
      <c r="C111" s="721" t="str">
        <f>$C105</f>
        <v>Other</v>
      </c>
      <c r="D111" s="552" t="s">
        <v>198</v>
      </c>
      <c r="E111" s="710">
        <f>VLOOKUP($B111&amp;"_"&amp;$D111,'App5 - CRUK Inci Rates'!C:H,6,FALSE)</f>
        <v>335</v>
      </c>
      <c r="F111" s="711">
        <f>VLOOKUP($B111&amp;"_"&amp;$D111,'App5 - CRUK Inci Rates'!C:H,3,FALSE)</f>
        <v>278.10000000000002</v>
      </c>
      <c r="G111" s="712">
        <f>VLOOKUP($B111&amp;"_"&amp;$D111,'App5 - CRUK Inci Rates'!C:J,8,FALSE)</f>
        <v>3071574.666666667</v>
      </c>
      <c r="H111" s="713">
        <f>VLOOKUP($B111&amp;"_"&amp;$D111,'App5 - CRUK Inci Rates'!C:J,7,FALSE)</f>
        <v>1467965</v>
      </c>
      <c r="I111" s="713">
        <f>VLOOKUP($B111&amp;"_"&amp;$D111,'App5 - CRUK Inci Rates'!C:J,4,FALSE)</f>
        <v>1603609.6666666667</v>
      </c>
      <c r="J111" s="709">
        <f>VLOOKUP($B111&amp;"_"&amp;$D111,'App5 - CRUK Inci Rates'!C:K,9,FALSE)</f>
        <v>9378</v>
      </c>
      <c r="K111" s="706">
        <f t="shared" si="70"/>
        <v>1535787.3333333335</v>
      </c>
      <c r="L111" s="706">
        <f>VLOOKUP("*"&amp;$B111&amp;"*",'S4 - Summ PRS Characteristics'!$C$13:$Q$20,11,FALSE)*$J111</f>
        <v>6116.5579993314213</v>
      </c>
      <c r="M111" s="706">
        <f t="shared" si="71"/>
        <v>3261.4420006685787</v>
      </c>
      <c r="N111" s="706">
        <f>IF($C111="other",(1-$C$7)*L111,(1-(VLOOKUP($C111,'S3 - Screening Tool Metrics'!$C$3:$G$17,5,FALSE)/100))*L111)</f>
        <v>1223.311599866284</v>
      </c>
      <c r="O111" s="706">
        <f>IF($C111="other",$C$7*L111,(VLOOKUP($C111,'S3 - Screening Tool Metrics'!$C$3:$G$17,5,FALSE)/100)*L111)</f>
        <v>4893.2463994651371</v>
      </c>
      <c r="P111" s="706">
        <f t="shared" si="72"/>
        <v>52.177931322938122</v>
      </c>
      <c r="Q111" s="707">
        <f t="shared" si="89"/>
        <v>614314.93333333347</v>
      </c>
      <c r="R111" s="706">
        <f>VLOOKUP("*"&amp;$B111&amp;"*",'S4 - Summ PRS Characteristics'!$C$13:$Q$20,12,FALSE)*$J111</f>
        <v>3059.5820161106835</v>
      </c>
      <c r="S111" s="706">
        <f t="shared" si="97"/>
        <v>6318.417983889316</v>
      </c>
      <c r="T111" s="706">
        <f>IF($C111="other",(1-$C104)*R111,(1-(VLOOKUP($C111,'S3 - Screening Tool Metrics'!$C$3:$G$17,5,FALSE)/100))*R111)</f>
        <v>611.91640322213652</v>
      </c>
      <c r="U111" s="706">
        <f>IF($C111="other",$C104*R111,(VLOOKUP($C111,'S3 - Screening Tool Metrics'!$C$3:$G$17,5,FALSE)/100)*R111)</f>
        <v>2447.665612888547</v>
      </c>
      <c r="V111" s="706">
        <f t="shared" si="90"/>
        <v>26.100081178167489</v>
      </c>
      <c r="W111" s="707">
        <f t="shared" si="91"/>
        <v>307157.46666666673</v>
      </c>
      <c r="X111" s="706">
        <f>VLOOKUP("*"&amp;$B111&amp;"*",'S4 - Summ PRS Characteristics'!$C$13:$Q$20,13,FALSE)*$J111</f>
        <v>1750.6292238384544</v>
      </c>
      <c r="Y111" s="706">
        <f t="shared" si="98"/>
        <v>7627.370776161546</v>
      </c>
      <c r="Z111" s="706">
        <f>IF($C111="other",(1-$C104)*X111,(1-(VLOOKUP($C111,'S3 - Screening Tool Metrics'!$C$3:$G$17,5,FALSE)/100))*X111)</f>
        <v>350.12584476769081</v>
      </c>
      <c r="AA111" s="706">
        <f>IF($C111="other",$C104*X111,(VLOOKUP($C111,'S3 - Screening Tool Metrics'!$C$3:$G$17,5,FALSE)/100)*X111)</f>
        <v>1400.5033790707637</v>
      </c>
      <c r="AB111" s="709">
        <f t="shared" si="92"/>
        <v>14.93392385445472</v>
      </c>
      <c r="AC111" s="706">
        <f t="shared" si="93"/>
        <v>153578.73333333337</v>
      </c>
      <c r="AD111" s="706">
        <f>VLOOKUP("*"&amp;$B111&amp;"*",'S4 - Summ PRS Characteristics'!$C$13:$Q$20,14,FALSE)*$J111</f>
        <v>984.7650153716678</v>
      </c>
      <c r="AE111" s="706">
        <f t="shared" si="100"/>
        <v>8393.2349846283323</v>
      </c>
      <c r="AF111" s="706">
        <f>IF($C111="other",(1-$C104)*AD111,(1-(VLOOKUP($C111,'S3 - Screening Tool Metrics'!$C$3:$G$17,5,FALSE)/100))*AD111)</f>
        <v>196.95300307433351</v>
      </c>
      <c r="AG111" s="706">
        <f>IF($C111="other",$C104*AD111,(VLOOKUP($C111,'S3 - Screening Tool Metrics'!$C$3:$G$17,5,FALSE)/100)*AD111)</f>
        <v>787.81201229733426</v>
      </c>
      <c r="AH111" s="708">
        <f t="shared" si="94"/>
        <v>8.4006399263951188</v>
      </c>
      <c r="AI111" s="707">
        <f t="shared" si="95"/>
        <v>30715.74666666667</v>
      </c>
      <c r="AJ111" s="706">
        <f>VLOOKUP("*"&amp;$B111&amp;"*",'S4 - Summ PRS Characteristics'!$C$13:$Q$20,15,FALSE)*$J111</f>
        <v>248.46246502531827</v>
      </c>
      <c r="AK111" s="706">
        <f t="shared" si="99"/>
        <v>9129.537534974681</v>
      </c>
      <c r="AL111" s="706">
        <f>IF($C111="other",(1-$C104)*AJ111,(1-(VLOOKUP($C111,'S3 - Screening Tool Metrics'!$C$3:$G$17,5,FALSE)/100))*AJ111)</f>
        <v>49.692493005063639</v>
      </c>
      <c r="AM111" s="706">
        <f>IF($C111="other",$C104*AJ111,(VLOOKUP($C111,'S3 - Screening Tool Metrics'!$C$3:$G$17,5,FALSE)/100)*AJ111)</f>
        <v>198.76997202025461</v>
      </c>
      <c r="AN111" s="709">
        <f t="shared" si="96"/>
        <v>2.1195347837519152</v>
      </c>
    </row>
    <row r="112" spans="2:40" x14ac:dyDescent="0.15">
      <c r="B112" s="700" t="s">
        <v>32</v>
      </c>
      <c r="C112" s="721" t="str">
        <f>$C105</f>
        <v>Other</v>
      </c>
      <c r="D112" s="552" t="s">
        <v>199</v>
      </c>
      <c r="E112" s="710">
        <f>VLOOKUP($B112&amp;"_"&amp;$D112,'App5 - CRUK Inci Rates'!C:H,6,FALSE)</f>
        <v>462.2</v>
      </c>
      <c r="F112" s="711">
        <f>VLOOKUP($B112&amp;"_"&amp;$D112,'App5 - CRUK Inci Rates'!C:H,3,FALSE)</f>
        <v>340.5</v>
      </c>
      <c r="G112" s="712">
        <f>VLOOKUP($B112&amp;"_"&amp;$D112,'App5 - CRUK Inci Rates'!C:J,8,FALSE)</f>
        <v>2189010.6666666665</v>
      </c>
      <c r="H112" s="713">
        <f>VLOOKUP($B112&amp;"_"&amp;$D112,'App5 - CRUK Inci Rates'!C:J,7,FALSE)</f>
        <v>1007365.3333333334</v>
      </c>
      <c r="I112" s="713">
        <f>VLOOKUP($B112&amp;"_"&amp;$D112,'App5 - CRUK Inci Rates'!C:J,4,FALSE)</f>
        <v>1181645.3333333333</v>
      </c>
      <c r="J112" s="709">
        <f>VLOOKUP($B112&amp;"_"&amp;$D112,'App5 - CRUK Inci Rates'!C:K,9,FALSE)</f>
        <v>8680</v>
      </c>
      <c r="K112" s="706">
        <f t="shared" si="70"/>
        <v>1094505.3333333333</v>
      </c>
      <c r="L112" s="706">
        <f>VLOOKUP("*"&amp;$B112&amp;"*",'S4 - Summ PRS Characteristics'!$C$13:$Q$20,11,FALSE)*$J112</f>
        <v>5661.3055485387858</v>
      </c>
      <c r="M112" s="706">
        <f t="shared" si="71"/>
        <v>3018.6944514612142</v>
      </c>
      <c r="N112" s="706">
        <f>IF($C112="other",(1-$C$7)*L112,(1-(VLOOKUP($C112,'S3 - Screening Tool Metrics'!$C$3:$G$17,5,FALSE)/100))*L112)</f>
        <v>1132.261109707757</v>
      </c>
      <c r="O112" s="706">
        <f>IF($C112="other",$C$7*L112,(VLOOKUP($C112,'S3 - Screening Tool Metrics'!$C$3:$G$17,5,FALSE)/100)*L112)</f>
        <v>4529.0444388310289</v>
      </c>
      <c r="P112" s="706">
        <f t="shared" si="72"/>
        <v>52.177931322938122</v>
      </c>
      <c r="Q112" s="707">
        <f t="shared" si="89"/>
        <v>437802.1333333333</v>
      </c>
      <c r="R112" s="706">
        <f>VLOOKUP("*"&amp;$B112&amp;"*",'S4 - Summ PRS Characteristics'!$C$13:$Q$20,12,FALSE)*$J112</f>
        <v>2831.8588078311723</v>
      </c>
      <c r="S112" s="706">
        <f t="shared" si="97"/>
        <v>5848.1411921688277</v>
      </c>
      <c r="T112" s="706">
        <f>IF($C112="other",(1-$C104)*R112,(1-(VLOOKUP($C112,'S3 - Screening Tool Metrics'!$C$3:$G$17,5,FALSE)/100))*R112)</f>
        <v>566.37176156623434</v>
      </c>
      <c r="U112" s="706">
        <f>IF($C112="other",$C104*R112,(VLOOKUP($C112,'S3 - Screening Tool Metrics'!$C$3:$G$17,5,FALSE)/100)*R112)</f>
        <v>2265.4870462649378</v>
      </c>
      <c r="V112" s="706">
        <f t="shared" si="90"/>
        <v>26.100081178167489</v>
      </c>
      <c r="W112" s="707">
        <f t="shared" si="91"/>
        <v>218901.06666666665</v>
      </c>
      <c r="X112" s="706">
        <f>VLOOKUP("*"&amp;$B112&amp;"*",'S4 - Summ PRS Characteristics'!$C$13:$Q$20,13,FALSE)*$J112</f>
        <v>1620.3307382083369</v>
      </c>
      <c r="Y112" s="706">
        <f t="shared" si="98"/>
        <v>7059.6692617916633</v>
      </c>
      <c r="Z112" s="706">
        <f>IF($C112="other",(1-$C104)*X112,(1-(VLOOKUP($C112,'S3 - Screening Tool Metrics'!$C$3:$G$17,5,FALSE)/100))*X112)</f>
        <v>324.06614764166733</v>
      </c>
      <c r="AA112" s="706">
        <f>IF($C112="other",$C104*X112,(VLOOKUP($C112,'S3 - Screening Tool Metrics'!$C$3:$G$17,5,FALSE)/100)*X112)</f>
        <v>1296.2645905666695</v>
      </c>
      <c r="AB112" s="709">
        <f t="shared" si="92"/>
        <v>14.933923854454717</v>
      </c>
      <c r="AC112" s="706">
        <f t="shared" si="93"/>
        <v>109450.53333333333</v>
      </c>
      <c r="AD112" s="706">
        <f>VLOOKUP("*"&amp;$B112&amp;"*",'S4 - Summ PRS Characteristics'!$C$13:$Q$20,14,FALSE)*$J112</f>
        <v>911.46943201387046</v>
      </c>
      <c r="AE112" s="706">
        <f t="shared" si="100"/>
        <v>7768.5305679861294</v>
      </c>
      <c r="AF112" s="706">
        <f>IF($C112="other",(1-$C104)*AD112,(1-(VLOOKUP($C112,'S3 - Screening Tool Metrics'!$C$3:$G$17,5,FALSE)/100))*AD112)</f>
        <v>182.29388640277406</v>
      </c>
      <c r="AG112" s="706">
        <f>IF($C112="other",$C104*AD112,(VLOOKUP($C112,'S3 - Screening Tool Metrics'!$C$3:$G$17,5,FALSE)/100)*AD112)</f>
        <v>729.17554561109637</v>
      </c>
      <c r="AH112" s="708">
        <f t="shared" si="94"/>
        <v>8.4006399263951188</v>
      </c>
      <c r="AI112" s="707">
        <f t="shared" si="95"/>
        <v>21890.106666666667</v>
      </c>
      <c r="AJ112" s="706">
        <f>VLOOKUP("*"&amp;$B112&amp;"*",'S4 - Summ PRS Characteristics'!$C$13:$Q$20,15,FALSE)*$J112</f>
        <v>229.96952403708281</v>
      </c>
      <c r="AK112" s="706">
        <f t="shared" si="99"/>
        <v>8450.030475962918</v>
      </c>
      <c r="AL112" s="706">
        <f>IF($C112="other",(1-$C104)*AJ112,(1-(VLOOKUP($C112,'S3 - Screening Tool Metrics'!$C$3:$G$17,5,FALSE)/100))*AJ112)</f>
        <v>45.993904807416548</v>
      </c>
      <c r="AM112" s="706">
        <f>IF($C112="other",$C104*AJ112,(VLOOKUP($C112,'S3 - Screening Tool Metrics'!$C$3:$G$17,5,FALSE)/100)*AJ112)</f>
        <v>183.97561922966625</v>
      </c>
      <c r="AN112" s="709">
        <f t="shared" si="96"/>
        <v>2.1195347837519156</v>
      </c>
    </row>
    <row r="113" spans="2:40" x14ac:dyDescent="0.15">
      <c r="B113" s="700" t="s">
        <v>32</v>
      </c>
      <c r="C113" s="721" t="str">
        <f>$C105</f>
        <v>Other</v>
      </c>
      <c r="D113" s="552" t="s">
        <v>200</v>
      </c>
      <c r="E113" s="710">
        <f>VLOOKUP($B113&amp;"_"&amp;$D113,'App5 - CRUK Inci Rates'!C:H,6,FALSE)</f>
        <v>74.762553006779655</v>
      </c>
      <c r="F113" s="711">
        <f>VLOOKUP($B113&amp;"_"&amp;$D113,'App5 - CRUK Inci Rates'!C:H,3,FALSE)</f>
        <v>67.955614708629497</v>
      </c>
      <c r="G113" s="712">
        <f>VLOOKUP($B113&amp;"_"&amp;$D113,'App5 - CRUK Inci Rates'!C:J,8,FALSE)</f>
        <v>24586669.333333336</v>
      </c>
      <c r="H113" s="713">
        <f>VLOOKUP($B113&amp;"_"&amp;$D113,'App5 - CRUK Inci Rates'!C:J,7,FALSE)</f>
        <v>12090277.333333334</v>
      </c>
      <c r="I113" s="713">
        <f>VLOOKUP($B113&amp;"_"&amp;$D113,'App5 - CRUK Inci Rates'!C:J,4,FALSE)</f>
        <v>12496392</v>
      </c>
      <c r="J113" s="709">
        <f>VLOOKUP($B113&amp;"_"&amp;$D113,'App5 - CRUK Inci Rates'!C:K,9,FALSE)</f>
        <v>17531</v>
      </c>
      <c r="K113" s="706">
        <f t="shared" si="70"/>
        <v>12293334.666666668</v>
      </c>
      <c r="L113" s="706">
        <f>VLOOKUP("*"&amp;$B113&amp;"*",'S4 - Summ PRS Characteristics'!$C$13:$Q$20,11,FALSE)*$J113</f>
        <v>11434.141425280352</v>
      </c>
      <c r="M113" s="706">
        <f t="shared" si="71"/>
        <v>6096.8585747196485</v>
      </c>
      <c r="N113" s="706">
        <f>IF($C113="other",(1-$C$7)*L113,(1-(VLOOKUP($C113,'S3 - Screening Tool Metrics'!$C$3:$G$17,5,FALSE)/100))*L113)</f>
        <v>2286.8282850560699</v>
      </c>
      <c r="O113" s="706">
        <f>IF($C113="other",$C$7*L113,(VLOOKUP($C113,'S3 - Screening Tool Metrics'!$C$3:$G$17,5,FALSE)/100)*L113)</f>
        <v>9147.3131402242816</v>
      </c>
      <c r="P113" s="706">
        <f t="shared" si="72"/>
        <v>52.177931322938122</v>
      </c>
      <c r="Q113" s="707">
        <f t="shared" si="89"/>
        <v>4917333.8666666672</v>
      </c>
      <c r="R113" s="706">
        <f>VLOOKUP("*"&amp;$B113&amp;"*",'S4 - Summ PRS Characteristics'!$C$13:$Q$20,12,FALSE)*$J113</f>
        <v>5719.5065391806775</v>
      </c>
      <c r="S113" s="706">
        <f t="shared" si="97"/>
        <v>11811.493460819322</v>
      </c>
      <c r="T113" s="706">
        <f>IF($C113="other",(1-$C104)*R113,(1-(VLOOKUP($C113,'S3 - Screening Tool Metrics'!$C$3:$G$17,5,FALSE)/100))*R113)</f>
        <v>1143.9013078361352</v>
      </c>
      <c r="U113" s="706">
        <f>IF($C113="other",$C104*R113,(VLOOKUP($C113,'S3 - Screening Tool Metrics'!$C$3:$G$17,5,FALSE)/100)*R113)</f>
        <v>4575.6052313445425</v>
      </c>
      <c r="V113" s="706">
        <f t="shared" si="90"/>
        <v>26.100081178167489</v>
      </c>
      <c r="W113" s="707">
        <f t="shared" si="91"/>
        <v>2458666.9333333336</v>
      </c>
      <c r="X113" s="706">
        <f>VLOOKUP("*"&amp;$B113&amp;"*",'S4 - Summ PRS Characteristics'!$C$13:$Q$20,13,FALSE)*$J113</f>
        <v>3272.5827386555707</v>
      </c>
      <c r="Y113" s="706">
        <f t="shared" si="98"/>
        <v>14258.41726134443</v>
      </c>
      <c r="Z113" s="706">
        <f>IF($C113="other",(1-$C104)*X113,(1-(VLOOKUP($C113,'S3 - Screening Tool Metrics'!$C$3:$G$17,5,FALSE)/100))*X113)</f>
        <v>654.51654773111397</v>
      </c>
      <c r="AA113" s="706">
        <f>IF($C113="other",$C104*X113,(VLOOKUP($C113,'S3 - Screening Tool Metrics'!$C$3:$G$17,5,FALSE)/100)*X113)</f>
        <v>2618.0661909244568</v>
      </c>
      <c r="AB113" s="709">
        <f t="shared" si="92"/>
        <v>14.93392385445472</v>
      </c>
      <c r="AC113" s="706">
        <f t="shared" si="93"/>
        <v>1229333.4666666668</v>
      </c>
      <c r="AD113" s="706">
        <f>VLOOKUP("*"&amp;$B113&amp;"*",'S4 - Summ PRS Characteristics'!$C$13:$Q$20,14,FALSE)*$J113</f>
        <v>1840.8952318704105</v>
      </c>
      <c r="AE113" s="706">
        <f t="shared" si="100"/>
        <v>15690.10476812959</v>
      </c>
      <c r="AF113" s="706">
        <f>IF($C113="other",(1-$C104)*AD113,(1-(VLOOKUP($C113,'S3 - Screening Tool Metrics'!$C$3:$G$17,5,FALSE)/100))*AD113)</f>
        <v>368.17904637408202</v>
      </c>
      <c r="AG113" s="706">
        <f>IF($C113="other",$C104*AD113,(VLOOKUP($C113,'S3 - Screening Tool Metrics'!$C$3:$G$17,5,FALSE)/100)*AD113)</f>
        <v>1472.7161854963285</v>
      </c>
      <c r="AH113" s="708">
        <f t="shared" si="94"/>
        <v>8.4006399263951206</v>
      </c>
      <c r="AI113" s="707">
        <f t="shared" si="95"/>
        <v>245866.69333333336</v>
      </c>
      <c r="AJ113" s="706">
        <f>VLOOKUP("*"&amp;$B113&amp;"*",'S4 - Summ PRS Characteristics'!$C$13:$Q$20,15,FALSE)*$J113</f>
        <v>464.4695536744353</v>
      </c>
      <c r="AK113" s="706">
        <f t="shared" si="99"/>
        <v>17066.530446325563</v>
      </c>
      <c r="AL113" s="706">
        <f>IF($C113="other",(1-$C104)*AJ113,(1-(VLOOKUP($C113,'S3 - Screening Tool Metrics'!$C$3:$G$17,5,FALSE)/100))*AJ113)</f>
        <v>92.893910734887044</v>
      </c>
      <c r="AM113" s="706">
        <f>IF($C113="other",$C104*AJ113,(VLOOKUP($C113,'S3 - Screening Tool Metrics'!$C$3:$G$17,5,FALSE)/100)*AJ113)</f>
        <v>371.57564293954829</v>
      </c>
      <c r="AN113" s="709">
        <f t="shared" si="96"/>
        <v>2.1195347837519156</v>
      </c>
    </row>
    <row r="114" spans="2:40" x14ac:dyDescent="0.15">
      <c r="B114" s="700" t="s">
        <v>32</v>
      </c>
      <c r="C114" s="721" t="str">
        <f>$C105</f>
        <v>Other</v>
      </c>
      <c r="D114" s="552" t="s">
        <v>201</v>
      </c>
      <c r="E114" s="710">
        <f>VLOOKUP($B114&amp;"_"&amp;$D114,'App5 - CRUK Inci Rates'!C:H,6,FALSE)</f>
        <v>11.420374791114012</v>
      </c>
      <c r="F114" s="711">
        <f>VLOOKUP($B114&amp;"_"&amp;$D114,'App5 - CRUK Inci Rates'!C:H,3,FALSE)</f>
        <v>10.481262340656587</v>
      </c>
      <c r="G114" s="712">
        <f>VLOOKUP($B114&amp;"_"&amp;$D114,'App5 - CRUK Inci Rates'!C:J,8,FALSE)</f>
        <v>8642767.333333334</v>
      </c>
      <c r="H114" s="713">
        <f>VLOOKUP($B114&amp;"_"&amp;$D114,'App5 - CRUK Inci Rates'!C:J,7,FALSE)</f>
        <v>4273064.666666667</v>
      </c>
      <c r="I114" s="713">
        <f>VLOOKUP($B114&amp;"_"&amp;$D114,'App5 - CRUK Inci Rates'!C:J,4,FALSE)</f>
        <v>4369702.666666667</v>
      </c>
      <c r="J114" s="709">
        <f>VLOOKUP($B114&amp;"_"&amp;$D114,'App5 - CRUK Inci Rates'!C:K,9,FALSE)</f>
        <v>946</v>
      </c>
      <c r="K114" s="706">
        <f t="shared" si="70"/>
        <v>4321383.666666667</v>
      </c>
      <c r="L114" s="706">
        <f>VLOOKUP("*"&amp;$B114&amp;"*",'S4 - Summ PRS Characteristics'!$C$13:$Q$20,11,FALSE)*$J114</f>
        <v>617.0040378937432</v>
      </c>
      <c r="M114" s="706">
        <f t="shared" si="71"/>
        <v>328.9959621062568</v>
      </c>
      <c r="N114" s="706">
        <f>IF($C114="other",(1-$C$7)*L114,(1-(VLOOKUP($C114,'S3 - Screening Tool Metrics'!$C$3:$G$17,5,FALSE)/100))*L114)</f>
        <v>123.40080757874861</v>
      </c>
      <c r="O114" s="706">
        <f>IF($C114="other",$C$7*L114,(VLOOKUP($C114,'S3 - Screening Tool Metrics'!$C$3:$G$17,5,FALSE)/100)*L114)</f>
        <v>493.60323031499456</v>
      </c>
      <c r="P114" s="706">
        <f t="shared" si="72"/>
        <v>52.177931322938107</v>
      </c>
      <c r="Q114" s="707">
        <f t="shared" si="89"/>
        <v>1728553.4666666668</v>
      </c>
      <c r="R114" s="706">
        <f>VLOOKUP("*"&amp;$B114&amp;"*",'S4 - Summ PRS Characteristics'!$C$13:$Q$20,12,FALSE)*$J114</f>
        <v>308.63345993183049</v>
      </c>
      <c r="S114" s="706">
        <f t="shared" si="97"/>
        <v>637.36654006816957</v>
      </c>
      <c r="T114" s="706">
        <f>IF($C114="other",(1-$C104)*R114,(1-(VLOOKUP($C114,'S3 - Screening Tool Metrics'!$C$3:$G$17,5,FALSE)/100))*R114)</f>
        <v>61.726691986366085</v>
      </c>
      <c r="U114" s="706">
        <f>IF($C114="other",$C104*R114,(VLOOKUP($C114,'S3 - Screening Tool Metrics'!$C$3:$G$17,5,FALSE)/100)*R114)</f>
        <v>246.9067679454644</v>
      </c>
      <c r="V114" s="706">
        <f t="shared" si="90"/>
        <v>26.100081178167482</v>
      </c>
      <c r="W114" s="707">
        <f t="shared" si="91"/>
        <v>864276.7333333334</v>
      </c>
      <c r="X114" s="706">
        <f>VLOOKUP("*"&amp;$B114&amp;"*",'S4 - Summ PRS Characteristics'!$C$13:$Q$20,13,FALSE)*$J114</f>
        <v>176.59364957892703</v>
      </c>
      <c r="Y114" s="706">
        <f t="shared" si="98"/>
        <v>769.40635042107294</v>
      </c>
      <c r="Z114" s="706">
        <f>IF($C114="other",(1-$C104)*X114,(1-(VLOOKUP($C114,'S3 - Screening Tool Metrics'!$C$3:$G$17,5,FALSE)/100))*X114)</f>
        <v>35.318729915785397</v>
      </c>
      <c r="AA114" s="706">
        <f>IF($C114="other",$C104*X114,(VLOOKUP($C114,'S3 - Screening Tool Metrics'!$C$3:$G$17,5,FALSE)/100)*X114)</f>
        <v>141.27491966314162</v>
      </c>
      <c r="AB114" s="709">
        <f t="shared" si="92"/>
        <v>14.933923854454717</v>
      </c>
      <c r="AC114" s="706">
        <f t="shared" si="93"/>
        <v>432138.3666666667</v>
      </c>
      <c r="AD114" s="706">
        <f>VLOOKUP("*"&amp;$B114&amp;"*",'S4 - Summ PRS Characteristics'!$C$13:$Q$20,14,FALSE)*$J114</f>
        <v>99.337567129622286</v>
      </c>
      <c r="AE114" s="706">
        <f t="shared" si="100"/>
        <v>846.66243287037776</v>
      </c>
      <c r="AF114" s="706">
        <f>IF($C114="other",(1-$C104)*AD114,(1-(VLOOKUP($C114,'S3 - Screening Tool Metrics'!$C$3:$G$17,5,FALSE)/100))*AD114)</f>
        <v>19.867513425924454</v>
      </c>
      <c r="AG114" s="706">
        <f>IF($C114="other",$C104*AD114,(VLOOKUP($C114,'S3 - Screening Tool Metrics'!$C$3:$G$17,5,FALSE)/100)*AD114)</f>
        <v>79.470053703697829</v>
      </c>
      <c r="AH114" s="708">
        <f t="shared" si="94"/>
        <v>8.4006399263951188</v>
      </c>
      <c r="AI114" s="707">
        <f t="shared" si="95"/>
        <v>86427.67333333334</v>
      </c>
      <c r="AJ114" s="706">
        <f>VLOOKUP("*"&amp;$B114&amp;"*",'S4 - Summ PRS Characteristics'!$C$13:$Q$20,15,FALSE)*$J114</f>
        <v>25.063498817866396</v>
      </c>
      <c r="AK114" s="706">
        <f t="shared" si="99"/>
        <v>920.93650118213361</v>
      </c>
      <c r="AL114" s="706">
        <f>IF($C114="other",(1-$C104)*AJ114,(1-(VLOOKUP($C114,'S3 - Screening Tool Metrics'!$C$3:$G$17,5,FALSE)/100))*AJ114)</f>
        <v>5.012699763573278</v>
      </c>
      <c r="AM114" s="706">
        <f>IF($C114="other",$C104*AJ114,(VLOOKUP($C114,'S3 - Screening Tool Metrics'!$C$3:$G$17,5,FALSE)/100)*AJ114)</f>
        <v>20.050799054293119</v>
      </c>
      <c r="AN114" s="709">
        <f t="shared" si="96"/>
        <v>2.1195347837519156</v>
      </c>
    </row>
    <row r="115" spans="2:40" x14ac:dyDescent="0.15">
      <c r="B115" s="700" t="s">
        <v>32</v>
      </c>
      <c r="C115" s="721" t="str">
        <f>$C105</f>
        <v>Other</v>
      </c>
      <c r="D115" s="552" t="s">
        <v>202</v>
      </c>
      <c r="E115" s="710">
        <f>VLOOKUP($B115&amp;"_"&amp;$D115,'App5 - CRUK Inci Rates'!C:H,6,FALSE)</f>
        <v>51.407550519379285</v>
      </c>
      <c r="F115" s="711">
        <f>VLOOKUP($B115&amp;"_"&amp;$D115,'App5 - CRUK Inci Rates'!C:H,3,FALSE)</f>
        <v>48.368479955661847</v>
      </c>
      <c r="G115" s="712">
        <f>VLOOKUP($B115&amp;"_"&amp;$D115,'App5 - CRUK Inci Rates'!C:J,8,FALSE)</f>
        <v>8839716.6666666679</v>
      </c>
      <c r="H115" s="713">
        <f>VLOOKUP($B115&amp;"_"&amp;$D115,'App5 - CRUK Inci Rates'!C:J,7,FALSE)</f>
        <v>4355391.333333333</v>
      </c>
      <c r="I115" s="713">
        <f>VLOOKUP($B115&amp;"_"&amp;$D115,'App5 - CRUK Inci Rates'!C:J,4,FALSE)</f>
        <v>4484325.333333334</v>
      </c>
      <c r="J115" s="709">
        <f>VLOOKUP($B115&amp;"_"&amp;$D115,'App5 - CRUK Inci Rates'!C:K,9,FALSE)</f>
        <v>4408</v>
      </c>
      <c r="K115" s="706">
        <f t="shared" si="70"/>
        <v>4419858.333333334</v>
      </c>
      <c r="L115" s="706">
        <f>VLOOKUP("*"&amp;$B115&amp;"*",'S4 - Summ PRS Characteristics'!$C$13:$Q$20,11,FALSE)*$J115</f>
        <v>2875.0040158938905</v>
      </c>
      <c r="M115" s="706">
        <f t="shared" si="71"/>
        <v>1532.9959841061095</v>
      </c>
      <c r="N115" s="706">
        <f>IF($C115="other",(1-$C$7)*L115,(1-(VLOOKUP($C115,'S3 - Screening Tool Metrics'!$C$3:$G$17,5,FALSE)/100))*L115)</f>
        <v>575.00080317877791</v>
      </c>
      <c r="O115" s="706">
        <f>IF($C115="other",$C$7*L115,(VLOOKUP($C115,'S3 - Screening Tool Metrics'!$C$3:$G$17,5,FALSE)/100)*L115)</f>
        <v>2300.0032127151126</v>
      </c>
      <c r="P115" s="706">
        <f t="shared" si="72"/>
        <v>52.177931322938122</v>
      </c>
      <c r="Q115" s="707">
        <f t="shared" si="89"/>
        <v>1767943.3333333337</v>
      </c>
      <c r="R115" s="706">
        <f>VLOOKUP("*"&amp;$B115&amp;"*",'S4 - Summ PRS Characteristics'!$C$13:$Q$20,12,FALSE)*$J115</f>
        <v>1438.1144729170285</v>
      </c>
      <c r="S115" s="706">
        <f t="shared" si="97"/>
        <v>2969.8855270829717</v>
      </c>
      <c r="T115" s="706">
        <f>IF($C115="other",(1-$C104)*R115,(1-(VLOOKUP($C115,'S3 - Screening Tool Metrics'!$C$3:$G$17,5,FALSE)/100))*R115)</f>
        <v>287.62289458340564</v>
      </c>
      <c r="U115" s="706">
        <f>IF($C115="other",$C104*R115,(VLOOKUP($C115,'S3 - Screening Tool Metrics'!$C$3:$G$17,5,FALSE)/100)*R115)</f>
        <v>1150.4915783336228</v>
      </c>
      <c r="V115" s="706">
        <f t="shared" si="90"/>
        <v>26.100081178167482</v>
      </c>
      <c r="W115" s="707">
        <f t="shared" si="91"/>
        <v>883971.66666666686</v>
      </c>
      <c r="X115" s="706">
        <f>VLOOKUP("*"&amp;$B115&amp;"*",'S4 - Summ PRS Characteristics'!$C$13:$Q$20,13,FALSE)*$J115</f>
        <v>822.85920438045503</v>
      </c>
      <c r="Y115" s="706">
        <f t="shared" si="98"/>
        <v>3585.1407956195449</v>
      </c>
      <c r="Z115" s="706">
        <f>IF($C115="other",(1-$C104)*X115,(1-(VLOOKUP($C115,'S3 - Screening Tool Metrics'!$C$3:$G$17,5,FALSE)/100))*X115)</f>
        <v>164.57184087609096</v>
      </c>
      <c r="AA115" s="706">
        <f>IF($C115="other",$C104*X115,(VLOOKUP($C115,'S3 - Screening Tool Metrics'!$C$3:$G$17,5,FALSE)/100)*X115)</f>
        <v>658.28736350436407</v>
      </c>
      <c r="AB115" s="709">
        <f t="shared" si="92"/>
        <v>14.93392385445472</v>
      </c>
      <c r="AC115" s="706">
        <f t="shared" si="93"/>
        <v>441985.83333333343</v>
      </c>
      <c r="AD115" s="706">
        <f>VLOOKUP("*"&amp;$B115&amp;"*",'S4 - Summ PRS Characteristics'!$C$13:$Q$20,14,FALSE)*$J115</f>
        <v>462.87525994437107</v>
      </c>
      <c r="AE115" s="706">
        <f t="shared" si="100"/>
        <v>3945.124740055629</v>
      </c>
      <c r="AF115" s="706">
        <f>IF($C115="other",(1-$C104)*AD115,(1-(VLOOKUP($C115,'S3 - Screening Tool Metrics'!$C$3:$G$17,5,FALSE)/100))*AD115)</f>
        <v>92.575051988874193</v>
      </c>
      <c r="AG115" s="706">
        <f>IF($C115="other",$C104*AD115,(VLOOKUP($C115,'S3 - Screening Tool Metrics'!$C$3:$G$17,5,FALSE)/100)*AD115)</f>
        <v>370.30020795549689</v>
      </c>
      <c r="AH115" s="708">
        <f t="shared" si="94"/>
        <v>8.4006399263951206</v>
      </c>
      <c r="AI115" s="707">
        <f t="shared" si="95"/>
        <v>88397.166666666686</v>
      </c>
      <c r="AJ115" s="706">
        <f>VLOOKUP("*"&amp;$B115&amp;"*",'S4 - Summ PRS Characteristics'!$C$13:$Q$20,15,FALSE)*$J115</f>
        <v>116.78636658473053</v>
      </c>
      <c r="AK115" s="706">
        <f t="shared" si="99"/>
        <v>4291.2136334152692</v>
      </c>
      <c r="AL115" s="706">
        <f>IF($C115="other",(1-$C104)*AJ115,(1-(VLOOKUP($C115,'S3 - Screening Tool Metrics'!$C$3:$G$17,5,FALSE)/100))*AJ115)</f>
        <v>23.357273316946102</v>
      </c>
      <c r="AM115" s="706">
        <f>IF($C115="other",$C104*AJ115,(VLOOKUP($C115,'S3 - Screening Tool Metrics'!$C$3:$G$17,5,FALSE)/100)*AJ115)</f>
        <v>93.429093267784424</v>
      </c>
      <c r="AN115" s="709">
        <f t="shared" si="96"/>
        <v>2.1195347837519152</v>
      </c>
    </row>
    <row r="116" spans="2:40" x14ac:dyDescent="0.15">
      <c r="B116" s="700" t="s">
        <v>32</v>
      </c>
      <c r="C116" s="721" t="str">
        <f>$C105</f>
        <v>Other</v>
      </c>
      <c r="D116" s="552" t="s">
        <v>203</v>
      </c>
      <c r="E116" s="710">
        <f>VLOOKUP($B116&amp;"_"&amp;$D116,'App5 - CRUK Inci Rates'!C:H,6,FALSE)</f>
        <v>109.38681553928132</v>
      </c>
      <c r="F116" s="711">
        <f>VLOOKUP($B116&amp;"_"&amp;$D116,'App5 - CRUK Inci Rates'!C:H,3,FALSE)</f>
        <v>98.859445346912068</v>
      </c>
      <c r="G116" s="712">
        <f>VLOOKUP($B116&amp;"_"&amp;$D116,'App5 - CRUK Inci Rates'!C:J,8,FALSE)</f>
        <v>15943902</v>
      </c>
      <c r="H116" s="713">
        <f>VLOOKUP($B116&amp;"_"&amp;$D116,'App5 - CRUK Inci Rates'!C:J,7,FALSE)</f>
        <v>7817212.666666666</v>
      </c>
      <c r="I116" s="713">
        <f>VLOOKUP($B116&amp;"_"&amp;$D116,'App5 - CRUK Inci Rates'!C:J,4,FALSE)</f>
        <v>8126689.333333334</v>
      </c>
      <c r="J116" s="709">
        <f>VLOOKUP($B116&amp;"_"&amp;$D116,'App5 - CRUK Inci Rates'!C:K,9,FALSE)</f>
        <v>16585</v>
      </c>
      <c r="K116" s="706">
        <f t="shared" si="70"/>
        <v>7971951</v>
      </c>
      <c r="L116" s="706">
        <f>VLOOKUP("*"&amp;$B116&amp;"*",'S4 - Summ PRS Characteristics'!$C$13:$Q$20,11,FALSE)*$J116</f>
        <v>10817.137387386609</v>
      </c>
      <c r="M116" s="706">
        <f t="shared" si="71"/>
        <v>5767.8626126133913</v>
      </c>
      <c r="N116" s="706">
        <f>IF($C116="other",(1-$C$7)*L116,(1-(VLOOKUP($C116,'S3 - Screening Tool Metrics'!$C$3:$G$17,5,FALSE)/100))*L116)</f>
        <v>2163.4274774773212</v>
      </c>
      <c r="O116" s="706">
        <f>IF($C116="other",$C$7*L116,(VLOOKUP($C116,'S3 - Screening Tool Metrics'!$C$3:$G$17,5,FALSE)/100)*L116)</f>
        <v>8653.7099099092866</v>
      </c>
      <c r="P116" s="706">
        <f t="shared" si="72"/>
        <v>52.177931322938122</v>
      </c>
      <c r="Q116" s="707">
        <f t="shared" si="89"/>
        <v>3188780.4000000004</v>
      </c>
      <c r="R116" s="706">
        <f>VLOOKUP("*"&amp;$B116&amp;"*",'S4 - Summ PRS Characteristics'!$C$13:$Q$20,12,FALSE)*$J116</f>
        <v>5410.8730792488468</v>
      </c>
      <c r="S116" s="706">
        <f t="shared" si="97"/>
        <v>11174.126920751154</v>
      </c>
      <c r="T116" s="706">
        <f>IF($C116="other",(1-$C104)*R116,(1-(VLOOKUP($C116,'S3 - Screening Tool Metrics'!$C$3:$G$17,5,FALSE)/100))*R116)</f>
        <v>1082.1746158497692</v>
      </c>
      <c r="U116" s="706">
        <f>IF($C116="other",$C104*R116,(VLOOKUP($C116,'S3 - Screening Tool Metrics'!$C$3:$G$17,5,FALSE)/100)*R116)</f>
        <v>4328.6984633990778</v>
      </c>
      <c r="V116" s="706">
        <f t="shared" si="90"/>
        <v>26.100081178167489</v>
      </c>
      <c r="W116" s="707">
        <f t="shared" si="91"/>
        <v>1594390.2000000002</v>
      </c>
      <c r="X116" s="706">
        <f>VLOOKUP("*"&amp;$B116&amp;"*",'S4 - Summ PRS Characteristics'!$C$13:$Q$20,13,FALSE)*$J116</f>
        <v>3095.9890890766437</v>
      </c>
      <c r="Y116" s="706">
        <f t="shared" si="98"/>
        <v>13489.010910923356</v>
      </c>
      <c r="Z116" s="706">
        <f>IF($C116="other",(1-$C104)*X116,(1-(VLOOKUP($C116,'S3 - Screening Tool Metrics'!$C$3:$G$17,5,FALSE)/100))*X116)</f>
        <v>619.19781781532856</v>
      </c>
      <c r="AA116" s="706">
        <f>IF($C116="other",$C104*X116,(VLOOKUP($C116,'S3 - Screening Tool Metrics'!$C$3:$G$17,5,FALSE)/100)*X116)</f>
        <v>2476.7912712613152</v>
      </c>
      <c r="AB116" s="709">
        <f t="shared" si="92"/>
        <v>14.93392385445472</v>
      </c>
      <c r="AC116" s="706">
        <f t="shared" si="93"/>
        <v>797195.10000000009</v>
      </c>
      <c r="AD116" s="706">
        <f>VLOOKUP("*"&amp;$B116&amp;"*",'S4 - Summ PRS Characteristics'!$C$13:$Q$20,14,FALSE)*$J116</f>
        <v>1741.5576647407881</v>
      </c>
      <c r="AE116" s="706">
        <f t="shared" si="100"/>
        <v>14843.442335259211</v>
      </c>
      <c r="AF116" s="706">
        <f>IF($C116="other",(1-$C104)*AD116,(1-(VLOOKUP($C116,'S3 - Screening Tool Metrics'!$C$3:$G$17,5,FALSE)/100))*AD116)</f>
        <v>348.31153294815755</v>
      </c>
      <c r="AG116" s="706">
        <f>IF($C116="other",$C104*AD116,(VLOOKUP($C116,'S3 - Screening Tool Metrics'!$C$3:$G$17,5,FALSE)/100)*AD116)</f>
        <v>1393.2461317926306</v>
      </c>
      <c r="AH116" s="708">
        <f t="shared" si="94"/>
        <v>8.4006399263951206</v>
      </c>
      <c r="AI116" s="707">
        <f t="shared" si="95"/>
        <v>159439.01999999999</v>
      </c>
      <c r="AJ116" s="706">
        <f>VLOOKUP("*"&amp;$B116&amp;"*",'S4 - Summ PRS Characteristics'!$C$13:$Q$20,15,FALSE)*$J116</f>
        <v>439.40605485656891</v>
      </c>
      <c r="AK116" s="706">
        <f t="shared" si="99"/>
        <v>16145.593945143431</v>
      </c>
      <c r="AL116" s="706">
        <f>IF($C116="other",(1-$C104)*AJ116,(1-(VLOOKUP($C116,'S3 - Screening Tool Metrics'!$C$3:$G$17,5,FALSE)/100))*AJ116)</f>
        <v>87.881210971313763</v>
      </c>
      <c r="AM116" s="706">
        <f>IF($C116="other",$C104*AJ116,(VLOOKUP($C116,'S3 - Screening Tool Metrics'!$C$3:$G$17,5,FALSE)/100)*AJ116)</f>
        <v>351.52484388525517</v>
      </c>
      <c r="AN116" s="709">
        <f t="shared" si="96"/>
        <v>2.1195347837519156</v>
      </c>
    </row>
    <row r="117" spans="2:40" x14ac:dyDescent="0.15">
      <c r="B117" s="700" t="s">
        <v>32</v>
      </c>
      <c r="C117" s="721" t="str">
        <f>$C106</f>
        <v>Other</v>
      </c>
      <c r="D117" s="552" t="s">
        <v>292</v>
      </c>
      <c r="E117" s="710">
        <f>VLOOKUP($B117&amp;"_"&amp;$D117,'App5 - CRUK Inci Rates'!C:H,6,FALSE)</f>
        <v>227.79891947987741</v>
      </c>
      <c r="F117" s="711">
        <f>VLOOKUP($B117&amp;"_"&amp;$D117,'App5 - CRUK Inci Rates'!C:H,3,FALSE)</f>
        <v>196.8176101532089</v>
      </c>
      <c r="G117" s="712">
        <f>VLOOKUP($B117&amp;"_"&amp;$D117,'App5 - CRUK Inci Rates'!C:J,8,FALSE)</f>
        <v>8881256.9603638444</v>
      </c>
      <c r="H117" s="713">
        <f>VLOOKUP($B117&amp;"_"&amp;$D117,'App5 - CRUK Inci Rates'!C:J,7,FALSE)</f>
        <v>4929786.333333333</v>
      </c>
      <c r="I117" s="713">
        <f>VLOOKUP($B117&amp;"_"&amp;$D117,'App5 - CRUK Inci Rates'!C:J,4,FALSE)</f>
        <v>5245973.666666667</v>
      </c>
      <c r="J117" s="709">
        <f>VLOOKUP($B117&amp;"_"&amp;$D117,'App5 - CRUK Inci Rates'!C:K,9,FALSE)</f>
        <v>21555</v>
      </c>
      <c r="K117" s="706">
        <f t="shared" si="70"/>
        <v>4440628.4801819222</v>
      </c>
      <c r="L117" s="706">
        <f>VLOOKUP("*"&amp;$B117&amp;"*",'S4 - Summ PRS Characteristics'!$C$13:$Q$20,11,FALSE)*$J117</f>
        <v>14058.691370824139</v>
      </c>
      <c r="M117" s="706">
        <f t="shared" si="71"/>
        <v>7496.3086291758609</v>
      </c>
      <c r="N117" s="706">
        <f>IF($C117="other",(1-$C$7)*L117,(1-(VLOOKUP($C117,'S3 - Screening Tool Metrics'!$C$3:$G$17,5,FALSE)/100))*L117)</f>
        <v>2811.7382741648271</v>
      </c>
      <c r="O117" s="706">
        <f>IF($C117="other",$C$7*L117,(VLOOKUP($C117,'S3 - Screening Tool Metrics'!$C$3:$G$17,5,FALSE)/100)*L117)</f>
        <v>11246.953096659312</v>
      </c>
      <c r="P117" s="706">
        <f t="shared" si="72"/>
        <v>52.177931322938122</v>
      </c>
      <c r="Q117" s="707">
        <f t="shared" si="89"/>
        <v>1776251.3920727689</v>
      </c>
      <c r="R117" s="706">
        <f>VLOOKUP("*"&amp;$B117&amp;"*",'S4 - Summ PRS Characteristics'!$C$13:$Q$20,12,FALSE)*$J117</f>
        <v>7032.3406224425016</v>
      </c>
      <c r="S117" s="706">
        <f t="shared" si="97"/>
        <v>14522.659377557498</v>
      </c>
      <c r="T117" s="706">
        <f>IF($C117="other",(1-$C104)*R117,(1-(VLOOKUP($C117,'S3 - Screening Tool Metrics'!$C$3:$G$17,5,FALSE)/100))*R117)</f>
        <v>1406.4681244885001</v>
      </c>
      <c r="U117" s="706">
        <f>IF($C117="other",$C104*R117,(VLOOKUP($C117,'S3 - Screening Tool Metrics'!$C$3:$G$17,5,FALSE)/100)*R117)</f>
        <v>5625.872497954002</v>
      </c>
      <c r="V117" s="706">
        <f t="shared" si="90"/>
        <v>26.100081178167489</v>
      </c>
      <c r="W117" s="707">
        <f t="shared" si="91"/>
        <v>888125.69603638444</v>
      </c>
      <c r="X117" s="706">
        <f>VLOOKUP("*"&amp;$B117&amp;"*",'S4 - Summ PRS Characteristics'!$C$13:$Q$20,13,FALSE)*$J117</f>
        <v>4023.759108534643</v>
      </c>
      <c r="Y117" s="706">
        <f t="shared" si="98"/>
        <v>17531.240891465357</v>
      </c>
      <c r="Z117" s="706">
        <f>IF($C117="other",(1-$C104)*X117,(1-(VLOOKUP($C117,'S3 - Screening Tool Metrics'!$C$3:$G$17,5,FALSE)/100))*X117)</f>
        <v>804.75182170692847</v>
      </c>
      <c r="AA117" s="706">
        <f>IF($C117="other",$C104*X117,(VLOOKUP($C117,'S3 - Screening Tool Metrics'!$C$3:$G$17,5,FALSE)/100)*X117)</f>
        <v>3219.0072868277148</v>
      </c>
      <c r="AB117" s="709">
        <f t="shared" si="92"/>
        <v>14.93392385445472</v>
      </c>
      <c r="AC117" s="706">
        <f t="shared" si="93"/>
        <v>444062.84801819222</v>
      </c>
      <c r="AD117" s="706">
        <f>VLOOKUP("*"&amp;$B117&amp;"*",'S4 - Summ PRS Characteristics'!$C$13:$Q$20,14,FALSE)*$J117</f>
        <v>2263.447420168085</v>
      </c>
      <c r="AE117" s="706">
        <f t="shared" si="100"/>
        <v>19291.552579831914</v>
      </c>
      <c r="AF117" s="706">
        <f>IF($C117="other",(1-$C104)*AD117,(1-(VLOOKUP($C117,'S3 - Screening Tool Metrics'!$C$3:$G$17,5,FALSE)/100))*AD117)</f>
        <v>452.68948403361691</v>
      </c>
      <c r="AG117" s="706">
        <f>IF($C117="other",$C104*AD117,(VLOOKUP($C117,'S3 - Screening Tool Metrics'!$C$3:$G$17,5,FALSE)/100)*AD117)</f>
        <v>1810.7579361344681</v>
      </c>
      <c r="AH117" s="708">
        <f t="shared" si="94"/>
        <v>8.4006399263951206</v>
      </c>
      <c r="AI117" s="707">
        <f t="shared" si="95"/>
        <v>88812.569603638447</v>
      </c>
      <c r="AJ117" s="706">
        <f>VLOOKUP("*"&amp;$B117&amp;"*",'S4 - Summ PRS Characteristics'!$C$13:$Q$20,15,FALSE)*$J117</f>
        <v>571.08215329715665</v>
      </c>
      <c r="AK117" s="706">
        <f t="shared" si="99"/>
        <v>20983.917846702843</v>
      </c>
      <c r="AL117" s="706">
        <f>IF($C117="other",(1-$C104)*AJ117,(1-(VLOOKUP($C117,'S3 - Screening Tool Metrics'!$C$3:$G$17,5,FALSE)/100))*AJ117)</f>
        <v>114.21643065943131</v>
      </c>
      <c r="AM117" s="706">
        <f>IF($C117="other",$C104*AJ117,(VLOOKUP($C117,'S3 - Screening Tool Metrics'!$C$3:$G$17,5,FALSE)/100)*AJ117)</f>
        <v>456.86572263772536</v>
      </c>
      <c r="AN117" s="709">
        <f t="shared" si="96"/>
        <v>2.1195347837519156</v>
      </c>
    </row>
    <row r="118" spans="2:40" x14ac:dyDescent="0.15">
      <c r="B118" s="700" t="s">
        <v>32</v>
      </c>
      <c r="C118" s="721" t="str">
        <f>$C105</f>
        <v>Other</v>
      </c>
      <c r="D118" s="552" t="s">
        <v>204</v>
      </c>
      <c r="E118" s="710">
        <f>VLOOKUP($B118&amp;"_"&amp;$D118,'App5 - CRUK Inci Rates'!C:H,6,FALSE)</f>
        <v>127.78732220417946</v>
      </c>
      <c r="F118" s="711">
        <f>VLOOKUP($B118&amp;"_"&amp;$D118,'App5 - CRUK Inci Rates'!C:H,3,FALSE)</f>
        <v>111.08750254471916</v>
      </c>
      <c r="G118" s="712">
        <f>VLOOKUP($B118&amp;"_"&amp;$D118,'App5 - CRUK Inci Rates'!C:J,8,FALSE)</f>
        <v>29847254.666666668</v>
      </c>
      <c r="H118" s="713">
        <f>VLOOKUP($B118&amp;"_"&amp;$D118,'App5 - CRUK Inci Rates'!C:J,7,FALSE)</f>
        <v>14565607.666666668</v>
      </c>
      <c r="I118" s="713">
        <f>VLOOKUP($B118&amp;"_"&amp;$D118,'App5 - CRUK Inci Rates'!C:J,4,FALSE)</f>
        <v>15281647</v>
      </c>
      <c r="J118" s="709">
        <f>VLOOKUP($B118&amp;"_"&amp;$D118,'App5 - CRUK Inci Rates'!C:K,9,FALSE)</f>
        <v>35589</v>
      </c>
      <c r="K118" s="706">
        <f t="shared" si="70"/>
        <v>14923627.333333334</v>
      </c>
      <c r="L118" s="706">
        <f>VLOOKUP("*"&amp;$B118&amp;"*",'S4 - Summ PRS Characteristics'!$C$13:$Q$20,11,FALSE)*$J118</f>
        <v>23212.004973150557</v>
      </c>
      <c r="M118" s="706">
        <f t="shared" si="71"/>
        <v>12376.995026849443</v>
      </c>
      <c r="N118" s="706">
        <f>IF($C118="other",(1-$C$7)*L118,(1-(VLOOKUP($C118,'S3 - Screening Tool Metrics'!$C$3:$G$17,5,FALSE)/100))*L118)</f>
        <v>4642.4009946301103</v>
      </c>
      <c r="O118" s="706">
        <f>IF($C118="other",$C$7*L118,(VLOOKUP($C118,'S3 - Screening Tool Metrics'!$C$3:$G$17,5,FALSE)/100)*L118)</f>
        <v>18569.603978520445</v>
      </c>
      <c r="P118" s="706">
        <f t="shared" si="72"/>
        <v>52.177931322938107</v>
      </c>
      <c r="Q118" s="707">
        <f t="shared" si="89"/>
        <v>5969450.9333333336</v>
      </c>
      <c r="R118" s="706">
        <f>VLOOKUP("*"&amp;$B118&amp;"*",'S4 - Summ PRS Characteristics'!$C$13:$Q$20,12,FALSE)*$J118</f>
        <v>11610.947363122532</v>
      </c>
      <c r="S118" s="706">
        <f t="shared" si="97"/>
        <v>23978.052636877466</v>
      </c>
      <c r="T118" s="706">
        <f>IF($C118="other",(1-$C104)*R118,(1-(VLOOKUP($C118,'S3 - Screening Tool Metrics'!$C$3:$G$17,5,FALSE)/100))*R118)</f>
        <v>2322.1894726245059</v>
      </c>
      <c r="U118" s="706">
        <f>IF($C118="other",$C104*R118,(VLOOKUP($C118,'S3 - Screening Tool Metrics'!$C$3:$G$17,5,FALSE)/100)*R118)</f>
        <v>9288.7578904980255</v>
      </c>
      <c r="V118" s="706">
        <f t="shared" si="90"/>
        <v>26.100081178167482</v>
      </c>
      <c r="W118" s="707">
        <f t="shared" si="91"/>
        <v>2984725.4666666668</v>
      </c>
      <c r="X118" s="706">
        <f>VLOOKUP("*"&amp;$B118&amp;"*",'S4 - Summ PRS Characteristics'!$C$13:$Q$20,13,FALSE)*$J118</f>
        <v>6643.5427007023618</v>
      </c>
      <c r="Y118" s="706">
        <f t="shared" si="98"/>
        <v>28945.457299297639</v>
      </c>
      <c r="Z118" s="706">
        <f>IF($C118="other",(1-$C104)*X118,(1-(VLOOKUP($C118,'S3 - Screening Tool Metrics'!$C$3:$G$17,5,FALSE)/100))*X118)</f>
        <v>1328.708540140472</v>
      </c>
      <c r="AA118" s="706">
        <f>IF($C118="other",$C104*X118,(VLOOKUP($C118,'S3 - Screening Tool Metrics'!$C$3:$G$17,5,FALSE)/100)*X118)</f>
        <v>5314.8341605618898</v>
      </c>
      <c r="AB118" s="709">
        <f t="shared" si="92"/>
        <v>14.93392385445472</v>
      </c>
      <c r="AC118" s="706">
        <f t="shared" si="93"/>
        <v>1492362.7333333334</v>
      </c>
      <c r="AD118" s="706">
        <f>VLOOKUP("*"&amp;$B118&amp;"*",'S4 - Summ PRS Characteristics'!$C$13:$Q$20,14,FALSE)*$J118</f>
        <v>3737.1296792559488</v>
      </c>
      <c r="AE118" s="706">
        <f t="shared" si="100"/>
        <v>31851.870320744052</v>
      </c>
      <c r="AF118" s="706">
        <f>IF($C118="other",(1-$C104)*AD118,(1-(VLOOKUP($C118,'S3 - Screening Tool Metrics'!$C$3:$G$17,5,FALSE)/100))*AD118)</f>
        <v>747.42593585118959</v>
      </c>
      <c r="AG118" s="706">
        <f>IF($C118="other",$C104*AD118,(VLOOKUP($C118,'S3 - Screening Tool Metrics'!$C$3:$G$17,5,FALSE)/100)*AD118)</f>
        <v>2989.7037434047593</v>
      </c>
      <c r="AH118" s="708">
        <f t="shared" si="94"/>
        <v>8.4006399263951206</v>
      </c>
      <c r="AI118" s="707">
        <f t="shared" si="95"/>
        <v>298472.54666666669</v>
      </c>
      <c r="AJ118" s="706">
        <f>VLOOKUP("*"&amp;$B118&amp;"*",'S4 - Summ PRS Characteristics'!$C$13:$Q$20,15,FALSE)*$J118</f>
        <v>942.9015427368364</v>
      </c>
      <c r="AK118" s="706">
        <f t="shared" si="99"/>
        <v>34646.098457263164</v>
      </c>
      <c r="AL118" s="706">
        <f>IF($C118="other",(1-$C104)*AJ118,(1-(VLOOKUP($C118,'S3 - Screening Tool Metrics'!$C$3:$G$17,5,FALSE)/100))*AJ118)</f>
        <v>188.58030854736725</v>
      </c>
      <c r="AM118" s="706">
        <f>IF($C118="other",$C104*AJ118,(VLOOKUP($C118,'S3 - Screening Tool Metrics'!$C$3:$G$17,5,FALSE)/100)*AJ118)</f>
        <v>754.32123418946912</v>
      </c>
      <c r="AN118" s="709">
        <f t="shared" si="96"/>
        <v>2.1195347837519152</v>
      </c>
    </row>
    <row r="119" spans="2:40" ht="14" thickBot="1" x14ac:dyDescent="0.2">
      <c r="B119" s="700" t="s">
        <v>32</v>
      </c>
      <c r="C119" s="721"/>
      <c r="D119" s="552" t="s">
        <v>205</v>
      </c>
      <c r="E119" s="710">
        <f>VLOOKUP($B119&amp;"_"&amp;$D119,'App5 - CRUK Inci Rates'!C:H,6,FALSE)</f>
        <v>90.6</v>
      </c>
      <c r="F119" s="711">
        <f>VLOOKUP($B119&amp;"_"&amp;$D119,'App5 - CRUK Inci Rates'!C:H,3,FALSE)</f>
        <v>70.099999999999994</v>
      </c>
      <c r="G119" s="712">
        <f>VLOOKUP($B119&amp;"_"&amp;$D119,'App5 - CRUK Inci Rates'!C:J,8,FALSE)</f>
        <v>66041277.666666664</v>
      </c>
      <c r="H119" s="713">
        <f>VLOOKUP($B119&amp;"_"&amp;$D119,'App5 - CRUK Inci Rates'!C:J,7,FALSE)</f>
        <v>32583225.666666668</v>
      </c>
      <c r="I119" s="713">
        <f>VLOOKUP($B119&amp;"_"&amp;$D119,'App5 - CRUK Inci Rates'!C:J,4,FALSE)</f>
        <v>33458051.999999996</v>
      </c>
      <c r="J119" s="709">
        <f>VLOOKUP($B119&amp;"_"&amp;$D119,'App5 - CRUK Inci Rates'!C:K,9,FALSE)</f>
        <v>48549</v>
      </c>
      <c r="K119" s="716"/>
      <c r="L119" s="716"/>
      <c r="M119" s="716"/>
      <c r="N119" s="716"/>
      <c r="O119" s="716"/>
      <c r="P119" s="716"/>
      <c r="Q119" s="715"/>
      <c r="R119" s="716"/>
      <c r="S119" s="716"/>
      <c r="T119" s="716"/>
      <c r="U119" s="716"/>
      <c r="V119" s="716"/>
      <c r="W119" s="715"/>
      <c r="X119" s="716"/>
      <c r="Y119" s="716"/>
      <c r="Z119" s="716"/>
      <c r="AA119" s="716"/>
      <c r="AB119" s="718"/>
      <c r="AC119" s="716"/>
      <c r="AD119" s="716"/>
      <c r="AE119" s="716"/>
      <c r="AF119" s="716"/>
      <c r="AG119" s="716"/>
      <c r="AH119" s="717"/>
      <c r="AI119" s="715"/>
      <c r="AJ119" s="716"/>
      <c r="AK119" s="716"/>
      <c r="AL119" s="716"/>
      <c r="AM119" s="716"/>
      <c r="AN119" s="718"/>
    </row>
    <row r="120" spans="2:40" ht="21" customHeight="1" thickBot="1" x14ac:dyDescent="0.2">
      <c r="B120" s="686" t="s">
        <v>17</v>
      </c>
      <c r="C120" s="687">
        <v>0.8</v>
      </c>
      <c r="D120" s="688"/>
      <c r="E120" s="689"/>
      <c r="F120" s="690"/>
      <c r="G120" s="691"/>
      <c r="H120" s="692"/>
      <c r="I120" s="692"/>
      <c r="J120" s="693"/>
      <c r="K120" s="694"/>
      <c r="L120" s="694"/>
      <c r="M120" s="694"/>
      <c r="N120" s="694"/>
      <c r="O120" s="694"/>
      <c r="P120" s="694"/>
      <c r="Q120" s="695"/>
      <c r="R120" s="696"/>
      <c r="S120" s="696"/>
      <c r="T120" s="696"/>
      <c r="U120" s="696"/>
      <c r="V120" s="696"/>
      <c r="W120" s="695"/>
      <c r="X120" s="696"/>
      <c r="Y120" s="696"/>
      <c r="Z120" s="696"/>
      <c r="AA120" s="696"/>
      <c r="AB120" s="699"/>
      <c r="AC120" s="696"/>
      <c r="AD120" s="696"/>
      <c r="AE120" s="696"/>
      <c r="AF120" s="696"/>
      <c r="AG120" s="696"/>
      <c r="AH120" s="697"/>
      <c r="AI120" s="695"/>
      <c r="AJ120" s="696"/>
      <c r="AK120" s="696"/>
      <c r="AL120" s="696"/>
      <c r="AM120" s="696"/>
      <c r="AN120" s="699"/>
    </row>
    <row r="121" spans="2:40" x14ac:dyDescent="0.15">
      <c r="B121" s="728" t="s">
        <v>17</v>
      </c>
      <c r="C121" s="749" t="s">
        <v>214</v>
      </c>
      <c r="D121" s="593" t="s">
        <v>192</v>
      </c>
      <c r="E121" s="701">
        <f>VLOOKUP($B121&amp;"_"&amp;$D121,'App5 - CRUK Inci Rates'!C:H,6,FALSE)</f>
        <v>12.3</v>
      </c>
      <c r="F121" s="702">
        <f>VLOOKUP($B121&amp;"_"&amp;$D121,'App5 - CRUK Inci Rates'!C:H,3,FALSE)</f>
        <v>0</v>
      </c>
      <c r="G121" s="703">
        <f>VLOOKUP($B121&amp;"_"&amp;$D121,'App5 - CRUK Inci Rates'!C:J,8,FALSE)</f>
        <v>2021384.6666666667</v>
      </c>
      <c r="H121" s="704">
        <f>VLOOKUP($B121&amp;"_"&amp;$D121,'App5 - CRUK Inci Rates'!C:J,7,FALSE)</f>
        <v>2021384.6666666667</v>
      </c>
      <c r="I121" s="704">
        <f>VLOOKUP($B121&amp;"_"&amp;$D121,'App5 - CRUK Inci Rates'!C:J,4,FALSE)</f>
        <v>0</v>
      </c>
      <c r="J121" s="705">
        <f>VLOOKUP($B121&amp;"_"&amp;$D121,'App5 - CRUK Inci Rates'!C:K,9,FALSE)</f>
        <v>248</v>
      </c>
      <c r="K121" s="729">
        <f t="shared" si="70"/>
        <v>1010692.3333333334</v>
      </c>
      <c r="L121" s="729">
        <f>VLOOKUP("*"&amp;$B121&amp;"*",'S4 - Summ PRS Characteristics'!$C$13:$Q$20,11,FALSE)*$J121</f>
        <v>227.77849071908318</v>
      </c>
      <c r="M121" s="729">
        <f t="shared" si="71"/>
        <v>20.22150928091682</v>
      </c>
      <c r="N121" s="729">
        <f>IF($C121="other",(1-$C$7)*L121,(1-(VLOOKUP($C121,'S3 - Screening Tool Metrics'!$C$3:$G$17,5,FALSE)/100))*L121)</f>
        <v>45.555698143816628</v>
      </c>
      <c r="O121" s="729">
        <f>IF($C121="other",$C$7*L121,(VLOOKUP($C121,'S3 - Screening Tool Metrics'!$C$3:$G$17,5,FALSE)/100)*L121)</f>
        <v>182.22279257526657</v>
      </c>
      <c r="P121" s="729">
        <f t="shared" si="72"/>
        <v>73.47693249002684</v>
      </c>
      <c r="Q121" s="730">
        <f t="shared" ref="Q121:Q135" si="101">$G121*Q$3</f>
        <v>404276.93333333335</v>
      </c>
      <c r="R121" s="729">
        <f>VLOOKUP("*"&amp;$B121&amp;"*",'S4 - Summ PRS Characteristics'!$C$13:$Q$20,12,FALSE)*$J121</f>
        <v>176.06236650435395</v>
      </c>
      <c r="S121" s="729">
        <f>$J121-R121</f>
        <v>71.937633495646054</v>
      </c>
      <c r="T121" s="729">
        <f>IF($C121="other",(1-$C120)*R121,(1-(VLOOKUP($C121,'S3 - Screening Tool Metrics'!$C$3:$G$17,5,FALSE)/100))*R121)</f>
        <v>35.212473300870784</v>
      </c>
      <c r="U121" s="729">
        <f>IF($C121="other",$C120*R121,(VLOOKUP($C121,'S3 - Screening Tool Metrics'!$C$3:$G$17,5,FALSE)/100)*R121)</f>
        <v>140.84989320348316</v>
      </c>
      <c r="V121" s="729">
        <f t="shared" ref="V121:V135" si="102">U121/J121*100</f>
        <v>56.794311775598047</v>
      </c>
      <c r="W121" s="730">
        <f t="shared" ref="W121:W135" si="103">$G121*W$3</f>
        <v>202138.46666666667</v>
      </c>
      <c r="X121" s="729">
        <f>VLOOKUP("*"&amp;$B121&amp;"*",'S4 - Summ PRS Characteristics'!$C$13:$Q$20,13,FALSE)*$J121</f>
        <v>135.18046156383315</v>
      </c>
      <c r="Y121" s="729">
        <f>$J121-X121</f>
        <v>112.81953843616685</v>
      </c>
      <c r="Z121" s="729">
        <f>IF($C121="other",(1-$C120)*X121,(1-(VLOOKUP($C121,'S3 - Screening Tool Metrics'!$C$3:$G$17,5,FALSE)/100))*X121)</f>
        <v>27.036092312766623</v>
      </c>
      <c r="AA121" s="729">
        <f>IF($C121="other",$C120*X121,(VLOOKUP($C121,'S3 - Screening Tool Metrics'!$C$3:$G$17,5,FALSE)/100)*X121)</f>
        <v>108.14436925106652</v>
      </c>
      <c r="AB121" s="705">
        <f t="shared" ref="AB121:AB135" si="104">$AA121/$J121*100</f>
        <v>43.606600504462307</v>
      </c>
      <c r="AC121" s="729">
        <f t="shared" ref="AC121:AC135" si="105">$G121*AC$3</f>
        <v>101069.23333333334</v>
      </c>
      <c r="AD121" s="729">
        <f>VLOOKUP("*"&amp;$B121&amp;"*",'S4 - Summ PRS Characteristics'!$C$13:$Q$20,14,FALSE)*$J121</f>
        <v>99.515520660544908</v>
      </c>
      <c r="AE121" s="729">
        <f>$J121-AD121</f>
        <v>148.48447933945511</v>
      </c>
      <c r="AF121" s="729">
        <f>IF($C121="other",(1-$C120)*AD121,(1-(VLOOKUP($C121,'S3 - Screening Tool Metrics'!$C$3:$G$17,5,FALSE)/100))*AD121)</f>
        <v>19.903104132108979</v>
      </c>
      <c r="AG121" s="729">
        <f>IF($C121="other",$C120*AD121,(VLOOKUP($C121,'S3 - Screening Tool Metrics'!$C$3:$G$17,5,FALSE)/100)*AD121)</f>
        <v>79.612416528435929</v>
      </c>
      <c r="AH121" s="743">
        <f t="shared" ref="AH121:AH135" si="106">$AG121/$J121*100</f>
        <v>32.101780858240289</v>
      </c>
      <c r="AI121" s="730">
        <f t="shared" ref="AI121:AI135" si="107">$G121*AI$3</f>
        <v>20213.846666666668</v>
      </c>
      <c r="AJ121" s="729">
        <f>VLOOKUP("*"&amp;$B121&amp;"*",'S4 - Summ PRS Characteristics'!$C$13:$Q$20,15,FALSE)*$J121</f>
        <v>43.594596422283793</v>
      </c>
      <c r="AK121" s="729">
        <f>$J121-AJ121</f>
        <v>204.40540357771621</v>
      </c>
      <c r="AL121" s="729">
        <f>IF($C121="other",(1-$C120)*AJ121,(1-(VLOOKUP($C121,'S3 - Screening Tool Metrics'!$C$3:$G$17,5,FALSE)/100))*AJ121)</f>
        <v>8.7189192844567565</v>
      </c>
      <c r="AM121" s="729">
        <f>IF($C121="other",$C120*AJ121,(VLOOKUP($C121,'S3 - Screening Tool Metrics'!$C$3:$G$17,5,FALSE)/100)*AJ121)</f>
        <v>34.875677137827033</v>
      </c>
      <c r="AN121" s="705">
        <f t="shared" ref="AN121:AN135" si="108">$AM121/$J121*100</f>
        <v>14.062773039446382</v>
      </c>
    </row>
    <row r="122" spans="2:40" x14ac:dyDescent="0.15">
      <c r="B122" s="700" t="s">
        <v>17</v>
      </c>
      <c r="C122" s="721" t="str">
        <f>$C121</f>
        <v>other</v>
      </c>
      <c r="D122" s="552" t="s">
        <v>193</v>
      </c>
      <c r="E122" s="710">
        <f>VLOOKUP($B122&amp;"_"&amp;$D122,'App5 - CRUK Inci Rates'!C:H,6,FALSE)</f>
        <v>9.4</v>
      </c>
      <c r="F122" s="711">
        <f>VLOOKUP($B122&amp;"_"&amp;$D122,'App5 - CRUK Inci Rates'!C:H,3,FALSE)</f>
        <v>0</v>
      </c>
      <c r="G122" s="712">
        <f>VLOOKUP($B122&amp;"_"&amp;$D122,'App5 - CRUK Inci Rates'!C:J,8,FALSE)</f>
        <v>2251680</v>
      </c>
      <c r="H122" s="713">
        <f>VLOOKUP($B122&amp;"_"&amp;$D122,'App5 - CRUK Inci Rates'!C:J,7,FALSE)</f>
        <v>2251680</v>
      </c>
      <c r="I122" s="713">
        <f>VLOOKUP($B122&amp;"_"&amp;$D122,'App5 - CRUK Inci Rates'!C:J,4,FALSE)</f>
        <v>0</v>
      </c>
      <c r="J122" s="709">
        <f>VLOOKUP($B122&amp;"_"&amp;$D122,'App5 - CRUK Inci Rates'!C:K,9,FALSE)</f>
        <v>211</v>
      </c>
      <c r="K122" s="706">
        <f t="shared" ref="K122:K135" si="109">$G122*$K$3</f>
        <v>1125840</v>
      </c>
      <c r="L122" s="706">
        <f>VLOOKUP("*"&amp;$B122&amp;"*",'S4 - Summ PRS Characteristics'!$C$13:$Q$20,11,FALSE)*$J122</f>
        <v>193.79540944244576</v>
      </c>
      <c r="M122" s="706">
        <f t="shared" ref="M122:M135" si="110">$J122-$L122</f>
        <v>17.204590557554241</v>
      </c>
      <c r="N122" s="706">
        <f>IF($C122="other",(1-$C$7)*L122,(1-(VLOOKUP($C122,'S3 - Screening Tool Metrics'!$C$3:$G$17,5,FALSE)/100))*L122)</f>
        <v>38.759081888489142</v>
      </c>
      <c r="O122" s="706">
        <f>IF($C122="other",$C$7*L122,(VLOOKUP($C122,'S3 - Screening Tool Metrics'!$C$3:$G$17,5,FALSE)/100)*L122)</f>
        <v>155.03632755395662</v>
      </c>
      <c r="P122" s="706">
        <f t="shared" ref="P122:P135" si="111">O122/J122*100</f>
        <v>73.47693249002684</v>
      </c>
      <c r="Q122" s="707">
        <f t="shared" si="101"/>
        <v>450336</v>
      </c>
      <c r="R122" s="706">
        <f>VLOOKUP("*"&amp;$B122&amp;"*",'S4 - Summ PRS Characteristics'!$C$13:$Q$20,12,FALSE)*$J122</f>
        <v>149.79499730813984</v>
      </c>
      <c r="S122" s="706">
        <f t="shared" ref="S122:S135" si="112">$J122-R122</f>
        <v>61.205002691860159</v>
      </c>
      <c r="T122" s="706">
        <f>IF($C122="other",(1-$C120)*R122,(1-(VLOOKUP($C122,'S3 - Screening Tool Metrics'!$C$3:$G$17,5,FALSE)/100))*R122)</f>
        <v>29.958999461627961</v>
      </c>
      <c r="U122" s="706">
        <f>IF($C122="other",$C120*R122,(VLOOKUP($C122,'S3 - Screening Tool Metrics'!$C$3:$G$17,5,FALSE)/100)*R122)</f>
        <v>119.83599784651187</v>
      </c>
      <c r="V122" s="706">
        <f t="shared" si="102"/>
        <v>56.79431177559804</v>
      </c>
      <c r="W122" s="707">
        <f t="shared" si="103"/>
        <v>225168</v>
      </c>
      <c r="X122" s="706">
        <f>VLOOKUP("*"&amp;$B122&amp;"*",'S4 - Summ PRS Characteristics'!$C$13:$Q$20,13,FALSE)*$J122</f>
        <v>115.01240883051933</v>
      </c>
      <c r="Y122" s="706">
        <f t="shared" ref="Y122:Y135" si="113">$J122-X122</f>
        <v>95.987591169480666</v>
      </c>
      <c r="Z122" s="706">
        <f>IF($C122="other",(1-$C120)*X122,(1-(VLOOKUP($C122,'S3 - Screening Tool Metrics'!$C$3:$G$17,5,FALSE)/100))*X122)</f>
        <v>23.002481766103863</v>
      </c>
      <c r="AA122" s="706">
        <f>IF($C122="other",$C120*X122,(VLOOKUP($C122,'S3 - Screening Tool Metrics'!$C$3:$G$17,5,FALSE)/100)*X122)</f>
        <v>92.009927064415479</v>
      </c>
      <c r="AB122" s="709">
        <f t="shared" si="104"/>
        <v>43.606600504462314</v>
      </c>
      <c r="AC122" s="706">
        <f t="shared" si="105"/>
        <v>112584</v>
      </c>
      <c r="AD122" s="706">
        <f>VLOOKUP("*"&amp;$B122&amp;"*",'S4 - Summ PRS Characteristics'!$C$13:$Q$20,14,FALSE)*$J122</f>
        <v>84.66844701360877</v>
      </c>
      <c r="AE122" s="706">
        <f>$J122-AD122</f>
        <v>126.33155298639123</v>
      </c>
      <c r="AF122" s="706">
        <f>IF($C122="other",(1-$C120)*AD122,(1-(VLOOKUP($C122,'S3 - Screening Tool Metrics'!$C$3:$G$17,5,FALSE)/100))*AD122)</f>
        <v>16.93368940272175</v>
      </c>
      <c r="AG122" s="706">
        <f>IF($C122="other",$C120*AD122,(VLOOKUP($C122,'S3 - Screening Tool Metrics'!$C$3:$G$17,5,FALSE)/100)*AD122)</f>
        <v>67.734757610887016</v>
      </c>
      <c r="AH122" s="708">
        <f t="shared" si="106"/>
        <v>32.101780858240289</v>
      </c>
      <c r="AI122" s="707">
        <f t="shared" si="107"/>
        <v>22516.799999999999</v>
      </c>
      <c r="AJ122" s="706">
        <f>VLOOKUP("*"&amp;$B122&amp;"*",'S4 - Summ PRS Characteristics'!$C$13:$Q$20,15,FALSE)*$J122</f>
        <v>37.090563891539844</v>
      </c>
      <c r="AK122" s="706">
        <f t="shared" ref="AK122:AK135" si="114">$J122-AJ122</f>
        <v>173.90943610846017</v>
      </c>
      <c r="AL122" s="706">
        <f>IF($C122="other",(1-$C120)*AJ122,(1-(VLOOKUP($C122,'S3 - Screening Tool Metrics'!$C$3:$G$17,5,FALSE)/100))*AJ122)</f>
        <v>7.4181127783079672</v>
      </c>
      <c r="AM122" s="706">
        <f>IF($C122="other",$C120*AJ122,(VLOOKUP($C122,'S3 - Screening Tool Metrics'!$C$3:$G$17,5,FALSE)/100)*AJ122)</f>
        <v>29.672451113231876</v>
      </c>
      <c r="AN122" s="709">
        <f t="shared" si="108"/>
        <v>14.062773039446386</v>
      </c>
    </row>
    <row r="123" spans="2:40" x14ac:dyDescent="0.15">
      <c r="B123" s="700" t="s">
        <v>17</v>
      </c>
      <c r="C123" s="721" t="str">
        <f>$C121</f>
        <v>other</v>
      </c>
      <c r="D123" s="552" t="s">
        <v>194</v>
      </c>
      <c r="E123" s="710">
        <f>VLOOKUP($B123&amp;"_"&amp;$D123,'App5 - CRUK Inci Rates'!C:H,6,FALSE)</f>
        <v>7</v>
      </c>
      <c r="F123" s="711">
        <f>VLOOKUP($B123&amp;"_"&amp;$D123,'App5 - CRUK Inci Rates'!C:H,3,FALSE)</f>
        <v>0</v>
      </c>
      <c r="G123" s="712">
        <f>VLOOKUP($B123&amp;"_"&amp;$D123,'App5 - CRUK Inci Rates'!C:J,8,FALSE)</f>
        <v>2293472.6666666665</v>
      </c>
      <c r="H123" s="713">
        <f>VLOOKUP($B123&amp;"_"&amp;$D123,'App5 - CRUK Inci Rates'!C:J,7,FALSE)</f>
        <v>2293472.6666666665</v>
      </c>
      <c r="I123" s="713">
        <f>VLOOKUP($B123&amp;"_"&amp;$D123,'App5 - CRUK Inci Rates'!C:J,4,FALSE)</f>
        <v>0</v>
      </c>
      <c r="J123" s="709">
        <f>VLOOKUP($B123&amp;"_"&amp;$D123,'App5 - CRUK Inci Rates'!C:K,9,FALSE)</f>
        <v>160</v>
      </c>
      <c r="K123" s="706">
        <f t="shared" si="109"/>
        <v>1146736.3333333333</v>
      </c>
      <c r="L123" s="706">
        <f>VLOOKUP("*"&amp;$B123&amp;"*",'S4 - Summ PRS Characteristics'!$C$13:$Q$20,11,FALSE)*$J123</f>
        <v>146.95386498005365</v>
      </c>
      <c r="M123" s="706">
        <f t="shared" si="110"/>
        <v>13.046135019946348</v>
      </c>
      <c r="N123" s="706">
        <f>IF($C123="other",(1-$C$7)*L123,(1-(VLOOKUP($C123,'S3 - Screening Tool Metrics'!$C$3:$G$17,5,FALSE)/100))*L123)</f>
        <v>29.390772996010725</v>
      </c>
      <c r="O123" s="706">
        <f>IF($C123="other",$C$7*L123,(VLOOKUP($C123,'S3 - Screening Tool Metrics'!$C$3:$G$17,5,FALSE)/100)*L123)</f>
        <v>117.56309198404293</v>
      </c>
      <c r="P123" s="706">
        <f t="shared" si="111"/>
        <v>73.476932490026826</v>
      </c>
      <c r="Q123" s="707">
        <f t="shared" si="101"/>
        <v>458694.53333333333</v>
      </c>
      <c r="R123" s="706">
        <f>VLOOKUP("*"&amp;$B123&amp;"*",'S4 - Summ PRS Characteristics'!$C$13:$Q$20,12,FALSE)*$J123</f>
        <v>113.58862355119609</v>
      </c>
      <c r="S123" s="706">
        <f t="shared" si="112"/>
        <v>46.411376448803907</v>
      </c>
      <c r="T123" s="706">
        <f>IF($C123="other",(1-$C120)*R123,(1-(VLOOKUP($C123,'S3 - Screening Tool Metrics'!$C$3:$G$17,5,FALSE)/100))*R123)</f>
        <v>22.717724710239214</v>
      </c>
      <c r="U123" s="706">
        <f>IF($C123="other",$C120*R123,(VLOOKUP($C123,'S3 - Screening Tool Metrics'!$C$3:$G$17,5,FALSE)/100)*R123)</f>
        <v>90.870898840956883</v>
      </c>
      <c r="V123" s="706">
        <f t="shared" si="102"/>
        <v>56.794311775598047</v>
      </c>
      <c r="W123" s="707">
        <f t="shared" si="103"/>
        <v>229347.26666666666</v>
      </c>
      <c r="X123" s="706">
        <f>VLOOKUP("*"&amp;$B123&amp;"*",'S4 - Summ PRS Characteristics'!$C$13:$Q$20,13,FALSE)*$J123</f>
        <v>87.213201008924614</v>
      </c>
      <c r="Y123" s="706">
        <f t="shared" si="113"/>
        <v>72.786798991075386</v>
      </c>
      <c r="Z123" s="706">
        <f>IF($C123="other",(1-$C120)*X123,(1-(VLOOKUP($C123,'S3 - Screening Tool Metrics'!$C$3:$G$17,5,FALSE)/100))*X123)</f>
        <v>17.442640201784918</v>
      </c>
      <c r="AA123" s="706">
        <f>IF($C123="other",$C120*X123,(VLOOKUP($C123,'S3 - Screening Tool Metrics'!$C$3:$G$17,5,FALSE)/100)*X123)</f>
        <v>69.770560807139688</v>
      </c>
      <c r="AB123" s="709">
        <f t="shared" si="104"/>
        <v>43.606600504462307</v>
      </c>
      <c r="AC123" s="706">
        <f t="shared" si="105"/>
        <v>114673.63333333333</v>
      </c>
      <c r="AD123" s="706">
        <f>VLOOKUP("*"&amp;$B123&amp;"*",'S4 - Summ PRS Characteristics'!$C$13:$Q$20,14,FALSE)*$J123</f>
        <v>64.203561716480579</v>
      </c>
      <c r="AE123" s="706">
        <f t="shared" ref="AE123:AE135" si="115">$J123-AD123</f>
        <v>95.796438283519421</v>
      </c>
      <c r="AF123" s="706">
        <f>IF($C123="other",(1-$C120)*AD123,(1-(VLOOKUP($C123,'S3 - Screening Tool Metrics'!$C$3:$G$17,5,FALSE)/100))*AD123)</f>
        <v>12.840712343296113</v>
      </c>
      <c r="AG123" s="706">
        <f>IF($C123="other",$C120*AD123,(VLOOKUP($C123,'S3 - Screening Tool Metrics'!$C$3:$G$17,5,FALSE)/100)*AD123)</f>
        <v>51.362849373184467</v>
      </c>
      <c r="AH123" s="708">
        <f t="shared" si="106"/>
        <v>32.101780858240289</v>
      </c>
      <c r="AI123" s="707">
        <f t="shared" si="107"/>
        <v>22934.726666666666</v>
      </c>
      <c r="AJ123" s="706">
        <f>VLOOKUP("*"&amp;$B123&amp;"*",'S4 - Summ PRS Characteristics'!$C$13:$Q$20,15,FALSE)*$J123</f>
        <v>28.125546078892771</v>
      </c>
      <c r="AK123" s="706">
        <f t="shared" si="114"/>
        <v>131.87445392110723</v>
      </c>
      <c r="AL123" s="706">
        <f>IF($C123="other",(1-$C120)*AJ123,(1-(VLOOKUP($C123,'S3 - Screening Tool Metrics'!$C$3:$G$17,5,FALSE)/100))*AJ123)</f>
        <v>5.6251092157785534</v>
      </c>
      <c r="AM123" s="706">
        <f>IF($C123="other",$C120*AJ123,(VLOOKUP($C123,'S3 - Screening Tool Metrics'!$C$3:$G$17,5,FALSE)/100)*AJ123)</f>
        <v>22.500436863114217</v>
      </c>
      <c r="AN123" s="709">
        <f t="shared" si="108"/>
        <v>14.062773039446386</v>
      </c>
    </row>
    <row r="124" spans="2:40" x14ac:dyDescent="0.15">
      <c r="B124" s="700" t="s">
        <v>17</v>
      </c>
      <c r="C124" s="721" t="str">
        <f>$C121</f>
        <v>other</v>
      </c>
      <c r="D124" s="552" t="s">
        <v>195</v>
      </c>
      <c r="E124" s="710">
        <f>VLOOKUP($B124&amp;"_"&amp;$D124,'App5 - CRUK Inci Rates'!C:H,6,FALSE)</f>
        <v>5.2</v>
      </c>
      <c r="F124" s="711">
        <f>VLOOKUP($B124&amp;"_"&amp;$D124,'App5 - CRUK Inci Rates'!C:H,3,FALSE)</f>
        <v>0</v>
      </c>
      <c r="G124" s="712">
        <f>VLOOKUP($B124&amp;"_"&amp;$D124,'App5 - CRUK Inci Rates'!C:J,8,FALSE)</f>
        <v>2061918.6666666667</v>
      </c>
      <c r="H124" s="713">
        <f>VLOOKUP($B124&amp;"_"&amp;$D124,'App5 - CRUK Inci Rates'!C:J,7,FALSE)</f>
        <v>2061918.6666666667</v>
      </c>
      <c r="I124" s="713">
        <f>VLOOKUP($B124&amp;"_"&amp;$D124,'App5 - CRUK Inci Rates'!C:J,4,FALSE)</f>
        <v>0</v>
      </c>
      <c r="J124" s="709">
        <f>VLOOKUP($B124&amp;"_"&amp;$D124,'App5 - CRUK Inci Rates'!C:K,9,FALSE)</f>
        <v>108</v>
      </c>
      <c r="K124" s="706">
        <f t="shared" si="109"/>
        <v>1030959.3333333334</v>
      </c>
      <c r="L124" s="706">
        <f>VLOOKUP("*"&amp;$B124&amp;"*",'S4 - Summ PRS Characteristics'!$C$13:$Q$20,11,FALSE)*$J124</f>
        <v>99.193858861536214</v>
      </c>
      <c r="M124" s="706">
        <f t="shared" si="110"/>
        <v>8.8061411384637864</v>
      </c>
      <c r="N124" s="706">
        <f>IF($C124="other",(1-$C$7)*L124,(1-(VLOOKUP($C124,'S3 - Screening Tool Metrics'!$C$3:$G$17,5,FALSE)/100))*L124)</f>
        <v>19.83877177230724</v>
      </c>
      <c r="O124" s="706">
        <f>IF($C124="other",$C$7*L124,(VLOOKUP($C124,'S3 - Screening Tool Metrics'!$C$3:$G$17,5,FALSE)/100)*L124)</f>
        <v>79.355087089228974</v>
      </c>
      <c r="P124" s="706">
        <f t="shared" si="111"/>
        <v>73.476932490026826</v>
      </c>
      <c r="Q124" s="707">
        <f t="shared" si="101"/>
        <v>412383.7333333334</v>
      </c>
      <c r="R124" s="706">
        <f>VLOOKUP("*"&amp;$B124&amp;"*",'S4 - Summ PRS Characteristics'!$C$13:$Q$20,12,FALSE)*$J124</f>
        <v>76.672320897057361</v>
      </c>
      <c r="S124" s="706">
        <f t="shared" si="112"/>
        <v>31.327679102942639</v>
      </c>
      <c r="T124" s="706">
        <f>IF($C124="other",(1-$C120)*R124,(1-(VLOOKUP($C124,'S3 - Screening Tool Metrics'!$C$3:$G$17,5,FALSE)/100))*R124)</f>
        <v>15.334464179411469</v>
      </c>
      <c r="U124" s="706">
        <f>IF($C124="other",$C120*R124,(VLOOKUP($C124,'S3 - Screening Tool Metrics'!$C$3:$G$17,5,FALSE)/100)*R124)</f>
        <v>61.337856717645892</v>
      </c>
      <c r="V124" s="706">
        <f t="shared" si="102"/>
        <v>56.794311775598047</v>
      </c>
      <c r="W124" s="707">
        <f t="shared" si="103"/>
        <v>206191.8666666667</v>
      </c>
      <c r="X124" s="706">
        <f>VLOOKUP("*"&amp;$B124&amp;"*",'S4 - Summ PRS Characteristics'!$C$13:$Q$20,13,FALSE)*$J124</f>
        <v>58.868910681024111</v>
      </c>
      <c r="Y124" s="706">
        <f t="shared" si="113"/>
        <v>49.131089318975889</v>
      </c>
      <c r="Z124" s="706">
        <f>IF($C124="other",(1-$C120)*X124,(1-(VLOOKUP($C124,'S3 - Screening Tool Metrics'!$C$3:$G$17,5,FALSE)/100))*X124)</f>
        <v>11.773782136204821</v>
      </c>
      <c r="AA124" s="706">
        <f>IF($C124="other",$C120*X124,(VLOOKUP($C124,'S3 - Screening Tool Metrics'!$C$3:$G$17,5,FALSE)/100)*X124)</f>
        <v>47.095128544819289</v>
      </c>
      <c r="AB124" s="709">
        <f t="shared" si="104"/>
        <v>43.606600504462307</v>
      </c>
      <c r="AC124" s="706">
        <f t="shared" si="105"/>
        <v>103095.93333333335</v>
      </c>
      <c r="AD124" s="706">
        <f>VLOOKUP("*"&amp;$B124&amp;"*",'S4 - Summ PRS Characteristics'!$C$13:$Q$20,14,FALSE)*$J124</f>
        <v>43.337404158624395</v>
      </c>
      <c r="AE124" s="706">
        <f t="shared" si="115"/>
        <v>64.662595841375605</v>
      </c>
      <c r="AF124" s="706">
        <f>IF($C124="other",(1-$C120)*AD124,(1-(VLOOKUP($C124,'S3 - Screening Tool Metrics'!$C$3:$G$17,5,FALSE)/100))*AD124)</f>
        <v>8.6674808317248768</v>
      </c>
      <c r="AG124" s="706">
        <f>IF($C124="other",$C120*AD124,(VLOOKUP($C124,'S3 - Screening Tool Metrics'!$C$3:$G$17,5,FALSE)/100)*AD124)</f>
        <v>34.669923326899514</v>
      </c>
      <c r="AH124" s="708">
        <f t="shared" si="106"/>
        <v>32.101780858240289</v>
      </c>
      <c r="AI124" s="707">
        <f t="shared" si="107"/>
        <v>20619.186666666668</v>
      </c>
      <c r="AJ124" s="706">
        <f>VLOOKUP("*"&amp;$B124&amp;"*",'S4 - Summ PRS Characteristics'!$C$13:$Q$20,15,FALSE)*$J124</f>
        <v>18.984743603252621</v>
      </c>
      <c r="AK124" s="706">
        <f t="shared" si="114"/>
        <v>89.015256396747375</v>
      </c>
      <c r="AL124" s="706">
        <f>IF($C124="other",(1-$C120)*AJ124,(1-(VLOOKUP($C124,'S3 - Screening Tool Metrics'!$C$3:$G$17,5,FALSE)/100))*AJ124)</f>
        <v>3.7969487206505232</v>
      </c>
      <c r="AM124" s="706">
        <f>IF($C124="other",$C120*AJ124,(VLOOKUP($C124,'S3 - Screening Tool Metrics'!$C$3:$G$17,5,FALSE)/100)*AJ124)</f>
        <v>15.187794882602098</v>
      </c>
      <c r="AN124" s="709">
        <f t="shared" si="108"/>
        <v>14.062773039446389</v>
      </c>
    </row>
    <row r="125" spans="2:40" x14ac:dyDescent="0.15">
      <c r="B125" s="700" t="s">
        <v>17</v>
      </c>
      <c r="C125" s="721" t="str">
        <f>$C121</f>
        <v>other</v>
      </c>
      <c r="D125" s="552" t="s">
        <v>196</v>
      </c>
      <c r="E125" s="710">
        <f>VLOOKUP($B125&amp;"_"&amp;$D125,'App5 - CRUK Inci Rates'!C:H,6,FALSE)</f>
        <v>3</v>
      </c>
      <c r="F125" s="711">
        <f>VLOOKUP($B125&amp;"_"&amp;$D125,'App5 - CRUK Inci Rates'!C:H,3,FALSE)</f>
        <v>0</v>
      </c>
      <c r="G125" s="712">
        <f>VLOOKUP($B125&amp;"_"&amp;$D125,'App5 - CRUK Inci Rates'!C:J,8,FALSE)</f>
        <v>1764828</v>
      </c>
      <c r="H125" s="713">
        <f>VLOOKUP($B125&amp;"_"&amp;$D125,'App5 - CRUK Inci Rates'!C:J,7,FALSE)</f>
        <v>1764828</v>
      </c>
      <c r="I125" s="713">
        <f>VLOOKUP($B125&amp;"_"&amp;$D125,'App5 - CRUK Inci Rates'!C:J,4,FALSE)</f>
        <v>0</v>
      </c>
      <c r="J125" s="709">
        <f>VLOOKUP($B125&amp;"_"&amp;$D125,'App5 - CRUK Inci Rates'!C:K,9,FALSE)</f>
        <v>52</v>
      </c>
      <c r="K125" s="706">
        <f t="shared" si="109"/>
        <v>882414</v>
      </c>
      <c r="L125" s="706">
        <f>VLOOKUP("*"&amp;$B125&amp;"*",'S4 - Summ PRS Characteristics'!$C$13:$Q$20,11,FALSE)*$J125</f>
        <v>47.760006118517438</v>
      </c>
      <c r="M125" s="706">
        <f t="shared" si="110"/>
        <v>4.2399938814825617</v>
      </c>
      <c r="N125" s="706">
        <f>IF($C125="other",(1-$C$7)*L125,(1-(VLOOKUP($C125,'S3 - Screening Tool Metrics'!$C$3:$G$17,5,FALSE)/100))*L125)</f>
        <v>9.5520012237034848</v>
      </c>
      <c r="O125" s="706">
        <f>IF($C125="other",$C$7*L125,(VLOOKUP($C125,'S3 - Screening Tool Metrics'!$C$3:$G$17,5,FALSE)/100)*L125)</f>
        <v>38.208004894813953</v>
      </c>
      <c r="P125" s="706">
        <f t="shared" si="111"/>
        <v>73.47693249002684</v>
      </c>
      <c r="Q125" s="707">
        <f t="shared" si="101"/>
        <v>352965.60000000003</v>
      </c>
      <c r="R125" s="706">
        <f>VLOOKUP("*"&amp;$B125&amp;"*",'S4 - Summ PRS Characteristics'!$C$13:$Q$20,12,FALSE)*$J125</f>
        <v>36.916302654138725</v>
      </c>
      <c r="S125" s="706">
        <f t="shared" si="112"/>
        <v>15.083697345861275</v>
      </c>
      <c r="T125" s="706">
        <f>IF($C125="other",(1-$C120)*R125,(1-(VLOOKUP($C125,'S3 - Screening Tool Metrics'!$C$3:$G$17,5,FALSE)/100))*R125)</f>
        <v>7.3832605308277435</v>
      </c>
      <c r="U125" s="706">
        <f>IF($C125="other",$C120*R125,(VLOOKUP($C125,'S3 - Screening Tool Metrics'!$C$3:$G$17,5,FALSE)/100)*R125)</f>
        <v>29.533042123310981</v>
      </c>
      <c r="V125" s="706">
        <f t="shared" si="102"/>
        <v>56.79431177559804</v>
      </c>
      <c r="W125" s="707">
        <f t="shared" si="103"/>
        <v>176482.80000000002</v>
      </c>
      <c r="X125" s="706">
        <f>VLOOKUP("*"&amp;$B125&amp;"*",'S4 - Summ PRS Characteristics'!$C$13:$Q$20,13,FALSE)*$J125</f>
        <v>28.344290327900499</v>
      </c>
      <c r="Y125" s="706">
        <f t="shared" si="113"/>
        <v>23.655709672099501</v>
      </c>
      <c r="Z125" s="706">
        <f>IF($C125="other",(1-$C120)*X125,(1-(VLOOKUP($C125,'S3 - Screening Tool Metrics'!$C$3:$G$17,5,FALSE)/100))*X125)</f>
        <v>5.6688580655800989</v>
      </c>
      <c r="AA125" s="706">
        <f>IF($C125="other",$C120*X125,(VLOOKUP($C125,'S3 - Screening Tool Metrics'!$C$3:$G$17,5,FALSE)/100)*X125)</f>
        <v>22.675432262320399</v>
      </c>
      <c r="AB125" s="709">
        <f t="shared" si="104"/>
        <v>43.606600504462307</v>
      </c>
      <c r="AC125" s="706">
        <f t="shared" si="105"/>
        <v>88241.400000000009</v>
      </c>
      <c r="AD125" s="706">
        <f>VLOOKUP("*"&amp;$B125&amp;"*",'S4 - Summ PRS Characteristics'!$C$13:$Q$20,14,FALSE)*$J125</f>
        <v>20.866157557856191</v>
      </c>
      <c r="AE125" s="706">
        <f t="shared" si="115"/>
        <v>31.133842442143809</v>
      </c>
      <c r="AF125" s="706">
        <f>IF($C125="other",(1-$C120)*AD125,(1-(VLOOKUP($C125,'S3 - Screening Tool Metrics'!$C$3:$G$17,5,FALSE)/100))*AD125)</f>
        <v>4.1732315115712373</v>
      </c>
      <c r="AG125" s="706">
        <f>IF($C125="other",$C120*AD125,(VLOOKUP($C125,'S3 - Screening Tool Metrics'!$C$3:$G$17,5,FALSE)/100)*AD125)</f>
        <v>16.692926046284953</v>
      </c>
      <c r="AH125" s="708">
        <f t="shared" si="106"/>
        <v>32.101780858240289</v>
      </c>
      <c r="AI125" s="707">
        <f t="shared" si="107"/>
        <v>17648.28</v>
      </c>
      <c r="AJ125" s="706">
        <f>VLOOKUP("*"&amp;$B125&amp;"*",'S4 - Summ PRS Characteristics'!$C$13:$Q$20,15,FALSE)*$J125</f>
        <v>9.1408024756401502</v>
      </c>
      <c r="AK125" s="706">
        <f t="shared" si="114"/>
        <v>42.85919752435985</v>
      </c>
      <c r="AL125" s="706">
        <f>IF($C125="other",(1-$C120)*AJ125,(1-(VLOOKUP($C125,'S3 - Screening Tool Metrics'!$C$3:$G$17,5,FALSE)/100))*AJ125)</f>
        <v>1.8281604951280297</v>
      </c>
      <c r="AM125" s="706">
        <f>IF($C125="other",$C120*AJ125,(VLOOKUP($C125,'S3 - Screening Tool Metrics'!$C$3:$G$17,5,FALSE)/100)*AJ125)</f>
        <v>7.3126419805121206</v>
      </c>
      <c r="AN125" s="709">
        <f t="shared" si="108"/>
        <v>14.062773039446386</v>
      </c>
    </row>
    <row r="126" spans="2:40" x14ac:dyDescent="0.15">
      <c r="B126" s="700" t="s">
        <v>17</v>
      </c>
      <c r="C126" s="721" t="str">
        <f>$C121</f>
        <v>other</v>
      </c>
      <c r="D126" s="552" t="s">
        <v>197</v>
      </c>
      <c r="E126" s="710">
        <f>VLOOKUP($B126&amp;"_"&amp;$D126,'App5 - CRUK Inci Rates'!C:H,6,FALSE)</f>
        <v>2.4</v>
      </c>
      <c r="F126" s="711">
        <f>VLOOKUP($B126&amp;"_"&amp;$D126,'App5 - CRUK Inci Rates'!C:H,3,FALSE)</f>
        <v>0</v>
      </c>
      <c r="G126" s="712">
        <f>VLOOKUP($B126&amp;"_"&amp;$D126,'App5 - CRUK Inci Rates'!C:J,8,FALSE)</f>
        <v>1696993.3333333333</v>
      </c>
      <c r="H126" s="713">
        <f>VLOOKUP($B126&amp;"_"&amp;$D126,'App5 - CRUK Inci Rates'!C:J,7,FALSE)</f>
        <v>1696993.3333333333</v>
      </c>
      <c r="I126" s="713">
        <f>VLOOKUP($B126&amp;"_"&amp;$D126,'App5 - CRUK Inci Rates'!C:J,4,FALSE)</f>
        <v>0</v>
      </c>
      <c r="J126" s="709">
        <f>VLOOKUP($B126&amp;"_"&amp;$D126,'App5 - CRUK Inci Rates'!C:K,9,FALSE)</f>
        <v>41</v>
      </c>
      <c r="K126" s="706">
        <f t="shared" si="109"/>
        <v>848496.66666666663</v>
      </c>
      <c r="L126" s="706">
        <f>VLOOKUP("*"&amp;$B126&amp;"*",'S4 - Summ PRS Characteristics'!$C$13:$Q$20,11,FALSE)*$J126</f>
        <v>37.656927901138751</v>
      </c>
      <c r="M126" s="706">
        <f t="shared" si="110"/>
        <v>3.3430720988612492</v>
      </c>
      <c r="N126" s="706">
        <f>IF($C126="other",(1-$C$7)*L126,(1-(VLOOKUP($C126,'S3 - Screening Tool Metrics'!$C$3:$G$17,5,FALSE)/100))*L126)</f>
        <v>7.5313855802277487</v>
      </c>
      <c r="O126" s="706">
        <f>IF($C126="other",$C$7*L126,(VLOOKUP($C126,'S3 - Screening Tool Metrics'!$C$3:$G$17,5,FALSE)/100)*L126)</f>
        <v>30.125542320911002</v>
      </c>
      <c r="P126" s="706">
        <f t="shared" si="111"/>
        <v>73.47693249002684</v>
      </c>
      <c r="Q126" s="707">
        <f t="shared" si="101"/>
        <v>339398.66666666669</v>
      </c>
      <c r="R126" s="706">
        <f>VLOOKUP("*"&amp;$B126&amp;"*",'S4 - Summ PRS Characteristics'!$C$13:$Q$20,12,FALSE)*$J126</f>
        <v>29.107084784993997</v>
      </c>
      <c r="S126" s="706">
        <f t="shared" si="112"/>
        <v>11.892915215006003</v>
      </c>
      <c r="T126" s="706">
        <f>IF($C126="other",(1-$C120)*R126,(1-(VLOOKUP($C126,'S3 - Screening Tool Metrics'!$C$3:$G$17,5,FALSE)/100))*R126)</f>
        <v>5.8214169569987986</v>
      </c>
      <c r="U126" s="706">
        <f>IF($C126="other",$C120*R126,(VLOOKUP($C126,'S3 - Screening Tool Metrics'!$C$3:$G$17,5,FALSE)/100)*R126)</f>
        <v>23.285667827995198</v>
      </c>
      <c r="V126" s="706">
        <f t="shared" si="102"/>
        <v>56.79431177559804</v>
      </c>
      <c r="W126" s="707">
        <f t="shared" si="103"/>
        <v>169699.33333333334</v>
      </c>
      <c r="X126" s="706">
        <f>VLOOKUP("*"&amp;$B126&amp;"*",'S4 - Summ PRS Characteristics'!$C$13:$Q$20,13,FALSE)*$J126</f>
        <v>22.348382758536932</v>
      </c>
      <c r="Y126" s="706">
        <f t="shared" si="113"/>
        <v>18.651617241463068</v>
      </c>
      <c r="Z126" s="706">
        <f>IF($C126="other",(1-$C120)*X126,(1-(VLOOKUP($C126,'S3 - Screening Tool Metrics'!$C$3:$G$17,5,FALSE)/100))*X126)</f>
        <v>4.4696765517073853</v>
      </c>
      <c r="AA126" s="706">
        <f>IF($C126="other",$C120*X126,(VLOOKUP($C126,'S3 - Screening Tool Metrics'!$C$3:$G$17,5,FALSE)/100)*X126)</f>
        <v>17.878706206829545</v>
      </c>
      <c r="AB126" s="709">
        <f t="shared" si="104"/>
        <v>43.606600504462307</v>
      </c>
      <c r="AC126" s="706">
        <f t="shared" si="105"/>
        <v>84849.666666666672</v>
      </c>
      <c r="AD126" s="706">
        <f>VLOOKUP("*"&amp;$B126&amp;"*",'S4 - Summ PRS Characteristics'!$C$13:$Q$20,14,FALSE)*$J126</f>
        <v>16.452162689848148</v>
      </c>
      <c r="AE126" s="706">
        <f t="shared" si="115"/>
        <v>24.547837310151852</v>
      </c>
      <c r="AF126" s="706">
        <f>IF($C126="other",(1-$C120)*AD126,(1-(VLOOKUP($C126,'S3 - Screening Tool Metrics'!$C$3:$G$17,5,FALSE)/100))*AD126)</f>
        <v>3.2904325379696289</v>
      </c>
      <c r="AG126" s="706">
        <f>IF($C126="other",$C120*AD126,(VLOOKUP($C126,'S3 - Screening Tool Metrics'!$C$3:$G$17,5,FALSE)/100)*AD126)</f>
        <v>13.161730151878519</v>
      </c>
      <c r="AH126" s="708">
        <f t="shared" si="106"/>
        <v>32.101780858240289</v>
      </c>
      <c r="AI126" s="707">
        <f t="shared" si="107"/>
        <v>16969.933333333334</v>
      </c>
      <c r="AJ126" s="706">
        <f>VLOOKUP("*"&amp;$B126&amp;"*",'S4 - Summ PRS Characteristics'!$C$13:$Q$20,15,FALSE)*$J126</f>
        <v>7.207171182716273</v>
      </c>
      <c r="AK126" s="706">
        <f t="shared" si="114"/>
        <v>33.792828817283727</v>
      </c>
      <c r="AL126" s="706">
        <f>IF($C126="other",(1-$C120)*AJ126,(1-(VLOOKUP($C126,'S3 - Screening Tool Metrics'!$C$3:$G$17,5,FALSE)/100))*AJ126)</f>
        <v>1.4414342365432542</v>
      </c>
      <c r="AM126" s="706">
        <f>IF($C126="other",$C120*AJ126,(VLOOKUP($C126,'S3 - Screening Tool Metrics'!$C$3:$G$17,5,FALSE)/100)*AJ126)</f>
        <v>5.7657369461730186</v>
      </c>
      <c r="AN126" s="709">
        <f t="shared" si="108"/>
        <v>14.062773039446386</v>
      </c>
    </row>
    <row r="127" spans="2:40" x14ac:dyDescent="0.15">
      <c r="B127" s="700" t="s">
        <v>17</v>
      </c>
      <c r="C127" s="721" t="str">
        <f>$C121</f>
        <v>other</v>
      </c>
      <c r="D127" s="552" t="s">
        <v>198</v>
      </c>
      <c r="E127" s="710">
        <f>VLOOKUP($B127&amp;"_"&amp;$D127,'App5 - CRUK Inci Rates'!C:H,6,FALSE)</f>
        <v>2.4</v>
      </c>
      <c r="F127" s="711">
        <f>VLOOKUP($B127&amp;"_"&amp;$D127,'App5 - CRUK Inci Rates'!C:H,3,FALSE)</f>
        <v>0</v>
      </c>
      <c r="G127" s="712">
        <f>VLOOKUP($B127&amp;"_"&amp;$D127,'App5 - CRUK Inci Rates'!C:J,8,FALSE)</f>
        <v>1467965</v>
      </c>
      <c r="H127" s="713">
        <f>VLOOKUP($B127&amp;"_"&amp;$D127,'App5 - CRUK Inci Rates'!C:J,7,FALSE)</f>
        <v>1467965</v>
      </c>
      <c r="I127" s="713">
        <f>VLOOKUP($B127&amp;"_"&amp;$D127,'App5 - CRUK Inci Rates'!C:J,4,FALSE)</f>
        <v>0</v>
      </c>
      <c r="J127" s="709">
        <f>VLOOKUP($B127&amp;"_"&amp;$D127,'App5 - CRUK Inci Rates'!C:K,9,FALSE)</f>
        <v>35</v>
      </c>
      <c r="K127" s="706">
        <f t="shared" si="109"/>
        <v>733982.5</v>
      </c>
      <c r="L127" s="706">
        <f>VLOOKUP("*"&amp;$B127&amp;"*",'S4 - Summ PRS Characteristics'!$C$13:$Q$20,11,FALSE)*$J127</f>
        <v>32.146157964386738</v>
      </c>
      <c r="M127" s="706">
        <f t="shared" si="110"/>
        <v>2.8538420356132619</v>
      </c>
      <c r="N127" s="706">
        <f>IF($C127="other",(1-$C$7)*L127,(1-(VLOOKUP($C127,'S3 - Screening Tool Metrics'!$C$3:$G$17,5,FALSE)/100))*L127)</f>
        <v>6.429231592877346</v>
      </c>
      <c r="O127" s="706">
        <f>IF($C127="other",$C$7*L127,(VLOOKUP($C127,'S3 - Screening Tool Metrics'!$C$3:$G$17,5,FALSE)/100)*L127)</f>
        <v>25.716926371509391</v>
      </c>
      <c r="P127" s="706">
        <f t="shared" si="111"/>
        <v>73.47693249002684</v>
      </c>
      <c r="Q127" s="707">
        <f t="shared" si="101"/>
        <v>293593</v>
      </c>
      <c r="R127" s="706">
        <f>VLOOKUP("*"&amp;$B127&amp;"*",'S4 - Summ PRS Characteristics'!$C$13:$Q$20,12,FALSE)*$J127</f>
        <v>24.847511401824143</v>
      </c>
      <c r="S127" s="706">
        <f t="shared" si="112"/>
        <v>10.152488598175857</v>
      </c>
      <c r="T127" s="706">
        <f>IF($C127="other",(1-$C120)*R127,(1-(VLOOKUP($C127,'S3 - Screening Tool Metrics'!$C$3:$G$17,5,FALSE)/100))*R127)</f>
        <v>4.9695022803648277</v>
      </c>
      <c r="U127" s="706">
        <f>IF($C127="other",$C120*R127,(VLOOKUP($C127,'S3 - Screening Tool Metrics'!$C$3:$G$17,5,FALSE)/100)*R127)</f>
        <v>19.878009121459314</v>
      </c>
      <c r="V127" s="706">
        <f t="shared" si="102"/>
        <v>56.79431177559804</v>
      </c>
      <c r="W127" s="707">
        <f t="shared" si="103"/>
        <v>146796.5</v>
      </c>
      <c r="X127" s="706">
        <f>VLOOKUP("*"&amp;$B127&amp;"*",'S4 - Summ PRS Characteristics'!$C$13:$Q$20,13,FALSE)*$J127</f>
        <v>19.077887720702257</v>
      </c>
      <c r="Y127" s="706">
        <f t="shared" si="113"/>
        <v>15.922112279297743</v>
      </c>
      <c r="Z127" s="706">
        <f>IF($C127="other",(1-$C120)*X127,(1-(VLOOKUP($C127,'S3 - Screening Tool Metrics'!$C$3:$G$17,5,FALSE)/100))*X127)</f>
        <v>3.8155775441404507</v>
      </c>
      <c r="AA127" s="706">
        <f>IF($C127="other",$C120*X127,(VLOOKUP($C127,'S3 - Screening Tool Metrics'!$C$3:$G$17,5,FALSE)/100)*X127)</f>
        <v>15.262310176561806</v>
      </c>
      <c r="AB127" s="709">
        <f t="shared" si="104"/>
        <v>43.606600504462307</v>
      </c>
      <c r="AC127" s="706">
        <f t="shared" si="105"/>
        <v>73398.25</v>
      </c>
      <c r="AD127" s="706">
        <f>VLOOKUP("*"&amp;$B127&amp;"*",'S4 - Summ PRS Characteristics'!$C$13:$Q$20,14,FALSE)*$J127</f>
        <v>14.044529125480128</v>
      </c>
      <c r="AE127" s="706">
        <f t="shared" si="115"/>
        <v>20.955470874519872</v>
      </c>
      <c r="AF127" s="706">
        <f>IF($C127="other",(1-$C120)*AD127,(1-(VLOOKUP($C127,'S3 - Screening Tool Metrics'!$C$3:$G$17,5,FALSE)/100))*AD127)</f>
        <v>2.808905825096025</v>
      </c>
      <c r="AG127" s="706">
        <f>IF($C127="other",$C120*AD127,(VLOOKUP($C127,'S3 - Screening Tool Metrics'!$C$3:$G$17,5,FALSE)/100)*AD127)</f>
        <v>11.235623300384104</v>
      </c>
      <c r="AH127" s="708">
        <f t="shared" si="106"/>
        <v>32.101780858240296</v>
      </c>
      <c r="AI127" s="707">
        <f t="shared" si="107"/>
        <v>14679.65</v>
      </c>
      <c r="AJ127" s="706">
        <f>VLOOKUP("*"&amp;$B127&amp;"*",'S4 - Summ PRS Characteristics'!$C$13:$Q$20,15,FALSE)*$J127</f>
        <v>6.1524632047577938</v>
      </c>
      <c r="AK127" s="706">
        <f t="shared" si="114"/>
        <v>28.847536795242206</v>
      </c>
      <c r="AL127" s="706">
        <f>IF($C127="other",(1-$C120)*AJ127,(1-(VLOOKUP($C127,'S3 - Screening Tool Metrics'!$C$3:$G$17,5,FALSE)/100))*AJ127)</f>
        <v>1.2304926409515584</v>
      </c>
      <c r="AM127" s="706">
        <f>IF($C127="other",$C120*AJ127,(VLOOKUP($C127,'S3 - Screening Tool Metrics'!$C$3:$G$17,5,FALSE)/100)*AJ127)</f>
        <v>4.9219705638062354</v>
      </c>
      <c r="AN127" s="709">
        <f t="shared" si="108"/>
        <v>14.062773039446386</v>
      </c>
    </row>
    <row r="128" spans="2:40" x14ac:dyDescent="0.15">
      <c r="B128" s="700" t="s">
        <v>17</v>
      </c>
      <c r="C128" s="721" t="str">
        <f>$C121</f>
        <v>other</v>
      </c>
      <c r="D128" s="552" t="s">
        <v>199</v>
      </c>
      <c r="E128" s="710">
        <f>VLOOKUP($B128&amp;"_"&amp;$D128,'App5 - CRUK Inci Rates'!C:H,6,FALSE)</f>
        <v>1.4</v>
      </c>
      <c r="F128" s="711">
        <f>VLOOKUP($B128&amp;"_"&amp;$D128,'App5 - CRUK Inci Rates'!C:H,3,FALSE)</f>
        <v>0</v>
      </c>
      <c r="G128" s="712">
        <f>VLOOKUP($B128&amp;"_"&amp;$D128,'App5 - CRUK Inci Rates'!C:J,8,FALSE)</f>
        <v>1007365.3333333334</v>
      </c>
      <c r="H128" s="713">
        <f>VLOOKUP($B128&amp;"_"&amp;$D128,'App5 - CRUK Inci Rates'!C:J,7,FALSE)</f>
        <v>1007365.3333333334</v>
      </c>
      <c r="I128" s="713">
        <f>VLOOKUP($B128&amp;"_"&amp;$D128,'App5 - CRUK Inci Rates'!C:J,4,FALSE)</f>
        <v>0</v>
      </c>
      <c r="J128" s="709">
        <f>VLOOKUP($B128&amp;"_"&amp;$D128,'App5 - CRUK Inci Rates'!C:K,9,FALSE)</f>
        <v>14</v>
      </c>
      <c r="K128" s="706">
        <f t="shared" si="109"/>
        <v>503682.66666666669</v>
      </c>
      <c r="L128" s="706">
        <f>VLOOKUP("*"&amp;$B128&amp;"*",'S4 - Summ PRS Characteristics'!$C$13:$Q$20,11,FALSE)*$J128</f>
        <v>12.858463185754696</v>
      </c>
      <c r="M128" s="706">
        <f t="shared" si="110"/>
        <v>1.1415368142453044</v>
      </c>
      <c r="N128" s="706">
        <f>IF($C128="other",(1-$C$7)*L128,(1-(VLOOKUP($C128,'S3 - Screening Tool Metrics'!$C$3:$G$17,5,FALSE)/100))*L128)</f>
        <v>2.5716926371509388</v>
      </c>
      <c r="O128" s="706">
        <f>IF($C128="other",$C$7*L128,(VLOOKUP($C128,'S3 - Screening Tool Metrics'!$C$3:$G$17,5,FALSE)/100)*L128)</f>
        <v>10.286770548603757</v>
      </c>
      <c r="P128" s="706">
        <f t="shared" si="111"/>
        <v>73.47693249002684</v>
      </c>
      <c r="Q128" s="707">
        <f t="shared" si="101"/>
        <v>201473.06666666668</v>
      </c>
      <c r="R128" s="706">
        <f>VLOOKUP("*"&amp;$B128&amp;"*",'S4 - Summ PRS Characteristics'!$C$13:$Q$20,12,FALSE)*$J128</f>
        <v>9.9390045607296571</v>
      </c>
      <c r="S128" s="706">
        <f t="shared" si="112"/>
        <v>4.0609954392703429</v>
      </c>
      <c r="T128" s="706">
        <f>IF($C128="other",(1-$C120)*R128,(1-(VLOOKUP($C128,'S3 - Screening Tool Metrics'!$C$3:$G$17,5,FALSE)/100))*R128)</f>
        <v>1.987800912145931</v>
      </c>
      <c r="U128" s="706">
        <f>IF($C128="other",$C120*R128,(VLOOKUP($C128,'S3 - Screening Tool Metrics'!$C$3:$G$17,5,FALSE)/100)*R128)</f>
        <v>7.9512036485837259</v>
      </c>
      <c r="V128" s="706">
        <f t="shared" si="102"/>
        <v>56.79431177559804</v>
      </c>
      <c r="W128" s="707">
        <f t="shared" si="103"/>
        <v>100736.53333333334</v>
      </c>
      <c r="X128" s="706">
        <f>VLOOKUP("*"&amp;$B128&amp;"*",'S4 - Summ PRS Characteristics'!$C$13:$Q$20,13,FALSE)*$J128</f>
        <v>7.6311550882809032</v>
      </c>
      <c r="Y128" s="706">
        <f t="shared" si="113"/>
        <v>6.3688449117190968</v>
      </c>
      <c r="Z128" s="706">
        <f>IF($C128="other",(1-$C120)*X128,(1-(VLOOKUP($C128,'S3 - Screening Tool Metrics'!$C$3:$G$17,5,FALSE)/100))*X128)</f>
        <v>1.5262310176561802</v>
      </c>
      <c r="AA128" s="706">
        <f>IF($C128="other",$C120*X128,(VLOOKUP($C128,'S3 - Screening Tool Metrics'!$C$3:$G$17,5,FALSE)/100)*X128)</f>
        <v>6.1049240706247225</v>
      </c>
      <c r="AB128" s="709">
        <f t="shared" si="104"/>
        <v>43.606600504462307</v>
      </c>
      <c r="AC128" s="706">
        <f t="shared" si="105"/>
        <v>50368.26666666667</v>
      </c>
      <c r="AD128" s="706">
        <f>VLOOKUP("*"&amp;$B128&amp;"*",'S4 - Summ PRS Characteristics'!$C$13:$Q$20,14,FALSE)*$J128</f>
        <v>5.617811650192051</v>
      </c>
      <c r="AE128" s="706">
        <f t="shared" si="115"/>
        <v>8.382188349807949</v>
      </c>
      <c r="AF128" s="706">
        <f>IF($C128="other",(1-$C120)*AD128,(1-(VLOOKUP($C128,'S3 - Screening Tool Metrics'!$C$3:$G$17,5,FALSE)/100))*AD128)</f>
        <v>1.1235623300384099</v>
      </c>
      <c r="AG128" s="706">
        <f>IF($C128="other",$C120*AD128,(VLOOKUP($C128,'S3 - Screening Tool Metrics'!$C$3:$G$17,5,FALSE)/100)*AD128)</f>
        <v>4.4942493201536413</v>
      </c>
      <c r="AH128" s="708">
        <f t="shared" si="106"/>
        <v>32.101780858240296</v>
      </c>
      <c r="AI128" s="707">
        <f t="shared" si="107"/>
        <v>10073.653333333334</v>
      </c>
      <c r="AJ128" s="706">
        <f>VLOOKUP("*"&amp;$B128&amp;"*",'S4 - Summ PRS Characteristics'!$C$13:$Q$20,15,FALSE)*$J128</f>
        <v>2.4609852819031177</v>
      </c>
      <c r="AK128" s="706">
        <f t="shared" si="114"/>
        <v>11.539014718096883</v>
      </c>
      <c r="AL128" s="706">
        <f>IF($C128="other",(1-$C120)*AJ128,(1-(VLOOKUP($C128,'S3 - Screening Tool Metrics'!$C$3:$G$17,5,FALSE)/100))*AJ128)</f>
        <v>0.49219705638062344</v>
      </c>
      <c r="AM128" s="706">
        <f>IF($C128="other",$C120*AJ128,(VLOOKUP($C128,'S3 - Screening Tool Metrics'!$C$3:$G$17,5,FALSE)/100)*AJ128)</f>
        <v>1.9687882255224942</v>
      </c>
      <c r="AN128" s="709">
        <f t="shared" si="108"/>
        <v>14.062773039446389</v>
      </c>
    </row>
    <row r="129" spans="2:40" x14ac:dyDescent="0.15">
      <c r="B129" s="700" t="s">
        <v>17</v>
      </c>
      <c r="C129" s="721" t="str">
        <f>$C121</f>
        <v>other</v>
      </c>
      <c r="D129" s="552" t="s">
        <v>206</v>
      </c>
      <c r="E129" s="710">
        <f>VLOOKUP($B129&amp;"_"&amp;$D129,'App5 - CRUK Inci Rates'!C:H,6,FALSE)</f>
        <v>16.008675806590755</v>
      </c>
      <c r="F129" s="711">
        <f>VLOOKUP($B129&amp;"_"&amp;$D129,'App5 - CRUK Inci Rates'!C:H,3,FALSE)</f>
        <v>0</v>
      </c>
      <c r="G129" s="712">
        <f>VLOOKUP($B129&amp;"_"&amp;$D129,'App5 - CRUK Inci Rates'!C:J,8,FALSE)</f>
        <v>8782737.666666666</v>
      </c>
      <c r="H129" s="713">
        <f>VLOOKUP($B129&amp;"_"&amp;$D129,'App5 - CRUK Inci Rates'!C:J,7,FALSE)</f>
        <v>8782737.666666666</v>
      </c>
      <c r="I129" s="713">
        <f>VLOOKUP($B129&amp;"_"&amp;$D129,'App5 - CRUK Inci Rates'!C:J,4,FALSE)</f>
        <v>0</v>
      </c>
      <c r="J129" s="709">
        <f>VLOOKUP($B129&amp;"_"&amp;$D129,'App5 - CRUK Inci Rates'!C:K,9,FALSE)</f>
        <v>1406</v>
      </c>
      <c r="K129" s="706">
        <f t="shared" si="109"/>
        <v>4391368.833333333</v>
      </c>
      <c r="L129" s="706">
        <f>VLOOKUP("*"&amp;$B129&amp;"*",'S4 - Summ PRS Characteristics'!$C$13:$Q$20,11,FALSE)*$J129</f>
        <v>1291.3570885122215</v>
      </c>
      <c r="M129" s="706">
        <f t="shared" si="110"/>
        <v>114.64291148777852</v>
      </c>
      <c r="N129" s="706">
        <f>IF($C129="other",(1-$C$7)*L129,(1-(VLOOKUP($C129,'S3 - Screening Tool Metrics'!$C$3:$G$17,5,FALSE)/100))*L129)</f>
        <v>258.27141770244424</v>
      </c>
      <c r="O129" s="706">
        <f>IF($C129="other",$C$7*L129,(VLOOKUP($C129,'S3 - Screening Tool Metrics'!$C$3:$G$17,5,FALSE)/100)*L129)</f>
        <v>1033.0856708097772</v>
      </c>
      <c r="P129" s="706">
        <f t="shared" si="111"/>
        <v>73.476932490026826</v>
      </c>
      <c r="Q129" s="707">
        <f t="shared" si="101"/>
        <v>1756547.5333333332</v>
      </c>
      <c r="R129" s="706">
        <f>VLOOKUP("*"&amp;$B129&amp;"*",'S4 - Summ PRS Characteristics'!$C$13:$Q$20,12,FALSE)*$J129</f>
        <v>998.16002945613559</v>
      </c>
      <c r="S129" s="706">
        <f t="shared" si="112"/>
        <v>407.83997054386441</v>
      </c>
      <c r="T129" s="706">
        <f>IF($C129="other",(1-$C120)*R129,(1-(VLOOKUP($C129,'S3 - Screening Tool Metrics'!$C$3:$G$17,5,FALSE)/100))*R129)</f>
        <v>199.63200589122707</v>
      </c>
      <c r="U129" s="706">
        <f>IF($C129="other",$C120*R129,(VLOOKUP($C129,'S3 - Screening Tool Metrics'!$C$3:$G$17,5,FALSE)/100)*R129)</f>
        <v>798.52802356490849</v>
      </c>
      <c r="V129" s="706">
        <f t="shared" si="102"/>
        <v>56.79431177559804</v>
      </c>
      <c r="W129" s="707">
        <f t="shared" si="103"/>
        <v>878273.7666666666</v>
      </c>
      <c r="X129" s="706">
        <f>VLOOKUP("*"&amp;$B129&amp;"*",'S4 - Summ PRS Characteristics'!$C$13:$Q$20,13,FALSE)*$J129</f>
        <v>766.38600386592498</v>
      </c>
      <c r="Y129" s="706">
        <f t="shared" si="113"/>
        <v>639.61399613407502</v>
      </c>
      <c r="Z129" s="706">
        <f>IF($C129="other",(1-$C120)*X129,(1-(VLOOKUP($C129,'S3 - Screening Tool Metrics'!$C$3:$G$17,5,FALSE)/100))*X129)</f>
        <v>153.27720077318497</v>
      </c>
      <c r="AA129" s="706">
        <f>IF($C129="other",$C120*X129,(VLOOKUP($C129,'S3 - Screening Tool Metrics'!$C$3:$G$17,5,FALSE)/100)*X129)</f>
        <v>613.10880309274</v>
      </c>
      <c r="AB129" s="709">
        <f t="shared" si="104"/>
        <v>43.606600504462307</v>
      </c>
      <c r="AC129" s="706">
        <f t="shared" si="105"/>
        <v>439136.8833333333</v>
      </c>
      <c r="AD129" s="706">
        <f>VLOOKUP("*"&amp;$B129&amp;"*",'S4 - Summ PRS Characteristics'!$C$13:$Q$20,14,FALSE)*$J129</f>
        <v>564.18879858357309</v>
      </c>
      <c r="AE129" s="706">
        <f t="shared" si="115"/>
        <v>841.81120141642691</v>
      </c>
      <c r="AF129" s="706">
        <f>IF($C129="other",(1-$C120)*AD129,(1-(VLOOKUP($C129,'S3 - Screening Tool Metrics'!$C$3:$G$17,5,FALSE)/100))*AD129)</f>
        <v>112.83775971671459</v>
      </c>
      <c r="AG129" s="706">
        <f>IF($C129="other",$C120*AD129,(VLOOKUP($C129,'S3 - Screening Tool Metrics'!$C$3:$G$17,5,FALSE)/100)*AD129)</f>
        <v>451.35103886685852</v>
      </c>
      <c r="AH129" s="708">
        <f t="shared" si="106"/>
        <v>32.101780858240289</v>
      </c>
      <c r="AI129" s="707">
        <f t="shared" si="107"/>
        <v>87827.376666666663</v>
      </c>
      <c r="AJ129" s="706">
        <f>VLOOKUP("*"&amp;$B129&amp;"*",'S4 - Summ PRS Characteristics'!$C$13:$Q$20,15,FALSE)*$J129</f>
        <v>247.15323616827024</v>
      </c>
      <c r="AK129" s="706">
        <f t="shared" si="114"/>
        <v>1158.8467638317297</v>
      </c>
      <c r="AL129" s="706">
        <f>IF($C129="other",(1-$C120)*AJ129,(1-(VLOOKUP($C129,'S3 - Screening Tool Metrics'!$C$3:$G$17,5,FALSE)/100))*AJ129)</f>
        <v>49.430647233654035</v>
      </c>
      <c r="AM129" s="706">
        <f>IF($C129="other",$C120*AJ129,(VLOOKUP($C129,'S3 - Screening Tool Metrics'!$C$3:$G$17,5,FALSE)/100)*AJ129)</f>
        <v>197.7225889346162</v>
      </c>
      <c r="AN129" s="709">
        <f t="shared" si="108"/>
        <v>14.062773039446386</v>
      </c>
    </row>
    <row r="130" spans="2:40" x14ac:dyDescent="0.15">
      <c r="B130" s="700" t="s">
        <v>17</v>
      </c>
      <c r="C130" s="721" t="str">
        <f>$C121</f>
        <v>other</v>
      </c>
      <c r="D130" s="552" t="s">
        <v>200</v>
      </c>
      <c r="E130" s="710">
        <f>VLOOKUP($B130&amp;"_"&amp;$D130,'App5 - CRUK Inci Rates'!C:H,6,FALSE)</f>
        <v>6.782309267126819</v>
      </c>
      <c r="F130" s="711">
        <f>VLOOKUP($B130&amp;"_"&amp;$D130,'App5 - CRUK Inci Rates'!C:H,3,FALSE)</f>
        <v>0</v>
      </c>
      <c r="G130" s="712">
        <f>VLOOKUP($B130&amp;"_"&amp;$D130,'App5 - CRUK Inci Rates'!C:J,8,FALSE)</f>
        <v>12090277.333333334</v>
      </c>
      <c r="H130" s="713">
        <f>VLOOKUP($B130&amp;"_"&amp;$D130,'App5 - CRUK Inci Rates'!C:J,7,FALSE)</f>
        <v>12090277.333333334</v>
      </c>
      <c r="I130" s="713">
        <f>VLOOKUP($B130&amp;"_"&amp;$D130,'App5 - CRUK Inci Rates'!C:J,4,FALSE)</f>
        <v>0</v>
      </c>
      <c r="J130" s="709">
        <f>VLOOKUP($B130&amp;"_"&amp;$D130,'App5 - CRUK Inci Rates'!C:K,9,FALSE)</f>
        <v>820</v>
      </c>
      <c r="K130" s="706">
        <f t="shared" si="109"/>
        <v>6045138.666666667</v>
      </c>
      <c r="L130" s="706">
        <f>VLOOKUP("*"&amp;$B130&amp;"*",'S4 - Summ PRS Characteristics'!$C$13:$Q$20,11,FALSE)*$J130</f>
        <v>753.13855802277499</v>
      </c>
      <c r="M130" s="706">
        <f t="shared" si="110"/>
        <v>66.861441977225013</v>
      </c>
      <c r="N130" s="706">
        <f>IF($C130="other",(1-$C$7)*L130,(1-(VLOOKUP($C130,'S3 - Screening Tool Metrics'!$C$3:$G$17,5,FALSE)/100))*L130)</f>
        <v>150.62771160455497</v>
      </c>
      <c r="O130" s="706">
        <f>IF($C130="other",$C$7*L130,(VLOOKUP($C130,'S3 - Screening Tool Metrics'!$C$3:$G$17,5,FALSE)/100)*L130)</f>
        <v>602.51084641822001</v>
      </c>
      <c r="P130" s="706">
        <f t="shared" si="111"/>
        <v>73.47693249002684</v>
      </c>
      <c r="Q130" s="707">
        <f t="shared" si="101"/>
        <v>2418055.4666666668</v>
      </c>
      <c r="R130" s="706">
        <f>VLOOKUP("*"&amp;$B130&amp;"*",'S4 - Summ PRS Characteristics'!$C$13:$Q$20,12,FALSE)*$J130</f>
        <v>582.14169569987996</v>
      </c>
      <c r="S130" s="706">
        <f t="shared" si="112"/>
        <v>237.85830430012004</v>
      </c>
      <c r="T130" s="706">
        <f>IF($C130="other",(1-$C120)*R130,(1-(VLOOKUP($C130,'S3 - Screening Tool Metrics'!$C$3:$G$17,5,FALSE)/100))*R130)</f>
        <v>116.42833913997596</v>
      </c>
      <c r="U130" s="706">
        <f>IF($C130="other",$C120*R130,(VLOOKUP($C130,'S3 - Screening Tool Metrics'!$C$3:$G$17,5,FALSE)/100)*R130)</f>
        <v>465.71335655990401</v>
      </c>
      <c r="V130" s="706">
        <f t="shared" si="102"/>
        <v>56.794311775598047</v>
      </c>
      <c r="W130" s="707">
        <f t="shared" si="103"/>
        <v>1209027.7333333334</v>
      </c>
      <c r="X130" s="706">
        <f>VLOOKUP("*"&amp;$B130&amp;"*",'S4 - Summ PRS Characteristics'!$C$13:$Q$20,13,FALSE)*$J130</f>
        <v>446.96765517073862</v>
      </c>
      <c r="Y130" s="706">
        <f t="shared" si="113"/>
        <v>373.03234482926138</v>
      </c>
      <c r="Z130" s="706">
        <f>IF($C130="other",(1-$C120)*X130,(1-(VLOOKUP($C130,'S3 - Screening Tool Metrics'!$C$3:$G$17,5,FALSE)/100))*X130)</f>
        <v>89.393531034147699</v>
      </c>
      <c r="AA130" s="706">
        <f>IF($C130="other",$C120*X130,(VLOOKUP($C130,'S3 - Screening Tool Metrics'!$C$3:$G$17,5,FALSE)/100)*X130)</f>
        <v>357.57412413659091</v>
      </c>
      <c r="AB130" s="709">
        <f t="shared" si="104"/>
        <v>43.606600504462307</v>
      </c>
      <c r="AC130" s="706">
        <f t="shared" si="105"/>
        <v>604513.8666666667</v>
      </c>
      <c r="AD130" s="706">
        <f>VLOOKUP("*"&amp;$B130&amp;"*",'S4 - Summ PRS Characteristics'!$C$13:$Q$20,14,FALSE)*$J130</f>
        <v>329.04325379696297</v>
      </c>
      <c r="AE130" s="706">
        <f t="shared" si="115"/>
        <v>490.95674620303703</v>
      </c>
      <c r="AF130" s="706">
        <f>IF($C130="other",(1-$C120)*AD130,(1-(VLOOKUP($C130,'S3 - Screening Tool Metrics'!$C$3:$G$17,5,FALSE)/100))*AD130)</f>
        <v>65.808650759392577</v>
      </c>
      <c r="AG130" s="706">
        <f>IF($C130="other",$C120*AD130,(VLOOKUP($C130,'S3 - Screening Tool Metrics'!$C$3:$G$17,5,FALSE)/100)*AD130)</f>
        <v>263.23460303757037</v>
      </c>
      <c r="AH130" s="708">
        <f t="shared" si="106"/>
        <v>32.101780858240289</v>
      </c>
      <c r="AI130" s="707">
        <f t="shared" si="107"/>
        <v>120902.77333333335</v>
      </c>
      <c r="AJ130" s="706">
        <f>VLOOKUP("*"&amp;$B130&amp;"*",'S4 - Summ PRS Characteristics'!$C$13:$Q$20,15,FALSE)*$J130</f>
        <v>144.14342365432546</v>
      </c>
      <c r="AK130" s="706">
        <f t="shared" si="114"/>
        <v>675.85657634567451</v>
      </c>
      <c r="AL130" s="706">
        <f>IF($C130="other",(1-$C120)*AJ130,(1-(VLOOKUP($C130,'S3 - Screening Tool Metrics'!$C$3:$G$17,5,FALSE)/100))*AJ130)</f>
        <v>28.828684730865085</v>
      </c>
      <c r="AM130" s="706">
        <f>IF($C130="other",$C120*AJ130,(VLOOKUP($C130,'S3 - Screening Tool Metrics'!$C$3:$G$17,5,FALSE)/100)*AJ130)</f>
        <v>115.31473892346037</v>
      </c>
      <c r="AN130" s="709">
        <f t="shared" si="108"/>
        <v>14.062773039446386</v>
      </c>
    </row>
    <row r="131" spans="2:40" x14ac:dyDescent="0.15">
      <c r="B131" s="700" t="s">
        <v>17</v>
      </c>
      <c r="C131" s="721" t="str">
        <f>$C121</f>
        <v>other</v>
      </c>
      <c r="D131" s="552" t="s">
        <v>201</v>
      </c>
      <c r="E131" s="710">
        <f>VLOOKUP($B131&amp;"_"&amp;$D131,'App5 - CRUK Inci Rates'!C:H,6,FALSE)</f>
        <v>10.741704977707645</v>
      </c>
      <c r="F131" s="711">
        <f>VLOOKUP($B131&amp;"_"&amp;$D131,'App5 - CRUK Inci Rates'!C:H,3,FALSE)</f>
        <v>0</v>
      </c>
      <c r="G131" s="712">
        <f>VLOOKUP($B131&amp;"_"&amp;$D131,'App5 - CRUK Inci Rates'!C:J,8,FALSE)</f>
        <v>4273064.666666667</v>
      </c>
      <c r="H131" s="713">
        <f>VLOOKUP($B131&amp;"_"&amp;$D131,'App5 - CRUK Inci Rates'!C:J,7,FALSE)</f>
        <v>4273064.666666667</v>
      </c>
      <c r="I131" s="713">
        <f>VLOOKUP($B131&amp;"_"&amp;$D131,'App5 - CRUK Inci Rates'!C:J,4,FALSE)</f>
        <v>0</v>
      </c>
      <c r="J131" s="709">
        <f>VLOOKUP($B131&amp;"_"&amp;$D131,'App5 - CRUK Inci Rates'!C:K,9,FALSE)</f>
        <v>459</v>
      </c>
      <c r="K131" s="706">
        <f t="shared" si="109"/>
        <v>2136532.3333333335</v>
      </c>
      <c r="L131" s="706">
        <f>VLOOKUP("*"&amp;$B131&amp;"*",'S4 - Summ PRS Characteristics'!$C$13:$Q$20,11,FALSE)*$J131</f>
        <v>421.57390016152891</v>
      </c>
      <c r="M131" s="706">
        <f t="shared" si="110"/>
        <v>37.426099838471089</v>
      </c>
      <c r="N131" s="706">
        <f>IF($C131="other",(1-$C$7)*L131,(1-(VLOOKUP($C131,'S3 - Screening Tool Metrics'!$C$3:$G$17,5,FALSE)/100))*L131)</f>
        <v>84.314780032305762</v>
      </c>
      <c r="O131" s="706">
        <f>IF($C131="other",$C$7*L131,(VLOOKUP($C131,'S3 - Screening Tool Metrics'!$C$3:$G$17,5,FALSE)/100)*L131)</f>
        <v>337.25912012922316</v>
      </c>
      <c r="P131" s="706">
        <f t="shared" si="111"/>
        <v>73.47693249002684</v>
      </c>
      <c r="Q131" s="707">
        <f t="shared" si="101"/>
        <v>854612.93333333347</v>
      </c>
      <c r="R131" s="706">
        <f>VLOOKUP("*"&amp;$B131&amp;"*",'S4 - Summ PRS Characteristics'!$C$13:$Q$20,12,FALSE)*$J131</f>
        <v>325.85736381249376</v>
      </c>
      <c r="S131" s="706">
        <f t="shared" si="112"/>
        <v>133.14263618750624</v>
      </c>
      <c r="T131" s="706">
        <f>IF($C131="other",(1-$C120)*R131,(1-(VLOOKUP($C131,'S3 - Screening Tool Metrics'!$C$3:$G$17,5,FALSE)/100))*R131)</f>
        <v>65.171472762498738</v>
      </c>
      <c r="U131" s="706">
        <f>IF($C131="other",$C120*R131,(VLOOKUP($C131,'S3 - Screening Tool Metrics'!$C$3:$G$17,5,FALSE)/100)*R131)</f>
        <v>260.68589104999501</v>
      </c>
      <c r="V131" s="706">
        <f t="shared" si="102"/>
        <v>56.79431177559804</v>
      </c>
      <c r="W131" s="707">
        <f t="shared" si="103"/>
        <v>427306.46666666673</v>
      </c>
      <c r="X131" s="706">
        <f>VLOOKUP("*"&amp;$B131&amp;"*",'S4 - Summ PRS Characteristics'!$C$13:$Q$20,13,FALSE)*$J131</f>
        <v>250.19287039435247</v>
      </c>
      <c r="Y131" s="706">
        <f t="shared" si="113"/>
        <v>208.80712960564753</v>
      </c>
      <c r="Z131" s="706">
        <f>IF($C131="other",(1-$C120)*X131,(1-(VLOOKUP($C131,'S3 - Screening Tool Metrics'!$C$3:$G$17,5,FALSE)/100))*X131)</f>
        <v>50.038574078870482</v>
      </c>
      <c r="AA131" s="706">
        <f>IF($C131="other",$C120*X131,(VLOOKUP($C131,'S3 - Screening Tool Metrics'!$C$3:$G$17,5,FALSE)/100)*X131)</f>
        <v>200.15429631548199</v>
      </c>
      <c r="AB131" s="709">
        <f t="shared" si="104"/>
        <v>43.606600504462307</v>
      </c>
      <c r="AC131" s="706">
        <f t="shared" si="105"/>
        <v>213653.23333333337</v>
      </c>
      <c r="AD131" s="706">
        <f>VLOOKUP("*"&amp;$B131&amp;"*",'S4 - Summ PRS Characteristics'!$C$13:$Q$20,14,FALSE)*$J131</f>
        <v>184.18396767415368</v>
      </c>
      <c r="AE131" s="706">
        <f t="shared" si="115"/>
        <v>274.81603232584632</v>
      </c>
      <c r="AF131" s="706">
        <f>IF($C131="other",(1-$C120)*AD131,(1-(VLOOKUP($C131,'S3 - Screening Tool Metrics'!$C$3:$G$17,5,FALSE)/100))*AD131)</f>
        <v>36.836793534830726</v>
      </c>
      <c r="AG131" s="706">
        <f>IF($C131="other",$C120*AD131,(VLOOKUP($C131,'S3 - Screening Tool Metrics'!$C$3:$G$17,5,FALSE)/100)*AD131)</f>
        <v>147.34717413932296</v>
      </c>
      <c r="AH131" s="708">
        <f t="shared" si="106"/>
        <v>32.101780858240296</v>
      </c>
      <c r="AI131" s="707">
        <f t="shared" si="107"/>
        <v>42730.646666666667</v>
      </c>
      <c r="AJ131" s="706">
        <f>VLOOKUP("*"&amp;$B131&amp;"*",'S4 - Summ PRS Characteristics'!$C$13:$Q$20,15,FALSE)*$J131</f>
        <v>80.685160313823644</v>
      </c>
      <c r="AK131" s="706">
        <f t="shared" si="114"/>
        <v>378.31483968617636</v>
      </c>
      <c r="AL131" s="706">
        <f>IF($C131="other",(1-$C120)*AJ131,(1-(VLOOKUP($C131,'S3 - Screening Tool Metrics'!$C$3:$G$17,5,FALSE)/100))*AJ131)</f>
        <v>16.137032062764725</v>
      </c>
      <c r="AM131" s="706">
        <f>IF($C131="other",$C120*AJ131,(VLOOKUP($C131,'S3 - Screening Tool Metrics'!$C$3:$G$17,5,FALSE)/100)*AJ131)</f>
        <v>64.548128251058912</v>
      </c>
      <c r="AN131" s="709">
        <f t="shared" si="108"/>
        <v>14.062773039446386</v>
      </c>
    </row>
    <row r="132" spans="2:40" x14ac:dyDescent="0.15">
      <c r="B132" s="700" t="s">
        <v>17</v>
      </c>
      <c r="C132" s="721" t="str">
        <f>$C121</f>
        <v>other</v>
      </c>
      <c r="D132" s="552" t="s">
        <v>202</v>
      </c>
      <c r="E132" s="710">
        <f>VLOOKUP($B132&amp;"_"&amp;$D132,'App5 - CRUK Inci Rates'!C:H,6,FALSE)</f>
        <v>6.1532932287600035</v>
      </c>
      <c r="F132" s="711">
        <f>VLOOKUP($B132&amp;"_"&amp;$D132,'App5 - CRUK Inci Rates'!C:H,3,FALSE)</f>
        <v>0</v>
      </c>
      <c r="G132" s="712">
        <f>VLOOKUP($B132&amp;"_"&amp;$D132,'App5 - CRUK Inci Rates'!C:J,8,FALSE)</f>
        <v>4355391.333333333</v>
      </c>
      <c r="H132" s="713">
        <f>VLOOKUP($B132&amp;"_"&amp;$D132,'App5 - CRUK Inci Rates'!C:J,7,FALSE)</f>
        <v>4355391.333333333</v>
      </c>
      <c r="I132" s="713">
        <f>VLOOKUP($B132&amp;"_"&amp;$D132,'App5 - CRUK Inci Rates'!C:J,4,FALSE)</f>
        <v>0</v>
      </c>
      <c r="J132" s="709">
        <f>VLOOKUP($B132&amp;"_"&amp;$D132,'App5 - CRUK Inci Rates'!C:K,9,FALSE)</f>
        <v>268</v>
      </c>
      <c r="K132" s="706">
        <f t="shared" si="109"/>
        <v>2177695.6666666665</v>
      </c>
      <c r="L132" s="706">
        <f>VLOOKUP("*"&amp;$B132&amp;"*",'S4 - Summ PRS Characteristics'!$C$13:$Q$20,11,FALSE)*$J132</f>
        <v>246.14772384158988</v>
      </c>
      <c r="M132" s="706">
        <f t="shared" si="110"/>
        <v>21.85227615841012</v>
      </c>
      <c r="N132" s="706">
        <f>IF($C132="other",(1-$C$7)*L132,(1-(VLOOKUP($C132,'S3 - Screening Tool Metrics'!$C$3:$G$17,5,FALSE)/100))*L132)</f>
        <v>49.229544768317965</v>
      </c>
      <c r="O132" s="706">
        <f>IF($C132="other",$C$7*L132,(VLOOKUP($C132,'S3 - Screening Tool Metrics'!$C$3:$G$17,5,FALSE)/100)*L132)</f>
        <v>196.91817907327192</v>
      </c>
      <c r="P132" s="706">
        <f t="shared" si="111"/>
        <v>73.47693249002684</v>
      </c>
      <c r="Q132" s="707">
        <f t="shared" si="101"/>
        <v>871078.2666666666</v>
      </c>
      <c r="R132" s="706">
        <f>VLOOKUP("*"&amp;$B132&amp;"*",'S4 - Summ PRS Characteristics'!$C$13:$Q$20,12,FALSE)*$J132</f>
        <v>190.26094444825344</v>
      </c>
      <c r="S132" s="706">
        <f t="shared" si="112"/>
        <v>77.73905555174656</v>
      </c>
      <c r="T132" s="706">
        <f>IF($C132="other",(1-$C120)*R132,(1-(VLOOKUP($C132,'S3 - Screening Tool Metrics'!$C$3:$G$17,5,FALSE)/100))*R132)</f>
        <v>38.052188889650679</v>
      </c>
      <c r="U132" s="706">
        <f>IF($C132="other",$C120*R132,(VLOOKUP($C132,'S3 - Screening Tool Metrics'!$C$3:$G$17,5,FALSE)/100)*R132)</f>
        <v>152.20875555860275</v>
      </c>
      <c r="V132" s="706">
        <f t="shared" si="102"/>
        <v>56.79431177559804</v>
      </c>
      <c r="W132" s="707">
        <f t="shared" si="103"/>
        <v>435539.1333333333</v>
      </c>
      <c r="X132" s="706">
        <f>VLOOKUP("*"&amp;$B132&amp;"*",'S4 - Summ PRS Characteristics'!$C$13:$Q$20,13,FALSE)*$J132</f>
        <v>146.08211168994873</v>
      </c>
      <c r="Y132" s="706">
        <f t="shared" si="113"/>
        <v>121.91788831005127</v>
      </c>
      <c r="Z132" s="706">
        <f>IF($C132="other",(1-$C120)*X132,(1-(VLOOKUP($C132,'S3 - Screening Tool Metrics'!$C$3:$G$17,5,FALSE)/100))*X132)</f>
        <v>29.216422337989741</v>
      </c>
      <c r="AA132" s="706">
        <f>IF($C132="other",$C120*X132,(VLOOKUP($C132,'S3 - Screening Tool Metrics'!$C$3:$G$17,5,FALSE)/100)*X132)</f>
        <v>116.86568935195899</v>
      </c>
      <c r="AB132" s="709">
        <f t="shared" si="104"/>
        <v>43.606600504462314</v>
      </c>
      <c r="AC132" s="706">
        <f t="shared" si="105"/>
        <v>217769.56666666665</v>
      </c>
      <c r="AD132" s="706">
        <f>VLOOKUP("*"&amp;$B132&amp;"*",'S4 - Summ PRS Characteristics'!$C$13:$Q$20,14,FALSE)*$J132</f>
        <v>107.54096587510497</v>
      </c>
      <c r="AE132" s="706">
        <f t="shared" si="115"/>
        <v>160.45903412489503</v>
      </c>
      <c r="AF132" s="706">
        <f>IF($C132="other",(1-$C120)*AD132,(1-(VLOOKUP($C132,'S3 - Screening Tool Metrics'!$C$3:$G$17,5,FALSE)/100))*AD132)</f>
        <v>21.508193175020988</v>
      </c>
      <c r="AG132" s="706">
        <f>IF($C132="other",$C120*AD132,(VLOOKUP($C132,'S3 - Screening Tool Metrics'!$C$3:$G$17,5,FALSE)/100)*AD132)</f>
        <v>86.032772700083981</v>
      </c>
      <c r="AH132" s="708">
        <f t="shared" si="106"/>
        <v>32.101780858240289</v>
      </c>
      <c r="AI132" s="707">
        <f t="shared" si="107"/>
        <v>43553.91333333333</v>
      </c>
      <c r="AJ132" s="706">
        <f>VLOOKUP("*"&amp;$B132&amp;"*",'S4 - Summ PRS Characteristics'!$C$13:$Q$20,15,FALSE)*$J132</f>
        <v>47.110289682145392</v>
      </c>
      <c r="AK132" s="706">
        <f t="shared" si="114"/>
        <v>220.88971031785462</v>
      </c>
      <c r="AL132" s="706">
        <f>IF($C132="other",(1-$C120)*AJ132,(1-(VLOOKUP($C132,'S3 - Screening Tool Metrics'!$C$3:$G$17,5,FALSE)/100))*AJ132)</f>
        <v>9.4220579364290771</v>
      </c>
      <c r="AM132" s="706">
        <f>IF($C132="other",$C120*AJ132,(VLOOKUP($C132,'S3 - Screening Tool Metrics'!$C$3:$G$17,5,FALSE)/100)*AJ132)</f>
        <v>37.688231745716315</v>
      </c>
      <c r="AN132" s="709">
        <f t="shared" si="108"/>
        <v>14.062773039446386</v>
      </c>
    </row>
    <row r="133" spans="2:40" x14ac:dyDescent="0.15">
      <c r="B133" s="700" t="s">
        <v>17</v>
      </c>
      <c r="C133" s="721" t="str">
        <f t="shared" ref="C133:C134" si="116">$C122</f>
        <v>other</v>
      </c>
      <c r="D133" s="552" t="s">
        <v>203</v>
      </c>
      <c r="E133" s="710">
        <f>VLOOKUP($B133&amp;"_"&amp;$D133,'App5 - CRUK Inci Rates'!C:H,6,FALSE)</f>
        <v>4.6180143152474038</v>
      </c>
      <c r="F133" s="711">
        <f>VLOOKUP($B133&amp;"_"&amp;$D133,'App5 - CRUK Inci Rates'!C:H,3,FALSE)</f>
        <v>0</v>
      </c>
      <c r="G133" s="712">
        <f>VLOOKUP($B133&amp;"_"&amp;$D133,'App5 - CRUK Inci Rates'!C:J,8,FALSE)</f>
        <v>7817212.666666666</v>
      </c>
      <c r="H133" s="713">
        <f>VLOOKUP($B133&amp;"_"&amp;$D133,'App5 - CRUK Inci Rates'!C:J,7,FALSE)</f>
        <v>7817212.666666666</v>
      </c>
      <c r="I133" s="713">
        <f>VLOOKUP($B133&amp;"_"&amp;$D133,'App5 - CRUK Inci Rates'!C:J,4,FALSE)</f>
        <v>0</v>
      </c>
      <c r="J133" s="709">
        <f>VLOOKUP($B133&amp;"_"&amp;$D133,'App5 - CRUK Inci Rates'!C:K,9,FALSE)</f>
        <v>361</v>
      </c>
      <c r="K133" s="706">
        <f t="shared" si="109"/>
        <v>3908606.333333333</v>
      </c>
      <c r="L133" s="706">
        <f>VLOOKUP("*"&amp;$B133&amp;"*",'S4 - Summ PRS Characteristics'!$C$13:$Q$20,11,FALSE)*$J133</f>
        <v>331.56465786124608</v>
      </c>
      <c r="M133" s="706">
        <f t="shared" si="110"/>
        <v>29.435342138753924</v>
      </c>
      <c r="N133" s="706">
        <f>IF($C133="other",(1-$C$7)*L133,(1-(VLOOKUP($C133,'S3 - Screening Tool Metrics'!$C$3:$G$17,5,FALSE)/100))*L133)</f>
        <v>66.312931572249198</v>
      </c>
      <c r="O133" s="706">
        <f>IF($C133="other",$C$7*L133,(VLOOKUP($C133,'S3 - Screening Tool Metrics'!$C$3:$G$17,5,FALSE)/100)*L133)</f>
        <v>265.25172628899685</v>
      </c>
      <c r="P133" s="706">
        <f t="shared" si="111"/>
        <v>73.476932490026826</v>
      </c>
      <c r="Q133" s="707">
        <f t="shared" si="101"/>
        <v>1563442.5333333332</v>
      </c>
      <c r="R133" s="706">
        <f>VLOOKUP("*"&amp;$B133&amp;"*",'S4 - Summ PRS Characteristics'!$C$13:$Q$20,12,FALSE)*$J133</f>
        <v>256.28433188738614</v>
      </c>
      <c r="S133" s="706">
        <f t="shared" si="112"/>
        <v>104.71566811261386</v>
      </c>
      <c r="T133" s="706">
        <f>IF($C133="other",(1-$C120)*R133,(1-(VLOOKUP($C133,'S3 - Screening Tool Metrics'!$C$3:$G$17,5,FALSE)/100))*R133)</f>
        <v>51.256866377477216</v>
      </c>
      <c r="U133" s="706">
        <f>IF($C133="other",$C120*R133,(VLOOKUP($C133,'S3 - Screening Tool Metrics'!$C$3:$G$17,5,FALSE)/100)*R133)</f>
        <v>205.02746550990892</v>
      </c>
      <c r="V133" s="706">
        <f t="shared" si="102"/>
        <v>56.79431177559804</v>
      </c>
      <c r="W133" s="707">
        <f t="shared" si="103"/>
        <v>781721.2666666666</v>
      </c>
      <c r="X133" s="706">
        <f>VLOOKUP("*"&amp;$B133&amp;"*",'S4 - Summ PRS Characteristics'!$C$13:$Q$20,13,FALSE)*$J133</f>
        <v>196.77478477638616</v>
      </c>
      <c r="Y133" s="706">
        <f t="shared" si="113"/>
        <v>164.22521522361384</v>
      </c>
      <c r="Z133" s="706">
        <f>IF($C133="other",(1-$C120)*X133,(1-(VLOOKUP($C133,'S3 - Screening Tool Metrics'!$C$3:$G$17,5,FALSE)/100))*X133)</f>
        <v>39.354956955277224</v>
      </c>
      <c r="AA133" s="706">
        <f>IF($C133="other",$C120*X133,(VLOOKUP($C133,'S3 - Screening Tool Metrics'!$C$3:$G$17,5,FALSE)/100)*X133)</f>
        <v>157.41982782110892</v>
      </c>
      <c r="AB133" s="709">
        <f t="shared" si="104"/>
        <v>43.606600504462307</v>
      </c>
      <c r="AC133" s="706">
        <f t="shared" si="105"/>
        <v>390860.6333333333</v>
      </c>
      <c r="AD133" s="706">
        <f>VLOOKUP("*"&amp;$B133&amp;"*",'S4 - Summ PRS Characteristics'!$C$13:$Q$20,14,FALSE)*$J133</f>
        <v>144.85928612280932</v>
      </c>
      <c r="AE133" s="706">
        <f t="shared" si="115"/>
        <v>216.14071387719068</v>
      </c>
      <c r="AF133" s="706">
        <f>IF($C133="other",(1-$C120)*AD133,(1-(VLOOKUP($C133,'S3 - Screening Tool Metrics'!$C$3:$G$17,5,FALSE)/100))*AD133)</f>
        <v>28.971857224561859</v>
      </c>
      <c r="AG133" s="706">
        <f>IF($C133="other",$C120*AD133,(VLOOKUP($C133,'S3 - Screening Tool Metrics'!$C$3:$G$17,5,FALSE)/100)*AD133)</f>
        <v>115.88742889824746</v>
      </c>
      <c r="AH133" s="708">
        <f t="shared" si="106"/>
        <v>32.101780858240289</v>
      </c>
      <c r="AI133" s="707">
        <f t="shared" si="107"/>
        <v>78172.126666666663</v>
      </c>
      <c r="AJ133" s="706">
        <f>VLOOKUP("*"&amp;$B133&amp;"*",'S4 - Summ PRS Characteristics'!$C$13:$Q$20,15,FALSE)*$J133</f>
        <v>63.458263340501816</v>
      </c>
      <c r="AK133" s="706">
        <f t="shared" si="114"/>
        <v>297.54173665949816</v>
      </c>
      <c r="AL133" s="706">
        <f>IF($C133="other",(1-$C120)*AJ133,(1-(VLOOKUP($C133,'S3 - Screening Tool Metrics'!$C$3:$G$17,5,FALSE)/100))*AJ133)</f>
        <v>12.69165266810036</v>
      </c>
      <c r="AM133" s="706">
        <f>IF($C133="other",$C120*AJ133,(VLOOKUP($C133,'S3 - Screening Tool Metrics'!$C$3:$G$17,5,FALSE)/100)*AJ133)</f>
        <v>50.766610672401455</v>
      </c>
      <c r="AN133" s="709">
        <f t="shared" si="108"/>
        <v>14.062773039446386</v>
      </c>
    </row>
    <row r="134" spans="2:40" x14ac:dyDescent="0.15">
      <c r="B134" s="700" t="s">
        <v>17</v>
      </c>
      <c r="C134" s="721" t="str">
        <f t="shared" si="116"/>
        <v>other</v>
      </c>
      <c r="D134" s="552" t="s">
        <v>292</v>
      </c>
      <c r="E134" s="710">
        <f>VLOOKUP($B134&amp;"_"&amp;$D134,'App5 - CRUK Inci Rates'!C:H,6,FALSE)</f>
        <v>2.5964614152648537</v>
      </c>
      <c r="F134" s="711">
        <f>VLOOKUP($B134&amp;"_"&amp;$D134,'App5 - CRUK Inci Rates'!C:H,3,FALSE)</f>
        <v>0</v>
      </c>
      <c r="G134" s="712">
        <f>VLOOKUP($B134&amp;"_"&amp;$D134,'App5 - CRUK Inci Rates'!C:J,8,FALSE)</f>
        <v>4929786.333333333</v>
      </c>
      <c r="H134" s="713">
        <f>VLOOKUP($B134&amp;"_"&amp;$D134,'App5 - CRUK Inci Rates'!C:J,7,FALSE)</f>
        <v>4929786.333333333</v>
      </c>
      <c r="I134" s="713">
        <f>VLOOKUP($B134&amp;"_"&amp;$D134,'App5 - CRUK Inci Rates'!C:J,4,FALSE)</f>
        <v>0</v>
      </c>
      <c r="J134" s="709">
        <f>VLOOKUP($B134&amp;"_"&amp;$D134,'App5 - CRUK Inci Rates'!C:K,9,FALSE)</f>
        <v>128</v>
      </c>
      <c r="K134" s="706">
        <f t="shared" si="109"/>
        <v>2464893.1666666665</v>
      </c>
      <c r="L134" s="706">
        <f>VLOOKUP("*"&amp;$B134&amp;"*",'S4 - Summ PRS Characteristics'!$C$13:$Q$20,11,FALSE)*$J134</f>
        <v>117.56309198404293</v>
      </c>
      <c r="M134" s="706">
        <f t="shared" si="110"/>
        <v>10.436908015957073</v>
      </c>
      <c r="N134" s="706">
        <f>IF($C134="other",(1-$C$7)*L134,(1-(VLOOKUP($C134,'S3 - Screening Tool Metrics'!$C$3:$G$17,5,FALSE)/100))*L134)</f>
        <v>23.51261839680858</v>
      </c>
      <c r="O134" s="706">
        <f>IF($C134="other",$C$7*L134,(VLOOKUP($C134,'S3 - Screening Tool Metrics'!$C$3:$G$17,5,FALSE)/100)*L134)</f>
        <v>94.05047358723435</v>
      </c>
      <c r="P134" s="706">
        <f t="shared" si="111"/>
        <v>73.47693249002684</v>
      </c>
      <c r="Q134" s="707">
        <f t="shared" si="101"/>
        <v>985957.2666666666</v>
      </c>
      <c r="R134" s="706">
        <f>VLOOKUP("*"&amp;$B134&amp;"*",'S4 - Summ PRS Characteristics'!$C$13:$Q$20,12,FALSE)*$J134</f>
        <v>90.870898840956869</v>
      </c>
      <c r="S134" s="706">
        <f t="shared" si="112"/>
        <v>37.129101159043131</v>
      </c>
      <c r="T134" s="706">
        <f>IF($C134="other",(1-$C120)*R134,(1-(VLOOKUP($C134,'S3 - Screening Tool Metrics'!$C$3:$G$17,5,FALSE)/100))*R134)</f>
        <v>18.174179768191369</v>
      </c>
      <c r="U134" s="706">
        <f>IF($C134="other",$C120*R134,(VLOOKUP($C134,'S3 - Screening Tool Metrics'!$C$3:$G$17,5,FALSE)/100)*R134)</f>
        <v>72.696719072765504</v>
      </c>
      <c r="V134" s="706">
        <f t="shared" si="102"/>
        <v>56.794311775598047</v>
      </c>
      <c r="W134" s="707">
        <f t="shared" si="103"/>
        <v>492978.6333333333</v>
      </c>
      <c r="X134" s="706">
        <f>VLOOKUP("*"&amp;$B134&amp;"*",'S4 - Summ PRS Characteristics'!$C$13:$Q$20,13,FALSE)*$J134</f>
        <v>69.770560807139688</v>
      </c>
      <c r="Y134" s="706">
        <f t="shared" si="113"/>
        <v>58.229439192860312</v>
      </c>
      <c r="Z134" s="706">
        <f>IF($C134="other",(1-$C120)*X134,(1-(VLOOKUP($C134,'S3 - Screening Tool Metrics'!$C$3:$G$17,5,FALSE)/100))*X134)</f>
        <v>13.954112161427934</v>
      </c>
      <c r="AA134" s="706">
        <f>IF($C134="other",$C120*X134,(VLOOKUP($C134,'S3 - Screening Tool Metrics'!$C$3:$G$17,5,FALSE)/100)*X134)</f>
        <v>55.816448645711752</v>
      </c>
      <c r="AB134" s="709">
        <f t="shared" si="104"/>
        <v>43.606600504462307</v>
      </c>
      <c r="AC134" s="706">
        <f t="shared" si="105"/>
        <v>246489.31666666665</v>
      </c>
      <c r="AD134" s="706">
        <f>VLOOKUP("*"&amp;$B134&amp;"*",'S4 - Summ PRS Characteristics'!$C$13:$Q$20,14,FALSE)*$J134</f>
        <v>51.362849373184467</v>
      </c>
      <c r="AE134" s="706">
        <f t="shared" si="115"/>
        <v>76.637150626815526</v>
      </c>
      <c r="AF134" s="706">
        <f>IF($C134="other",(1-$C120)*AD134,(1-(VLOOKUP($C134,'S3 - Screening Tool Metrics'!$C$3:$G$17,5,FALSE)/100))*AD134)</f>
        <v>10.272569874636892</v>
      </c>
      <c r="AG134" s="706">
        <f>IF($C134="other",$C120*AD134,(VLOOKUP($C134,'S3 - Screening Tool Metrics'!$C$3:$G$17,5,FALSE)/100)*AD134)</f>
        <v>41.090279498547574</v>
      </c>
      <c r="AH134" s="708">
        <f t="shared" si="106"/>
        <v>32.101780858240289</v>
      </c>
      <c r="AI134" s="707">
        <f t="shared" si="107"/>
        <v>49297.863333333335</v>
      </c>
      <c r="AJ134" s="706">
        <f>VLOOKUP("*"&amp;$B134&amp;"*",'S4 - Summ PRS Characteristics'!$C$13:$Q$20,15,FALSE)*$J134</f>
        <v>22.500436863114217</v>
      </c>
      <c r="AK134" s="706">
        <f t="shared" si="114"/>
        <v>105.49956313688578</v>
      </c>
      <c r="AL134" s="706">
        <f>IF($C134="other",(1-$C120)*AJ134,(1-(VLOOKUP($C134,'S3 - Screening Tool Metrics'!$C$3:$G$17,5,FALSE)/100))*AJ134)</f>
        <v>4.5000873726228425</v>
      </c>
      <c r="AM134" s="706">
        <f>IF($C134="other",$C120*AJ134,(VLOOKUP($C134,'S3 - Screening Tool Metrics'!$C$3:$G$17,5,FALSE)/100)*AJ134)</f>
        <v>18.000349490491374</v>
      </c>
      <c r="AN134" s="709">
        <f t="shared" si="108"/>
        <v>14.062773039446386</v>
      </c>
    </row>
    <row r="135" spans="2:40" x14ac:dyDescent="0.15">
      <c r="B135" s="700" t="s">
        <v>17</v>
      </c>
      <c r="C135" s="721" t="str">
        <f>$C121</f>
        <v>other</v>
      </c>
      <c r="D135" s="552" t="s">
        <v>204</v>
      </c>
      <c r="E135" s="710">
        <f>VLOOKUP($B135&amp;"_"&amp;$D135,'App5 - CRUK Inci Rates'!C:H,6,FALSE)</f>
        <v>5.966108794682853</v>
      </c>
      <c r="F135" s="711">
        <f>VLOOKUP($B135&amp;"_"&amp;$D135,'App5 - CRUK Inci Rates'!C:H,3,FALSE)</f>
        <v>0</v>
      </c>
      <c r="G135" s="712">
        <f>VLOOKUP($B135&amp;"_"&amp;$D135,'App5 - CRUK Inci Rates'!C:J,8,FALSE)</f>
        <v>14565607.666666668</v>
      </c>
      <c r="H135" s="713">
        <f>VLOOKUP($B135&amp;"_"&amp;$D135,'App5 - CRUK Inci Rates'!C:J,7,FALSE)</f>
        <v>14565607.666666668</v>
      </c>
      <c r="I135" s="713">
        <f>VLOOKUP($B135&amp;"_"&amp;$D135,'App5 - CRUK Inci Rates'!C:J,4,FALSE)</f>
        <v>0</v>
      </c>
      <c r="J135" s="709">
        <f>VLOOKUP($B135&amp;"_"&amp;$D135,'App5 - CRUK Inci Rates'!C:K,9,FALSE)</f>
        <v>869</v>
      </c>
      <c r="K135" s="706">
        <f t="shared" si="109"/>
        <v>7282803.833333334</v>
      </c>
      <c r="L135" s="706">
        <f>VLOOKUP("*"&amp;$B135&amp;"*",'S4 - Summ PRS Characteristics'!$C$13:$Q$20,11,FALSE)*$J135</f>
        <v>798.14317917291646</v>
      </c>
      <c r="M135" s="706">
        <f t="shared" si="110"/>
        <v>70.856820827083538</v>
      </c>
      <c r="N135" s="706">
        <f>IF($C135="other",(1-$C$7)*L135,(1-(VLOOKUP($C135,'S3 - Screening Tool Metrics'!$C$3:$G$17,5,FALSE)/100))*L135)</f>
        <v>159.62863583458326</v>
      </c>
      <c r="O135" s="706">
        <f>IF($C135="other",$C$7*L135,(VLOOKUP($C135,'S3 - Screening Tool Metrics'!$C$3:$G$17,5,FALSE)/100)*L135)</f>
        <v>638.51454333833317</v>
      </c>
      <c r="P135" s="706">
        <f t="shared" si="111"/>
        <v>73.47693249002684</v>
      </c>
      <c r="Q135" s="707">
        <f t="shared" si="101"/>
        <v>2913121.5333333337</v>
      </c>
      <c r="R135" s="706">
        <f>VLOOKUP("*"&amp;$B135&amp;"*",'S4 - Summ PRS Characteristics'!$C$13:$Q$20,12,FALSE)*$J135</f>
        <v>616.9282116624338</v>
      </c>
      <c r="S135" s="706">
        <f t="shared" si="112"/>
        <v>252.0717883375662</v>
      </c>
      <c r="T135" s="706">
        <f>IF($C135="other",(1-$C120)*R135,(1-(VLOOKUP($C135,'S3 - Screening Tool Metrics'!$C$3:$G$17,5,FALSE)/100))*R135)</f>
        <v>123.38564233248673</v>
      </c>
      <c r="U135" s="706">
        <f>IF($C135="other",$C120*R135,(VLOOKUP($C135,'S3 - Screening Tool Metrics'!$C$3:$G$17,5,FALSE)/100)*R135)</f>
        <v>493.54256932994707</v>
      </c>
      <c r="V135" s="706">
        <f t="shared" si="102"/>
        <v>56.794311775598047</v>
      </c>
      <c r="W135" s="707">
        <f t="shared" si="103"/>
        <v>1456560.7666666668</v>
      </c>
      <c r="X135" s="706">
        <f>VLOOKUP("*"&amp;$B135&amp;"*",'S4 - Summ PRS Characteristics'!$C$13:$Q$20,13,FALSE)*$J135</f>
        <v>473.67669797972178</v>
      </c>
      <c r="Y135" s="706">
        <f t="shared" si="113"/>
        <v>395.32330202027822</v>
      </c>
      <c r="Z135" s="706">
        <f>IF($C135="other",(1-$C120)*X135,(1-(VLOOKUP($C135,'S3 - Screening Tool Metrics'!$C$3:$G$17,5,FALSE)/100))*X135)</f>
        <v>94.735339595944339</v>
      </c>
      <c r="AA135" s="706">
        <f>IF($C135="other",$C120*X135,(VLOOKUP($C135,'S3 - Screening Tool Metrics'!$C$3:$G$17,5,FALSE)/100)*X135)</f>
        <v>378.94135838377747</v>
      </c>
      <c r="AB135" s="709">
        <f t="shared" si="104"/>
        <v>43.606600504462314</v>
      </c>
      <c r="AC135" s="706">
        <f t="shared" si="105"/>
        <v>728280.38333333342</v>
      </c>
      <c r="AD135" s="706">
        <f>VLOOKUP("*"&amp;$B135&amp;"*",'S4 - Summ PRS Characteristics'!$C$13:$Q$20,14,FALSE)*$J135</f>
        <v>348.70559457263516</v>
      </c>
      <c r="AE135" s="706">
        <f t="shared" si="115"/>
        <v>520.29440542736484</v>
      </c>
      <c r="AF135" s="706">
        <f>IF($C135="other",(1-$C120)*AD135,(1-(VLOOKUP($C135,'S3 - Screening Tool Metrics'!$C$3:$G$17,5,FALSE)/100))*AD135)</f>
        <v>69.741118914527021</v>
      </c>
      <c r="AG135" s="706">
        <f>IF($C135="other",$C120*AD135,(VLOOKUP($C135,'S3 - Screening Tool Metrics'!$C$3:$G$17,5,FALSE)/100)*AD135)</f>
        <v>278.96447565810814</v>
      </c>
      <c r="AH135" s="708">
        <f t="shared" si="106"/>
        <v>32.101780858240289</v>
      </c>
      <c r="AI135" s="707">
        <f t="shared" si="107"/>
        <v>145656.07666666669</v>
      </c>
      <c r="AJ135" s="706">
        <f>VLOOKUP("*"&amp;$B135&amp;"*",'S4 - Summ PRS Characteristics'!$C$13:$Q$20,15,FALSE)*$J135</f>
        <v>152.75687214098636</v>
      </c>
      <c r="AK135" s="706">
        <f t="shared" si="114"/>
        <v>716.24312785901361</v>
      </c>
      <c r="AL135" s="706">
        <f>IF($C135="other",(1-$C120)*AJ135,(1-(VLOOKUP($C135,'S3 - Screening Tool Metrics'!$C$3:$G$17,5,FALSE)/100))*AJ135)</f>
        <v>30.551374428197263</v>
      </c>
      <c r="AM135" s="706">
        <f>IF($C135="other",$C120*AJ135,(VLOOKUP($C135,'S3 - Screening Tool Metrics'!$C$3:$G$17,5,FALSE)/100)*AJ135)</f>
        <v>122.2054977127891</v>
      </c>
      <c r="AN135" s="709">
        <f t="shared" si="108"/>
        <v>14.062773039446386</v>
      </c>
    </row>
    <row r="136" spans="2:40" ht="14" thickBot="1" x14ac:dyDescent="0.2">
      <c r="B136" s="731" t="s">
        <v>17</v>
      </c>
      <c r="C136" s="744"/>
      <c r="D136" s="613" t="s">
        <v>205</v>
      </c>
      <c r="E136" s="722">
        <f>VLOOKUP($B136&amp;"_"&amp;$D136,'App5 - CRUK Inci Rates'!C:H,6,FALSE)</f>
        <v>7.2</v>
      </c>
      <c r="F136" s="723">
        <f>VLOOKUP($B136&amp;"_"&amp;$D136,'App5 - CRUK Inci Rates'!C:H,3,FALSE)</f>
        <v>0</v>
      </c>
      <c r="G136" s="724">
        <f>VLOOKUP($B136&amp;"_"&amp;$D136,'App5 - CRUK Inci Rates'!C:J,8,FALSE)</f>
        <v>32583225.666666668</v>
      </c>
      <c r="H136" s="725">
        <f>VLOOKUP($B136&amp;"_"&amp;$D136,'App5 - CRUK Inci Rates'!C:J,7,FALSE)</f>
        <v>32583225.666666668</v>
      </c>
      <c r="I136" s="725">
        <f>VLOOKUP($B136&amp;"_"&amp;$D136,'App5 - CRUK Inci Rates'!C:J,4,FALSE)</f>
        <v>0</v>
      </c>
      <c r="J136" s="732">
        <f>VLOOKUP($B136&amp;"_"&amp;$D136,'App5 - CRUK Inci Rates'!C:K,9,FALSE)</f>
        <v>2354</v>
      </c>
      <c r="K136" s="735"/>
      <c r="L136" s="735"/>
      <c r="M136" s="735"/>
      <c r="N136" s="735"/>
      <c r="O136" s="735"/>
      <c r="P136" s="735"/>
      <c r="Q136" s="734"/>
      <c r="R136" s="735"/>
      <c r="S136" s="735"/>
      <c r="T136" s="735"/>
      <c r="U136" s="735"/>
      <c r="V136" s="735"/>
      <c r="W136" s="734"/>
      <c r="X136" s="735"/>
      <c r="Y136" s="735"/>
      <c r="Z136" s="735"/>
      <c r="AA136" s="735"/>
      <c r="AB136" s="736"/>
      <c r="AC136" s="735"/>
      <c r="AD136" s="735"/>
      <c r="AE136" s="735"/>
      <c r="AF136" s="735"/>
      <c r="AG136" s="735"/>
      <c r="AH136" s="745"/>
      <c r="AI136" s="734"/>
      <c r="AJ136" s="735"/>
      <c r="AK136" s="735"/>
      <c r="AL136" s="735"/>
      <c r="AM136" s="735"/>
      <c r="AN136" s="736"/>
    </row>
    <row r="138" spans="2:40" ht="16" x14ac:dyDescent="0.2">
      <c r="B138" s="750" t="s">
        <v>384</v>
      </c>
    </row>
  </sheetData>
  <mergeCells count="56">
    <mergeCell ref="AC4:AH4"/>
    <mergeCell ref="AI5:AI6"/>
    <mergeCell ref="AJ5:AJ6"/>
    <mergeCell ref="AI2:AN2"/>
    <mergeCell ref="AI3:AN3"/>
    <mergeCell ref="AI4:AN4"/>
    <mergeCell ref="AF5:AF6"/>
    <mergeCell ref="AM5:AM6"/>
    <mergeCell ref="AN5:AN6"/>
    <mergeCell ref="AG5:AG6"/>
    <mergeCell ref="AH5:AH6"/>
    <mergeCell ref="AK5:AK6"/>
    <mergeCell ref="AL5:AL6"/>
    <mergeCell ref="AC5:AC6"/>
    <mergeCell ref="AD5:AD6"/>
    <mergeCell ref="AE5:AE6"/>
    <mergeCell ref="Q4:V4"/>
    <mergeCell ref="W4:AB4"/>
    <mergeCell ref="Q5:Q6"/>
    <mergeCell ref="R5:R6"/>
    <mergeCell ref="S5:S6"/>
    <mergeCell ref="T5:T6"/>
    <mergeCell ref="U5:U6"/>
    <mergeCell ref="V5:V6"/>
    <mergeCell ref="W5:W6"/>
    <mergeCell ref="X5:X6"/>
    <mergeCell ref="Y5:Y6"/>
    <mergeCell ref="Z5:Z6"/>
    <mergeCell ref="AA5:AA6"/>
    <mergeCell ref="AB5:AB6"/>
    <mergeCell ref="B2:B6"/>
    <mergeCell ref="C2:C6"/>
    <mergeCell ref="D2:D6"/>
    <mergeCell ref="E2:F4"/>
    <mergeCell ref="G2:J4"/>
    <mergeCell ref="E5:E6"/>
    <mergeCell ref="F5:F6"/>
    <mergeCell ref="G5:G6"/>
    <mergeCell ref="H5:H6"/>
    <mergeCell ref="I5:I6"/>
    <mergeCell ref="J5:J6"/>
    <mergeCell ref="Q2:V2"/>
    <mergeCell ref="Q3:V3"/>
    <mergeCell ref="W2:AB2"/>
    <mergeCell ref="W3:AB3"/>
    <mergeCell ref="AC2:AH2"/>
    <mergeCell ref="AC3:AH3"/>
    <mergeCell ref="K2:P2"/>
    <mergeCell ref="K3:P3"/>
    <mergeCell ref="K4:P4"/>
    <mergeCell ref="K5:K6"/>
    <mergeCell ref="L5:L6"/>
    <mergeCell ref="M5:M6"/>
    <mergeCell ref="N5:N6"/>
    <mergeCell ref="O5:O6"/>
    <mergeCell ref="P5:P6"/>
  </mergeCells>
  <phoneticPr fontId="24" type="noConversion"/>
  <dataValidations count="16">
    <dataValidation type="list" allowBlank="1" showInputMessage="1" showErrorMessage="1" sqref="C8" xr:uid="{98380F27-EC44-46AF-9558-FC6CEEAE8C85}">
      <formula1>Breast_sensitivity</formula1>
    </dataValidation>
    <dataValidation allowBlank="1" showInputMessage="1" showErrorMessage="1" promptTitle="Breast screening sensitivity" prompt="Select 'other' below and input screening sensitivity here. _x000a_" sqref="C7" xr:uid="{BC2BC3FB-0BD7-4D50-872D-7DD1FB4AECCA}"/>
    <dataValidation type="list" allowBlank="1" showInputMessage="1" showErrorMessage="1" sqref="C24" xr:uid="{EB20135E-A581-46ED-A3F6-AD336080E5C3}">
      <formula1>Prostate_sensitivity</formula1>
    </dataValidation>
    <dataValidation type="list" allowBlank="1" showInputMessage="1" showErrorMessage="1" sqref="C41" xr:uid="{48347E0A-8D2F-4190-A6D4-E06466AE6CED}">
      <formula1>Colorectal_Sensitivity</formula1>
    </dataValidation>
    <dataValidation type="list" allowBlank="1" showInputMessage="1" showErrorMessage="1" sqref="C57" xr:uid="{E83A3253-5768-42D2-AE65-7C4026DA88C3}">
      <formula1>Pancreas_Sensitivity</formula1>
    </dataValidation>
    <dataValidation type="list" allowBlank="1" showInputMessage="1" showErrorMessage="1" sqref="C73" xr:uid="{935C6DED-86E2-4715-BFBB-3BF034B8E645}">
      <formula1>Ovary_sensitivity</formula1>
    </dataValidation>
    <dataValidation type="list" allowBlank="1" showInputMessage="1" showErrorMessage="1" sqref="C89" xr:uid="{4B829B57-0A6E-4BDA-8C8E-C13EA29D937D}">
      <formula1>Kidney_sensitivity</formula1>
    </dataValidation>
    <dataValidation type="list" allowBlank="1" showInputMessage="1" showErrorMessage="1" sqref="C105" xr:uid="{6437140F-B2BE-4EDE-9A58-A22E338398CD}">
      <formula1>Lung_sensitivity</formula1>
    </dataValidation>
    <dataValidation type="list" allowBlank="1" showInputMessage="1" showErrorMessage="1" sqref="C121" xr:uid="{3F2EAAD3-C2C6-4A2D-8B95-AB9841E4FD05}">
      <formula1>Testis_sensitivity</formula1>
    </dataValidation>
    <dataValidation allowBlank="1" showInputMessage="1" showErrorMessage="1" promptTitle="Prostate screening sensitivity" prompt="Select 'other' below and input screening sensitivity here. _x000a_" sqref="C23" xr:uid="{CCD5CCD2-4398-4CB1-8A2D-043088BE45F7}"/>
    <dataValidation allowBlank="1" showInputMessage="1" showErrorMessage="1" promptTitle="Colorectal screening sensitivity" prompt="Select 'other' below and input screening sensitivity here. _x000a_" sqref="C40" xr:uid="{DE5F597B-FAA4-452B-9B8A-493419317C69}"/>
    <dataValidation allowBlank="1" showInputMessage="1" showErrorMessage="1" promptTitle="Pancreas screening sensitivity" prompt="Select 'other' below and input screening sensitivity here. _x000a_" sqref="C56" xr:uid="{BC4111C9-7DDC-41FD-AF11-62868CD6C5C5}"/>
    <dataValidation allowBlank="1" showInputMessage="1" showErrorMessage="1" promptTitle="Ovary screening sensitivity" prompt="Select 'other' below and input screening sensitivity here. _x000a_" sqref="C72" xr:uid="{2774D045-7418-4E1C-8DE8-3176B2DF2828}"/>
    <dataValidation allowBlank="1" showInputMessage="1" showErrorMessage="1" promptTitle="Kidney screening sensitivity" prompt="Select 'other' below and input screening sensitivity here. _x000a_" sqref="C88" xr:uid="{8770E8F2-469F-47B7-A384-BF0AF8F1EB2A}"/>
    <dataValidation allowBlank="1" showInputMessage="1" showErrorMessage="1" promptTitle="Lung screening sensitivity" prompt="Select 'other' below and input screening sensitivity here. _x000a_" sqref="C104" xr:uid="{8A0847F3-32A1-4E44-A58E-21ECDBD264C1}"/>
    <dataValidation allowBlank="1" showInputMessage="1" showErrorMessage="1" promptTitle="Testis screening sensitivity" prompt="Select 'other' below and input screening sensitivity here. _x000a_" sqref="C120" xr:uid="{614565FA-D517-49DF-884F-34D08E7D3C92}"/>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657E092DB5D141BD4A6AFB9F661ED0" ma:contentTypeVersion="13" ma:contentTypeDescription="Create a new document." ma:contentTypeScope="" ma:versionID="dff7d874647ff1739db26a12d6fbdf96">
  <xsd:schema xmlns:xsd="http://www.w3.org/2001/XMLSchema" xmlns:xs="http://www.w3.org/2001/XMLSchema" xmlns:p="http://schemas.microsoft.com/office/2006/metadata/properties" xmlns:ns2="53fe7c3f-b21f-4a25-a13e-cc28e46afb3f" xmlns:ns3="13b5651f-c8a0-4049-80b6-cef4aa785035" targetNamespace="http://schemas.microsoft.com/office/2006/metadata/properties" ma:root="true" ma:fieldsID="98d2e3cbf50726e69b18be108aa2b1a1" ns2:_="" ns3:_="">
    <xsd:import namespace="53fe7c3f-b21f-4a25-a13e-cc28e46afb3f"/>
    <xsd:import namespace="13b5651f-c8a0-4049-80b6-cef4aa78503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DateTaken" minOccurs="0"/>
                <xsd:element ref="ns2:MediaServiceOCR" minOccurs="0"/>
                <xsd:element ref="ns2:MediaServiceEventHashCode" minOccurs="0"/>
                <xsd:element ref="ns2:MediaLengthInSecond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fe7c3f-b21f-4a25-a13e-cc28e46afb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d4fd8df-27a2-471a-8ee0-838121336595"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b5651f-c8a0-4049-80b6-cef4aa78503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6c9a108-0d9b-4b30-abb4-74dc3dab6ee1}" ma:internalName="TaxCatchAll" ma:showField="CatchAllData" ma:web="13b5651f-c8a0-4049-80b6-cef4aa78503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3fe7c3f-b21f-4a25-a13e-cc28e46afb3f">
      <Terms xmlns="http://schemas.microsoft.com/office/infopath/2007/PartnerControls"/>
    </lcf76f155ced4ddcb4097134ff3c332f>
    <TaxCatchAll xmlns="13b5651f-c8a0-4049-80b6-cef4aa78503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9D80E1-571B-42FE-9EFB-D6251CAA0C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fe7c3f-b21f-4a25-a13e-cc28e46afb3f"/>
    <ds:schemaRef ds:uri="13b5651f-c8a0-4049-80b6-cef4aa7850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BD593E-7475-405F-864B-A619BAD438C3}">
  <ds:schemaRefs>
    <ds:schemaRef ds:uri="http://purl.org/dc/elements/1.1/"/>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dcmitype/"/>
    <ds:schemaRef ds:uri="13b5651f-c8a0-4049-80b6-cef4aa785035"/>
    <ds:schemaRef ds:uri="53fe7c3f-b21f-4a25-a13e-cc28e46afb3f"/>
    <ds:schemaRef ds:uri="http://schemas.openxmlformats.org/package/2006/metadata/core-properties"/>
  </ds:schemaRefs>
</ds:datastoreItem>
</file>

<file path=customXml/itemProps3.xml><?xml version="1.0" encoding="utf-8"?>
<ds:datastoreItem xmlns:ds="http://schemas.openxmlformats.org/officeDocument/2006/customXml" ds:itemID="{A955AA7B-11A6-4964-A67B-C29138B53C9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SupTables Overview</vt:lpstr>
      <vt:lpstr>S3 - Screening Tool Metrics</vt:lpstr>
      <vt:lpstr>S4 - Summ PRS Characteristics</vt:lpstr>
      <vt:lpstr>S5 - Lifetime Risks</vt:lpstr>
      <vt:lpstr>S6a - Cancers Detected</vt:lpstr>
      <vt:lpstr>S6b - Cancers Detected</vt:lpstr>
      <vt:lpstr>S6c - Cancers Detected</vt:lpstr>
      <vt:lpstr>S7a - Cancers Detected</vt:lpstr>
      <vt:lpstr>S7b - Cancers Detected</vt:lpstr>
      <vt:lpstr>S7c - Cancers Detected</vt:lpstr>
      <vt:lpstr>S8 - Survival</vt:lpstr>
      <vt:lpstr>S9 - Multimodal PRS-tools</vt:lpstr>
      <vt:lpstr>App1 - PRS % Ca Calculator</vt:lpstr>
      <vt:lpstr>App2 - ORs Top vs. Bottom</vt:lpstr>
      <vt:lpstr>App3 - Inci Mort Data</vt:lpstr>
      <vt:lpstr>App4 - Life Risk Calculator</vt:lpstr>
      <vt:lpstr>App5 - CRUK Inci Rates</vt:lpstr>
      <vt:lpstr>App6 - Stage-Route-Surv Data</vt:lpstr>
      <vt:lpstr>App7 - PopSize_Calcs</vt:lpstr>
      <vt:lpstr>App8a - 2YR_Breast_48_49</vt:lpstr>
      <vt:lpstr>App8b - 2YR_Prostate_58_59</vt:lpstr>
      <vt:lpstr>App8c - 2YR_Prostate_68_69</vt:lpstr>
      <vt:lpstr>App8d - 2YR_CRC_58_59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Catherine Huntley</cp:lastModifiedBy>
  <cp:revision/>
  <dcterms:created xsi:type="dcterms:W3CDTF">2022-03-31T15:01:05Z</dcterms:created>
  <dcterms:modified xsi:type="dcterms:W3CDTF">2023-03-28T13:17:19Z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0x010100FC657E092DB5D141BD4A6AFB9F661ED0</vt:lpwstr>
  </property>
  <property fmtid="{D5CDD505-2E9C-101B-9397-08002B2CF9AE}" pid="3" name="MediaServiceImageTags">
    <vt:lpwstr/>
  </property>
</Properties>
</file>