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Projects\Melty\"/>
    </mc:Choice>
  </mc:AlternateContent>
  <xr:revisionPtr revIDLastSave="0" documentId="13_ncr:1_{864E5203-1649-402E-B249-2B087CA627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eo PCB" sheetId="1" r:id="rId1"/>
    <sheet name="Mechanical" sheetId="2" r:id="rId2"/>
    <sheet name="Calculator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3" i="2" l="1"/>
  <c r="E17" i="3"/>
  <c r="F17" i="3" s="1"/>
  <c r="F18" i="3" s="1"/>
  <c r="E15" i="3"/>
  <c r="F15" i="3" s="1"/>
  <c r="D4" i="2"/>
  <c r="G9" i="2"/>
  <c r="D2" i="2" l="1"/>
  <c r="H5" i="3"/>
  <c r="D9" i="3"/>
  <c r="C9" i="3"/>
  <c r="E9" i="3" s="1"/>
  <c r="E4" i="3"/>
  <c r="D11" i="2"/>
  <c r="D28" i="1"/>
  <c r="C28" i="1"/>
  <c r="F18" i="2" s="1"/>
  <c r="J4" i="2" l="1"/>
  <c r="D12" i="2" s="1"/>
  <c r="J6" i="2"/>
  <c r="J5" i="2"/>
  <c r="F4" i="3" s="1"/>
  <c r="J3" i="2"/>
  <c r="D5" i="2" l="1"/>
  <c r="F9" i="3"/>
  <c r="F11" i="3" s="1"/>
  <c r="C9" i="2" s="1"/>
  <c r="D9" i="2" s="1"/>
  <c r="D23" i="2" s="1"/>
  <c r="D24" i="2" l="1"/>
</calcChain>
</file>

<file path=xl/sharedStrings.xml><?xml version="1.0" encoding="utf-8"?>
<sst xmlns="http://schemas.openxmlformats.org/spreadsheetml/2006/main" count="189" uniqueCount="169">
  <si>
    <t>Ref</t>
  </si>
  <si>
    <t>Man #</t>
  </si>
  <si>
    <t>Qnty</t>
  </si>
  <si>
    <t>Unit Price</t>
  </si>
  <si>
    <t>Description</t>
  </si>
  <si>
    <t>Footprint</t>
  </si>
  <si>
    <t>Digikey Link</t>
  </si>
  <si>
    <t>Datasheet</t>
  </si>
  <si>
    <t xml:space="preserve">AC1, </t>
  </si>
  <si>
    <t>H3LIS331DLTR</t>
  </si>
  <si>
    <t>Accelerometers Low Pwr Hi G 3-axis Digital Acceleromtr</t>
  </si>
  <si>
    <t>-</t>
  </si>
  <si>
    <t>https://www.digikey.co.uk/en/products/detail/H3LIS331DLTR/497-13903-1-ND/4311636</t>
  </si>
  <si>
    <t>https://www.st.com/content/ccc/resource/technical/document/datasheet/3e/48/02/c7/a4/e6/41/bb/DM00053090.pdf/files/DM00053090.pdf/jcr:content/translations/en.DM00053090.pdf</t>
  </si>
  <si>
    <t xml:space="preserve">C1, C16, C19, C20, C21, C22, C23, </t>
  </si>
  <si>
    <t>CL21B105KAFNNNE</t>
  </si>
  <si>
    <t>CAP CER 1UF 25V X7R 0805</t>
  </si>
  <si>
    <t>https://www.digikey.co.uk/en/products/detail/samsung-electro-mechanics/CL21B105KAFNNNE/3886724</t>
  </si>
  <si>
    <t>https://media.digikey.com/pdf/Data%20Sheets/Samsung%20PDFs/CL21B105KAFNNNE_Spec.pdf</t>
  </si>
  <si>
    <t xml:space="preserve">C2, C4, </t>
  </si>
  <si>
    <t>TCC0402COG200J500AT</t>
  </si>
  <si>
    <t>50V 20pF C0G Â±5% 0402  Multilayer Ceramic Capacitors MLCC - SMD/SMT ROHS</t>
  </si>
  <si>
    <t>C3, C5, C7,  C14,</t>
  </si>
  <si>
    <t>CL05A106MQ5NUNC</t>
  </si>
  <si>
    <t>6.3V 10uF X5R Â±20% 0402  Multilayer Ceramic Capacitors MLCC - SMD/SMT ROHS</t>
  </si>
  <si>
    <t xml:space="preserve">C6, C17, C18, C24, C25, C26, C27, </t>
  </si>
  <si>
    <t>CL31A106KAHNNNE</t>
  </si>
  <si>
    <t>CAP CER 10UF 25V X5R 1206</t>
  </si>
  <si>
    <t>https://www.digikey.co.uk/en/products/detail/samsung-electro-mechanics/CL31A106KAHNNNE/3886733</t>
  </si>
  <si>
    <t xml:space="preserve">C8, </t>
  </si>
  <si>
    <t>CC0402KRX7R9BB103</t>
  </si>
  <si>
    <t>10nF</t>
  </si>
  <si>
    <t xml:space="preserve">C9, </t>
  </si>
  <si>
    <t>CL10A475KA8NQNC</t>
  </si>
  <si>
    <t>25V 4.7uF X5R Â±10% 0603  Multilayer Ceramic Capacitors MLCC - SMD/SMT ROHS</t>
  </si>
  <si>
    <t xml:space="preserve">C10, C11, C12, C13, C15, </t>
  </si>
  <si>
    <t>TCC0402X5R104M250AT</t>
  </si>
  <si>
    <t>25V 100nF X5R Â±20% 0402  Multilayer Ceramic Capacitors MLCC - SMD/SMT ROHS</t>
  </si>
  <si>
    <t xml:space="preserve">D2, </t>
  </si>
  <si>
    <t>XL-1608SYGC-06</t>
  </si>
  <si>
    <t>Green LED 25mA 2800K~3160K 575nm Colorless transparence -30â„ƒ~+85â„ƒ Positive post 570nm~573nm Green/Yellow-Green 120Â° 55mW 0603  Light Emitting Diodes (LED) ROHS</t>
  </si>
  <si>
    <t xml:space="preserve">L1, </t>
  </si>
  <si>
    <t>CBC3225T102KR</t>
  </si>
  <si>
    <t>1mH</t>
  </si>
  <si>
    <t xml:space="preserve">Q1, Q2, Q5, Q6, Q7, Q8, Q9, Q10, Q11, Q12, Q13, Q14, </t>
  </si>
  <si>
    <t>G35N02K</t>
  </si>
  <si>
    <t>N-Channel 20 V 35A (Tc) 40W (Tc) Surface Mount TO-252</t>
  </si>
  <si>
    <t>TO-252-2</t>
  </si>
  <si>
    <t>https://www.digikey.co.uk/en/products/detail/goford-semiconductor/G35N02K/16584942</t>
  </si>
  <si>
    <t>http://www.gofordsemi.com/products-detail.php?ProId=637</t>
  </si>
  <si>
    <t xml:space="preserve">R1, R4, R22, R23, R24, R25, R26, R27, </t>
  </si>
  <si>
    <t>0402WGJ0823TCE</t>
  </si>
  <si>
    <t>82K</t>
  </si>
  <si>
    <t xml:space="preserve">R3, </t>
  </si>
  <si>
    <t>500R</t>
  </si>
  <si>
    <t xml:space="preserve">R5, R28, R29, R30, R31, R32, R33, </t>
  </si>
  <si>
    <t>RC-02W1402FT</t>
  </si>
  <si>
    <t>14K</t>
  </si>
  <si>
    <t xml:space="preserve">R6, R7, R10, R11, R12, R13, R14, R15, R16, R17, R18, R19, </t>
  </si>
  <si>
    <t>ERJ-PA2F20R0X</t>
  </si>
  <si>
    <t>RES 20 OHM 1% 1/4W 0402</t>
  </si>
  <si>
    <t>https://www.digikey.co.uk/en/products/detail/panasonic-electronic-components/ERJ-PA2F20R0X/9815036</t>
  </si>
  <si>
    <t xml:space="preserve">U1, </t>
  </si>
  <si>
    <t>AP7375-33SA-7</t>
  </si>
  <si>
    <t>3.3 V Linear Voltage Regulator IC Positive Fixed 1 Output 300mA SOT-23-3</t>
  </si>
  <si>
    <t>SOT-23</t>
  </si>
  <si>
    <t>https://www.digikey.co.uk/en/products/detail/diodes-incorporated/AP7375-33SA-7/16400213</t>
  </si>
  <si>
    <t>https://www.diodes.com/assets/Datasheets/AP7375.pdf</t>
  </si>
  <si>
    <t xml:space="preserve">U2, U8, </t>
  </si>
  <si>
    <t>NCR421UX</t>
  </si>
  <si>
    <t>IC LED DRVR LIN PWM 150MA 6TSOP</t>
  </si>
  <si>
    <t>TSOP-6_1.65x3.05mm_P0.95mm</t>
  </si>
  <si>
    <t>https://www.digikey.co.uk/en/products/detail/nexperia-usa-inc/NCR421UX/9998332</t>
  </si>
  <si>
    <t xml:space="preserve">U3, </t>
  </si>
  <si>
    <t>STM32F303RBTx</t>
  </si>
  <si>
    <t>ARM Cortex-M4 MCU, 128KB flash, 32KB RAM, 72MHz, 2-3.6V, 52 GPIO, LQFP-64</t>
  </si>
  <si>
    <t>LQFP-64_10x10mm_P0.5mm</t>
  </si>
  <si>
    <t xml:space="preserve">U4, U7, </t>
  </si>
  <si>
    <t>DRV8300DRGER</t>
  </si>
  <si>
    <t>100-V MAX SIMPLE 3-PHASE GATE DR</t>
  </si>
  <si>
    <t>VQFN-24-1EP_4x4mm_P0.5mm_EP2.45x2.45mm</t>
  </si>
  <si>
    <t>https://www.digikey.co.uk/en/products/detail/texas-instruments/DRV8300DRGER/13918763</t>
  </si>
  <si>
    <t>https://www.ti.com/lit/ds/symlink/drv8300.pdf?HQS=dis-dk-null-digikeymode-dsf-pf-null-wwe&amp;ts=1667935104197</t>
  </si>
  <si>
    <t xml:space="preserve">U10, </t>
  </si>
  <si>
    <t>PJ73AL50SQ</t>
  </si>
  <si>
    <t>300mA 300mV@(100mA) Fixed 5V~5V Positive 1 20V SOT-89 Linear Voltage Regulators (LDO) ROHS</t>
  </si>
  <si>
    <t>SOT-89-3</t>
  </si>
  <si>
    <t xml:space="preserve">Y1, </t>
  </si>
  <si>
    <t>2344-RH100-32.000-20-F-5050-TR-NS1CT-ND</t>
  </si>
  <si>
    <t>CRYSTAL 32.0000MHZ 20PF SMD</t>
  </si>
  <si>
    <t>Crystal_SMD_3225-4Pin_3.2x2.5mm</t>
  </si>
  <si>
    <t>D1, D2,</t>
  </si>
  <si>
    <t>B3803FCH-20C001112U1930</t>
  </si>
  <si>
    <t>LED RGB FULL COLOR 1.6X1.6</t>
  </si>
  <si>
    <t>https://www.digikey.co.uk/en/products/detail/harvatek-corporation/B3803FCH-20C001112U1930/13588742</t>
  </si>
  <si>
    <t>D3, D4,</t>
  </si>
  <si>
    <t>3mm / 5mm THT LED</t>
  </si>
  <si>
    <t>LED THT 3mm / 5mm</t>
  </si>
  <si>
    <t>Q1,</t>
  </si>
  <si>
    <t>SFH 325</t>
  </si>
  <si>
    <t>SENSOR PHOTO 980NM SIDE VIEW SMD</t>
  </si>
  <si>
    <t>https://www.digikey.co.uk/en/products/detail/osram-opto-semiconductors-inc/SFH-325-FA-3-4-Z/3880928</t>
  </si>
  <si>
    <t>RV1,</t>
  </si>
  <si>
    <t>TC42X-2-102E</t>
  </si>
  <si>
    <t>TRIMMER 1K OHM 0.1W J LEAD TOP</t>
  </si>
  <si>
    <t>https://www.digikey.co.uk/en/products/detail/bourns-inc/TC42X-2-102E/3722194</t>
  </si>
  <si>
    <t>PCB</t>
  </si>
  <si>
    <t>Total:</t>
  </si>
  <si>
    <t>0805</t>
  </si>
  <si>
    <t>0402</t>
  </si>
  <si>
    <t>0603</t>
  </si>
  <si>
    <t>Part Name</t>
  </si>
  <si>
    <t>Material</t>
  </si>
  <si>
    <t>Volume</t>
  </si>
  <si>
    <t>Weight</t>
  </si>
  <si>
    <t>Qty</t>
  </si>
  <si>
    <t>Link</t>
  </si>
  <si>
    <t>Steel</t>
  </si>
  <si>
    <t>HDPE</t>
  </si>
  <si>
    <t>c2835 880kv BLDC</t>
  </si>
  <si>
    <t>1100mah 4s LiPo</t>
  </si>
  <si>
    <t>Wheel_Inner</t>
  </si>
  <si>
    <t>Wheel_Outer</t>
  </si>
  <si>
    <t>ABS?</t>
  </si>
  <si>
    <t>Silicon</t>
  </si>
  <si>
    <t>RX</t>
  </si>
  <si>
    <t>Safety Link</t>
  </si>
  <si>
    <t>Power LED</t>
  </si>
  <si>
    <t>Oreo PCB</t>
  </si>
  <si>
    <t>Daughter PCB</t>
  </si>
  <si>
    <t>M3 10-15mm contersunk screw</t>
  </si>
  <si>
    <t>https://www.hobbyrc.co.uk/gnb-1100mah-4s-130c-lipo-battery</t>
  </si>
  <si>
    <t>https://www.rclife.co.uk/Brushless-Motors/Surpass-Hobby-C2836-880kv-Brushless-Outrunner-Motor</t>
  </si>
  <si>
    <t>Density</t>
  </si>
  <si>
    <t>AL</t>
  </si>
  <si>
    <t>ABS</t>
  </si>
  <si>
    <t xml:space="preserve">Total Weight: </t>
  </si>
  <si>
    <t xml:space="preserve">Delta: </t>
  </si>
  <si>
    <t>1kg Load Cell</t>
  </si>
  <si>
    <t>https://www.amazon.co.uk/ARCELI-Converter-Breakout-Portable-Electronic/dp/B07MY35F92/ref=sr_1_5</t>
  </si>
  <si>
    <t>https://www.mbfg.co.uk/7475-c-softener.html</t>
  </si>
  <si>
    <t>250g softner</t>
  </si>
  <si>
    <t>IR LED</t>
  </si>
  <si>
    <t>https://www.digikey.co.uk/en/products/detail/osram-opto-ams-osram/LZ1-10R702-0000/4976715</t>
  </si>
  <si>
    <t xml:space="preserve">1kg 85A Rubber </t>
  </si>
  <si>
    <t>https://www.mbfg.co.uk/pt-flex-85-rubber.html</t>
  </si>
  <si>
    <t>Min Qnty</t>
  </si>
  <si>
    <t>https://hobbyking.com/en_us/propdrive-v2-2830-800kv-brushless-outrunner-motor.html</t>
  </si>
  <si>
    <t>prop 2830 800kv</t>
  </si>
  <si>
    <t>chassis_poly_top</t>
  </si>
  <si>
    <t>chassis_poly_bottom</t>
  </si>
  <si>
    <t>polycarb</t>
  </si>
  <si>
    <t>weapon_bar</t>
  </si>
  <si>
    <t>weapon_tooth</t>
  </si>
  <si>
    <t>tool steel</t>
  </si>
  <si>
    <t>3d aim</t>
  </si>
  <si>
    <t>metal aim</t>
  </si>
  <si>
    <t>Bar</t>
  </si>
  <si>
    <t xml:space="preserve">Diameter </t>
  </si>
  <si>
    <t>Thickness</t>
  </si>
  <si>
    <t>Target</t>
  </si>
  <si>
    <t>Tooth</t>
  </si>
  <si>
    <t>Width</t>
  </si>
  <si>
    <t>Height</t>
  </si>
  <si>
    <t>Depth</t>
  </si>
  <si>
    <t>Al</t>
  </si>
  <si>
    <t>Balance</t>
  </si>
  <si>
    <t>#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</si>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</sst>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"/>
    <numFmt numFmtId="165" formatCode="0.00000"/>
    <numFmt numFmtId="166" formatCode="&quot;£&quot;#,##0.000;[Red]\-&quot;£&quot;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9A9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4">
    <xf numFmtId="0" fontId="0" fillId="0" borderId="0" xfId="0"/>
    <xf numFmtId="8" fontId="0" fillId="0" borderId="0" xfId="0" applyNumberFormat="1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0" fontId="0" fillId="0" borderId="10" xfId="0" applyBorder="1"/>
    <xf numFmtId="49" fontId="0" fillId="0" borderId="10" xfId="0" applyNumberFormat="1" applyBorder="1"/>
    <xf numFmtId="164" fontId="0" fillId="0" borderId="0" xfId="0" applyNumberFormat="1"/>
    <xf numFmtId="0" fontId="0" fillId="33" borderId="10" xfId="0" applyFill="1" applyBorder="1"/>
    <xf numFmtId="49" fontId="0" fillId="33" borderId="10" xfId="0" applyNumberFormat="1" applyFill="1" applyBorder="1"/>
    <xf numFmtId="166" fontId="0" fillId="33" borderId="0" xfId="0" applyNumberFormat="1" applyFill="1"/>
    <xf numFmtId="166" fontId="0" fillId="33" borderId="10" xfId="0" applyNumberFormat="1" applyFill="1" applyBorder="1"/>
    <xf numFmtId="164" fontId="0" fillId="0" borderId="10" xfId="0" applyNumberFormat="1" applyBorder="1"/>
    <xf numFmtId="164" fontId="0" fillId="34" borderId="0" xfId="0" applyNumberFormat="1" applyFill="1"/>
    <xf numFmtId="164" fontId="0" fillId="33" borderId="0" xfId="0" applyNumberFormat="1" applyFill="1"/>
    <xf numFmtId="164" fontId="0" fillId="33" borderId="10" xfId="0" applyNumberFormat="1" applyFill="1" applyBorder="1"/>
    <xf numFmtId="0" fontId="0" fillId="0" borderId="0" xfId="0" applyAlignment="1">
      <alignment horizontal="center"/>
    </xf>
    <xf numFmtId="0" fontId="18" fillId="0" borderId="0" xfId="42"/>
    <xf numFmtId="0" fontId="16" fillId="33" borderId="0" xfId="0" applyFont="1" applyFill="1"/>
    <xf numFmtId="0" fontId="16" fillId="33" borderId="10" xfId="0" applyFont="1" applyFill="1" applyBorder="1"/>
    <xf numFmtId="0" fontId="0" fillId="0" borderId="15" xfId="0" applyBorder="1"/>
    <xf numFmtId="165" fontId="0" fillId="0" borderId="16" xfId="0" applyNumberFormat="1" applyBorder="1"/>
    <xf numFmtId="0" fontId="0" fillId="33" borderId="0" xfId="0" applyFill="1" applyAlignment="1">
      <alignment horizontal="right"/>
    </xf>
    <xf numFmtId="0" fontId="19" fillId="0" borderId="0" xfId="0" applyFont="1"/>
    <xf numFmtId="0" fontId="0" fillId="35" borderId="0" xfId="0" applyFill="1"/>
    <xf numFmtId="164" fontId="0" fillId="35" borderId="0" xfId="0" applyNumberFormat="1" applyFill="1"/>
    <xf numFmtId="0" fontId="18" fillId="35" borderId="0" xfId="42" applyFill="1"/>
    <xf numFmtId="0" fontId="18" fillId="0" borderId="0" xfId="42" applyFill="1"/>
    <xf numFmtId="0" fontId="0" fillId="0" borderId="17" xfId="0" applyBorder="1"/>
    <xf numFmtId="0" fontId="0" fillId="0" borderId="18" xfId="0" applyBorder="1"/>
    <xf numFmtId="0" fontId="0" fillId="36" borderId="0" xfId="0" applyFill="1"/>
    <xf numFmtId="0" fontId="16" fillId="36" borderId="0" xfId="0" applyFont="1" applyFill="1"/>
    <xf numFmtId="8" fontId="0" fillId="36" borderId="0" xfId="0" applyNumberFormat="1" applyFill="1"/>
    <xf numFmtId="49" fontId="0" fillId="36" borderId="0" xfId="0" applyNumberFormat="1" applyFill="1"/>
    <xf numFmtId="0" fontId="18" fillId="36" borderId="0" xfId="42" applyFill="1"/>
    <xf numFmtId="166" fontId="0" fillId="36" borderId="0" xfId="0" applyNumberFormat="1" applyFill="1"/>
    <xf numFmtId="0" fontId="0" fillId="36" borderId="10" xfId="0" applyFill="1" applyBorder="1"/>
    <xf numFmtId="0" fontId="16" fillId="36" borderId="10" xfId="0" applyFont="1" applyFill="1" applyBorder="1"/>
    <xf numFmtId="166" fontId="0" fillId="36" borderId="10" xfId="0" applyNumberFormat="1" applyFill="1" applyBorder="1"/>
    <xf numFmtId="49" fontId="0" fillId="36" borderId="10" xfId="0" applyNumberFormat="1" applyFill="1" applyBorder="1"/>
    <xf numFmtId="0" fontId="0" fillId="37" borderId="11" xfId="0" applyFill="1" applyBorder="1"/>
    <xf numFmtId="0" fontId="16" fillId="37" borderId="11" xfId="0" applyFont="1" applyFill="1" applyBorder="1"/>
    <xf numFmtId="166" fontId="0" fillId="37" borderId="11" xfId="0" applyNumberFormat="1" applyFill="1" applyBorder="1"/>
    <xf numFmtId="49" fontId="0" fillId="37" borderId="11" xfId="0" applyNumberFormat="1" applyFill="1" applyBorder="1"/>
    <xf numFmtId="0" fontId="16" fillId="34" borderId="0" xfId="0" applyFont="1" applyFill="1"/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36" borderId="0" xfId="0" applyNumberFormat="1" applyFill="1"/>
    <xf numFmtId="164" fontId="18" fillId="36" borderId="0" xfId="42" applyNumberFormat="1" applyFill="1"/>
    <xf numFmtId="0" fontId="16" fillId="0" borderId="0" xfId="0" applyFont="1"/>
    <xf numFmtId="0" fontId="0" fillId="36" borderId="15" xfId="0" applyFill="1" applyBorder="1"/>
    <xf numFmtId="165" fontId="0" fillId="36" borderId="16" xfId="0" applyNumberFormat="1" applyFill="1" applyBorder="1"/>
    <xf numFmtId="0" fontId="0" fillId="36" borderId="13" xfId="0" applyFill="1" applyBorder="1"/>
    <xf numFmtId="0" fontId="0" fillId="36" borderId="14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uk/en/products/detail/samsung-electro-mechanics/CL21B105KAFNNNE/3886724" TargetMode="External"/><Relationship Id="rId2" Type="http://schemas.openxmlformats.org/officeDocument/2006/relationships/hyperlink" Target="https://www.digikey.co.uk/en/products/detail/H3LIS331DLTR/497-13903-1-ND/4311636" TargetMode="External"/><Relationship Id="rId1" Type="http://schemas.openxmlformats.org/officeDocument/2006/relationships/hyperlink" Target="https://www.digikey.co.uk/en/products/detail/osram-opto-semiconductors-inc/SFH-325-FA-3-4-Z/388092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.uk/en/products/detail/goford-semiconductor/G35N02K/1658494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bfg.co.uk/7475-c-softener.html" TargetMode="External"/><Relationship Id="rId2" Type="http://schemas.openxmlformats.org/officeDocument/2006/relationships/hyperlink" Target="https://www.mbfg.co.uk/pt-flex-85-rubber.html" TargetMode="External"/><Relationship Id="rId1" Type="http://schemas.openxmlformats.org/officeDocument/2006/relationships/hyperlink" Target="https://www.rclife.co.uk/Brushless-Motors/Surpass-Hobby-C2836-880kv-Brushless-Outrunner-Motor" TargetMode="External"/><Relationship Id="rId5" Type="http://schemas.openxmlformats.org/officeDocument/2006/relationships/hyperlink" Target="https://www.amazon.co.uk/ARCELI-Converter-Breakout-Portable-Electronic/dp/B07MY35F92/ref=sr_1_5" TargetMode="External"/><Relationship Id="rId4" Type="http://schemas.openxmlformats.org/officeDocument/2006/relationships/hyperlink" Target="https://www.digikey.co.uk/en/products/detail/osram-opto-ams-osram/LZ1-10R702-0000/497671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B12" sqref="B12"/>
    </sheetView>
  </sheetViews>
  <sheetFormatPr defaultRowHeight="14.4" x14ac:dyDescent="0.3"/>
  <cols>
    <col min="2" max="2" width="21.44140625" customWidth="1"/>
    <col min="3" max="3" width="8.44140625" bestFit="1" customWidth="1"/>
    <col min="4" max="4" width="6.5546875" bestFit="1" customWidth="1"/>
    <col min="6" max="6" width="11.109375" customWidth="1"/>
    <col min="7" max="7" width="10.77734375" style="2" customWidth="1"/>
    <col min="8" max="8" width="92.109375" bestFit="1" customWidth="1"/>
  </cols>
  <sheetData>
    <row r="1" spans="1:9" s="5" customFormat="1" ht="15" thickBot="1" x14ac:dyDescent="0.35">
      <c r="A1" s="5" t="s">
        <v>0</v>
      </c>
      <c r="B1" s="5" t="s">
        <v>1</v>
      </c>
      <c r="C1" s="5" t="s">
        <v>146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</row>
    <row r="2" spans="1:9" s="30" customFormat="1" x14ac:dyDescent="0.3">
      <c r="A2" s="30" t="s">
        <v>8</v>
      </c>
      <c r="B2" s="30" t="s">
        <v>9</v>
      </c>
      <c r="C2" s="30">
        <v>1</v>
      </c>
      <c r="D2" s="31">
        <v>2</v>
      </c>
      <c r="E2" s="32">
        <v>11.91</v>
      </c>
      <c r="F2" s="30" t="s">
        <v>10</v>
      </c>
      <c r="G2" s="33" t="s">
        <v>11</v>
      </c>
      <c r="H2" s="34" t="s">
        <v>12</v>
      </c>
      <c r="I2" s="30" t="s">
        <v>13</v>
      </c>
    </row>
    <row r="3" spans="1:9" s="30" customFormat="1" x14ac:dyDescent="0.3">
      <c r="A3" s="30" t="s">
        <v>14</v>
      </c>
      <c r="B3" s="30" t="s">
        <v>15</v>
      </c>
      <c r="C3" s="30">
        <v>7</v>
      </c>
      <c r="D3" s="31">
        <v>20</v>
      </c>
      <c r="E3" s="35">
        <v>5.7000000000000002E-2</v>
      </c>
      <c r="F3" s="30" t="s">
        <v>16</v>
      </c>
      <c r="G3" s="33" t="s">
        <v>108</v>
      </c>
      <c r="H3" s="34" t="s">
        <v>17</v>
      </c>
      <c r="I3" s="30" t="s">
        <v>18</v>
      </c>
    </row>
    <row r="4" spans="1:9" s="3" customFormat="1" x14ac:dyDescent="0.3">
      <c r="A4" s="3" t="s">
        <v>19</v>
      </c>
      <c r="B4" s="3" t="s">
        <v>20</v>
      </c>
      <c r="C4" s="3">
        <v>2</v>
      </c>
      <c r="D4" s="18"/>
      <c r="E4" s="10">
        <v>1.1999999999999999E-3</v>
      </c>
      <c r="F4" s="3" t="s">
        <v>21</v>
      </c>
      <c r="G4" s="4" t="s">
        <v>109</v>
      </c>
      <c r="H4" s="3">
        <v>100</v>
      </c>
    </row>
    <row r="5" spans="1:9" s="3" customFormat="1" x14ac:dyDescent="0.3">
      <c r="A5" s="3" t="s">
        <v>22</v>
      </c>
      <c r="B5" s="3" t="s">
        <v>23</v>
      </c>
      <c r="C5" s="3">
        <v>4</v>
      </c>
      <c r="D5" s="18"/>
      <c r="E5" s="10">
        <v>3.0000000000000001E-3</v>
      </c>
      <c r="F5" s="3" t="s">
        <v>24</v>
      </c>
      <c r="G5" s="4" t="s">
        <v>109</v>
      </c>
      <c r="H5" s="3">
        <v>50</v>
      </c>
    </row>
    <row r="6" spans="1:9" s="30" customFormat="1" x14ac:dyDescent="0.3">
      <c r="A6" s="30" t="s">
        <v>25</v>
      </c>
      <c r="B6" s="30" t="s">
        <v>26</v>
      </c>
      <c r="C6" s="30">
        <v>7</v>
      </c>
      <c r="D6" s="31">
        <v>20</v>
      </c>
      <c r="E6" s="35">
        <v>0.11</v>
      </c>
      <c r="F6" s="30" t="s">
        <v>27</v>
      </c>
      <c r="G6" s="33">
        <v>1206</v>
      </c>
      <c r="H6" s="30" t="s">
        <v>28</v>
      </c>
    </row>
    <row r="7" spans="1:9" s="3" customFormat="1" x14ac:dyDescent="0.3">
      <c r="A7" s="3" t="s">
        <v>29</v>
      </c>
      <c r="B7" s="3" t="s">
        <v>30</v>
      </c>
      <c r="C7" s="3">
        <v>1</v>
      </c>
      <c r="D7" s="18"/>
      <c r="E7" s="10">
        <v>8.0000000000000004E-4</v>
      </c>
      <c r="F7" s="3" t="s">
        <v>31</v>
      </c>
      <c r="G7" s="4" t="s">
        <v>109</v>
      </c>
      <c r="H7" s="3">
        <v>100</v>
      </c>
    </row>
    <row r="8" spans="1:9" s="3" customFormat="1" x14ac:dyDescent="0.3">
      <c r="A8" s="3" t="s">
        <v>32</v>
      </c>
      <c r="B8" s="3" t="s">
        <v>33</v>
      </c>
      <c r="C8" s="3">
        <v>1</v>
      </c>
      <c r="D8" s="18"/>
      <c r="E8" s="10">
        <v>1.9199999999999998E-2</v>
      </c>
      <c r="F8" s="3" t="s">
        <v>34</v>
      </c>
      <c r="G8" s="4" t="s">
        <v>110</v>
      </c>
      <c r="H8" s="3">
        <v>20</v>
      </c>
    </row>
    <row r="9" spans="1:9" s="3" customFormat="1" x14ac:dyDescent="0.3">
      <c r="A9" s="3" t="s">
        <v>35</v>
      </c>
      <c r="B9" s="3" t="s">
        <v>36</v>
      </c>
      <c r="C9" s="3">
        <v>5</v>
      </c>
      <c r="D9" s="18"/>
      <c r="E9" s="10">
        <v>8.0000000000000004E-4</v>
      </c>
      <c r="F9" s="3" t="s">
        <v>37</v>
      </c>
      <c r="G9" s="4" t="s">
        <v>109</v>
      </c>
      <c r="H9" s="3">
        <v>200</v>
      </c>
    </row>
    <row r="10" spans="1:9" s="3" customFormat="1" x14ac:dyDescent="0.3">
      <c r="A10" s="3" t="s">
        <v>38</v>
      </c>
      <c r="B10" s="3" t="s">
        <v>39</v>
      </c>
      <c r="C10" s="3">
        <v>1</v>
      </c>
      <c r="D10" s="18"/>
      <c r="E10" s="10"/>
      <c r="F10" s="3" t="s">
        <v>40</v>
      </c>
      <c r="G10" s="4" t="s">
        <v>110</v>
      </c>
      <c r="H10" s="3">
        <v>50</v>
      </c>
    </row>
    <row r="11" spans="1:9" s="3" customFormat="1" x14ac:dyDescent="0.3">
      <c r="A11" s="3" t="s">
        <v>41</v>
      </c>
      <c r="B11" s="3" t="s">
        <v>42</v>
      </c>
      <c r="C11" s="3">
        <v>1</v>
      </c>
      <c r="D11" s="18"/>
      <c r="E11" s="10"/>
      <c r="F11" s="3" t="s">
        <v>43</v>
      </c>
      <c r="G11" s="4">
        <v>1210</v>
      </c>
      <c r="H11" s="3">
        <v>10</v>
      </c>
    </row>
    <row r="12" spans="1:9" s="30" customFormat="1" x14ac:dyDescent="0.3">
      <c r="A12" s="30" t="s">
        <v>44</v>
      </c>
      <c r="B12" s="30" t="s">
        <v>45</v>
      </c>
      <c r="C12" s="30">
        <v>12</v>
      </c>
      <c r="D12" s="31">
        <v>24</v>
      </c>
      <c r="E12" s="35">
        <v>0.371</v>
      </c>
      <c r="F12" s="30" t="s">
        <v>46</v>
      </c>
      <c r="G12" s="33" t="s">
        <v>47</v>
      </c>
      <c r="H12" s="34" t="s">
        <v>48</v>
      </c>
      <c r="I12" s="30" t="s">
        <v>49</v>
      </c>
    </row>
    <row r="13" spans="1:9" s="3" customFormat="1" x14ac:dyDescent="0.3">
      <c r="A13" s="3" t="s">
        <v>50</v>
      </c>
      <c r="B13" s="3" t="s">
        <v>51</v>
      </c>
      <c r="C13" s="3">
        <v>8</v>
      </c>
      <c r="D13" s="18"/>
      <c r="E13" s="10">
        <v>4.0000000000000002E-4</v>
      </c>
      <c r="F13" s="3" t="s">
        <v>52</v>
      </c>
      <c r="G13" s="4" t="s">
        <v>109</v>
      </c>
      <c r="H13" s="3">
        <v>200</v>
      </c>
    </row>
    <row r="14" spans="1:9" s="3" customFormat="1" x14ac:dyDescent="0.3">
      <c r="A14" s="3" t="s">
        <v>53</v>
      </c>
      <c r="B14" s="3" t="s">
        <v>11</v>
      </c>
      <c r="C14" s="3">
        <v>1</v>
      </c>
      <c r="D14" s="18"/>
      <c r="E14" s="10"/>
      <c r="F14" s="3" t="s">
        <v>54</v>
      </c>
      <c r="G14" s="4" t="s">
        <v>108</v>
      </c>
      <c r="H14" s="3">
        <v>50</v>
      </c>
    </row>
    <row r="15" spans="1:9" s="3" customFormat="1" x14ac:dyDescent="0.3">
      <c r="A15" s="3" t="s">
        <v>55</v>
      </c>
      <c r="B15" s="3" t="s">
        <v>56</v>
      </c>
      <c r="C15" s="3">
        <v>7</v>
      </c>
      <c r="D15" s="18"/>
      <c r="E15" s="10">
        <v>6.9999999999999999E-4</v>
      </c>
      <c r="F15" s="3" t="s">
        <v>57</v>
      </c>
      <c r="G15" s="4" t="s">
        <v>109</v>
      </c>
      <c r="H15" s="3">
        <v>200</v>
      </c>
    </row>
    <row r="16" spans="1:9" s="30" customFormat="1" x14ac:dyDescent="0.3">
      <c r="A16" s="30" t="s">
        <v>58</v>
      </c>
      <c r="B16" s="30" t="s">
        <v>59</v>
      </c>
      <c r="C16" s="30">
        <v>12</v>
      </c>
      <c r="D16" s="31">
        <v>24</v>
      </c>
      <c r="E16" s="35">
        <v>0.17299999999999999</v>
      </c>
      <c r="F16" s="30" t="s">
        <v>60</v>
      </c>
      <c r="G16" s="33" t="s">
        <v>109</v>
      </c>
      <c r="H16" s="30" t="s">
        <v>61</v>
      </c>
    </row>
    <row r="17" spans="1:9" s="30" customFormat="1" x14ac:dyDescent="0.3">
      <c r="A17" s="30" t="s">
        <v>62</v>
      </c>
      <c r="B17" s="30" t="s">
        <v>63</v>
      </c>
      <c r="C17" s="30">
        <v>1</v>
      </c>
      <c r="D17" s="31">
        <v>3</v>
      </c>
      <c r="E17" s="35">
        <v>0.37</v>
      </c>
      <c r="F17" s="30" t="s">
        <v>64</v>
      </c>
      <c r="G17" s="33" t="s">
        <v>65</v>
      </c>
      <c r="H17" s="30" t="s">
        <v>66</v>
      </c>
      <c r="I17" s="30" t="s">
        <v>67</v>
      </c>
    </row>
    <row r="18" spans="1:9" s="30" customFormat="1" x14ac:dyDescent="0.3">
      <c r="A18" s="30" t="s">
        <v>68</v>
      </c>
      <c r="B18" s="30" t="s">
        <v>69</v>
      </c>
      <c r="C18" s="30">
        <v>2</v>
      </c>
      <c r="D18" s="31">
        <v>10</v>
      </c>
      <c r="E18" s="35">
        <v>0.38</v>
      </c>
      <c r="F18" s="30" t="s">
        <v>70</v>
      </c>
      <c r="G18" s="33" t="s">
        <v>71</v>
      </c>
      <c r="H18" s="30" t="s">
        <v>72</v>
      </c>
    </row>
    <row r="19" spans="1:9" s="3" customFormat="1" x14ac:dyDescent="0.3">
      <c r="A19" s="3" t="s">
        <v>73</v>
      </c>
      <c r="B19" s="3" t="s">
        <v>74</v>
      </c>
      <c r="C19" s="3">
        <v>1</v>
      </c>
      <c r="D19" s="18"/>
      <c r="E19" s="10">
        <v>4.5</v>
      </c>
      <c r="F19" s="3" t="s">
        <v>75</v>
      </c>
      <c r="G19" s="4" t="s">
        <v>76</v>
      </c>
      <c r="H19" s="3">
        <v>10</v>
      </c>
    </row>
    <row r="20" spans="1:9" s="30" customFormat="1" x14ac:dyDescent="0.3">
      <c r="A20" s="30" t="s">
        <v>77</v>
      </c>
      <c r="B20" s="30" t="s">
        <v>78</v>
      </c>
      <c r="C20" s="30">
        <v>2</v>
      </c>
      <c r="D20" s="31">
        <v>5</v>
      </c>
      <c r="E20" s="35">
        <v>1.4</v>
      </c>
      <c r="F20" s="30" t="s">
        <v>79</v>
      </c>
      <c r="G20" s="33" t="s">
        <v>80</v>
      </c>
      <c r="H20" s="30" t="s">
        <v>81</v>
      </c>
      <c r="I20" s="30" t="s">
        <v>82</v>
      </c>
    </row>
    <row r="21" spans="1:9" s="3" customFormat="1" x14ac:dyDescent="0.3">
      <c r="A21" s="3" t="s">
        <v>83</v>
      </c>
      <c r="B21" s="3" t="s">
        <v>84</v>
      </c>
      <c r="C21" s="3">
        <v>1</v>
      </c>
      <c r="D21" s="18"/>
      <c r="E21" s="10">
        <v>0.1017</v>
      </c>
      <c r="F21" s="3" t="s">
        <v>85</v>
      </c>
      <c r="G21" s="4" t="s">
        <v>86</v>
      </c>
      <c r="H21" s="3">
        <v>10</v>
      </c>
    </row>
    <row r="22" spans="1:9" s="8" customFormat="1" ht="15" thickBot="1" x14ac:dyDescent="0.35">
      <c r="A22" s="8" t="s">
        <v>87</v>
      </c>
      <c r="B22" s="8" t="s">
        <v>88</v>
      </c>
      <c r="C22" s="8">
        <v>1</v>
      </c>
      <c r="D22" s="19"/>
      <c r="E22" s="11"/>
      <c r="F22" s="8" t="s">
        <v>89</v>
      </c>
      <c r="G22" s="9" t="s">
        <v>90</v>
      </c>
      <c r="H22" s="8">
        <v>10</v>
      </c>
    </row>
    <row r="23" spans="1:9" s="30" customFormat="1" x14ac:dyDescent="0.3">
      <c r="A23" s="30" t="s">
        <v>91</v>
      </c>
      <c r="B23" s="30" t="s">
        <v>92</v>
      </c>
      <c r="C23" s="30">
        <v>4</v>
      </c>
      <c r="D23" s="31">
        <v>8</v>
      </c>
      <c r="E23" s="35">
        <v>0.18</v>
      </c>
      <c r="F23" s="30" t="s">
        <v>93</v>
      </c>
      <c r="G23" s="33" t="s">
        <v>11</v>
      </c>
      <c r="H23" s="30" t="s">
        <v>94</v>
      </c>
    </row>
    <row r="24" spans="1:9" s="3" customFormat="1" x14ac:dyDescent="0.3">
      <c r="A24" s="3" t="s">
        <v>95</v>
      </c>
      <c r="C24" s="3">
        <v>4</v>
      </c>
      <c r="D24" s="18"/>
      <c r="E24" s="10"/>
      <c r="F24" s="3" t="s">
        <v>96</v>
      </c>
      <c r="G24" s="4" t="s">
        <v>97</v>
      </c>
      <c r="H24" s="22" t="s">
        <v>11</v>
      </c>
    </row>
    <row r="25" spans="1:9" s="30" customFormat="1" x14ac:dyDescent="0.3">
      <c r="A25" s="30" t="s">
        <v>98</v>
      </c>
      <c r="B25" s="30" t="s">
        <v>99</v>
      </c>
      <c r="C25" s="30">
        <v>2</v>
      </c>
      <c r="D25" s="31">
        <v>5</v>
      </c>
      <c r="E25" s="35">
        <v>0.64</v>
      </c>
      <c r="F25" s="30" t="s">
        <v>100</v>
      </c>
      <c r="G25" s="33"/>
      <c r="H25" s="34" t="s">
        <v>101</v>
      </c>
    </row>
    <row r="26" spans="1:9" s="36" customFormat="1" ht="15" thickBot="1" x14ac:dyDescent="0.35">
      <c r="A26" s="36" t="s">
        <v>102</v>
      </c>
      <c r="B26" s="36" t="s">
        <v>103</v>
      </c>
      <c r="C26" s="36">
        <v>2</v>
      </c>
      <c r="D26" s="37">
        <v>5</v>
      </c>
      <c r="E26" s="38">
        <v>0.43</v>
      </c>
      <c r="F26" s="36" t="s">
        <v>104</v>
      </c>
      <c r="G26" s="39" t="s">
        <v>11</v>
      </c>
      <c r="H26" s="36" t="s">
        <v>105</v>
      </c>
    </row>
    <row r="27" spans="1:9" s="40" customFormat="1" ht="15" thickBot="1" x14ac:dyDescent="0.35">
      <c r="B27" s="40" t="s">
        <v>106</v>
      </c>
      <c r="C27" s="40">
        <v>1</v>
      </c>
      <c r="D27" s="41">
        <v>5</v>
      </c>
      <c r="E27" s="42">
        <v>5</v>
      </c>
      <c r="G27" s="43"/>
    </row>
    <row r="28" spans="1:9" x14ac:dyDescent="0.3">
      <c r="B28" t="s">
        <v>107</v>
      </c>
      <c r="C28" s="1">
        <f>SUMPRODUCT(C2:C27,E2:E27)</f>
        <v>36.045200000000008</v>
      </c>
      <c r="D28" s="1">
        <f>SUMPRODUCT(D2:D27,E2:E27)</f>
        <v>83.915999999999997</v>
      </c>
    </row>
  </sheetData>
  <hyperlinks>
    <hyperlink ref="H25" r:id="rId1" xr:uid="{17CB87F0-57F2-4564-AFCC-207D0A2CB847}"/>
    <hyperlink ref="H2" r:id="rId2" xr:uid="{A666E5CD-24D2-4C68-861D-FC284E2E0CA9}"/>
    <hyperlink ref="H3" r:id="rId3" xr:uid="{CDDEC637-0CC2-4C8E-BD21-C096A986417B}"/>
    <hyperlink ref="H12" r:id="rId4" xr:uid="{968F9FCF-FA36-415F-B39F-7A92308C2335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tabSelected="1" workbookViewId="0">
      <selection activeCell="B8" sqref="B8"/>
    </sheetView>
  </sheetViews>
  <sheetFormatPr defaultRowHeight="14.4" x14ac:dyDescent="0.3"/>
  <cols>
    <col min="1" max="1" width="18.77734375" customWidth="1"/>
    <col min="6" max="6" width="8.88671875" style="7"/>
  </cols>
  <sheetData>
    <row r="1" spans="1:10" s="5" customFormat="1" ht="15" thickBot="1" x14ac:dyDescent="0.35">
      <c r="A1" s="5" t="s">
        <v>111</v>
      </c>
      <c r="B1" s="5" t="s">
        <v>112</v>
      </c>
      <c r="C1" s="5" t="s">
        <v>113</v>
      </c>
      <c r="D1" s="5" t="s">
        <v>114</v>
      </c>
      <c r="E1" s="5" t="s">
        <v>115</v>
      </c>
      <c r="F1" s="12" t="s">
        <v>3</v>
      </c>
      <c r="G1" s="5" t="s">
        <v>116</v>
      </c>
    </row>
    <row r="2" spans="1:10" s="30" customFormat="1" x14ac:dyDescent="0.3">
      <c r="A2" s="30" t="s">
        <v>149</v>
      </c>
      <c r="B2" s="30" t="s">
        <v>151</v>
      </c>
      <c r="C2" s="30">
        <v>318419</v>
      </c>
      <c r="D2" s="30">
        <f>C2*$J$7*0.5</f>
        <v>159.20949999999999</v>
      </c>
      <c r="E2" s="30">
        <v>1</v>
      </c>
      <c r="F2" s="47"/>
      <c r="I2" s="52" t="s">
        <v>133</v>
      </c>
      <c r="J2" s="53"/>
    </row>
    <row r="3" spans="1:10" s="30" customFormat="1" x14ac:dyDescent="0.3">
      <c r="A3" s="30" t="s">
        <v>150</v>
      </c>
      <c r="B3" s="30" t="s">
        <v>151</v>
      </c>
      <c r="C3" s="30">
        <v>838261</v>
      </c>
      <c r="D3" s="30">
        <f>C3*$J$7*0.5</f>
        <v>419.13049999999998</v>
      </c>
      <c r="E3" s="30">
        <v>1</v>
      </c>
      <c r="F3" s="47"/>
      <c r="I3" s="50" t="s">
        <v>118</v>
      </c>
      <c r="J3" s="51">
        <f>0.95/10^3</f>
        <v>9.5E-4</v>
      </c>
    </row>
    <row r="4" spans="1:10" s="30" customFormat="1" x14ac:dyDescent="0.3">
      <c r="A4" s="30" t="s">
        <v>152</v>
      </c>
      <c r="B4" s="30" t="s">
        <v>165</v>
      </c>
      <c r="C4" s="30">
        <v>59807.32</v>
      </c>
      <c r="D4" s="30">
        <f>C4*J6</f>
        <v>468.88938880000001</v>
      </c>
      <c r="E4" s="30">
        <v>0</v>
      </c>
      <c r="F4" s="47"/>
      <c r="I4" s="50" t="s">
        <v>124</v>
      </c>
      <c r="J4" s="51">
        <f>1/10^3</f>
        <v>1E-3</v>
      </c>
    </row>
    <row r="5" spans="1:10" s="30" customFormat="1" x14ac:dyDescent="0.3">
      <c r="A5" s="30" t="s">
        <v>153</v>
      </c>
      <c r="B5" s="30" t="s">
        <v>154</v>
      </c>
      <c r="C5" s="30">
        <v>72054.759999999995</v>
      </c>
      <c r="D5" s="30">
        <f>J6*C5</f>
        <v>564.90931839999996</v>
      </c>
      <c r="E5" s="30">
        <v>0</v>
      </c>
      <c r="F5" s="47"/>
      <c r="I5" s="50" t="s">
        <v>134</v>
      </c>
      <c r="J5" s="51">
        <f>2.7/10^3</f>
        <v>2.7000000000000001E-3</v>
      </c>
    </row>
    <row r="6" spans="1:10" x14ac:dyDescent="0.3">
      <c r="I6" s="20" t="s">
        <v>117</v>
      </c>
      <c r="J6" s="21">
        <f>7.84/10^3</f>
        <v>7.8399999999999997E-3</v>
      </c>
    </row>
    <row r="7" spans="1:10" ht="15" thickBot="1" x14ac:dyDescent="0.35">
      <c r="I7" s="28" t="s">
        <v>135</v>
      </c>
      <c r="J7" s="29">
        <v>1E-3</v>
      </c>
    </row>
    <row r="8" spans="1:10" x14ac:dyDescent="0.3">
      <c r="A8" t="s">
        <v>155</v>
      </c>
      <c r="B8">
        <v>550</v>
      </c>
      <c r="C8">
        <f>D2+D3</f>
        <v>578.33999999999992</v>
      </c>
      <c r="E8">
        <v>1</v>
      </c>
    </row>
    <row r="9" spans="1:10" x14ac:dyDescent="0.3">
      <c r="A9" t="s">
        <v>156</v>
      </c>
      <c r="B9">
        <v>700</v>
      </c>
      <c r="C9">
        <f>Calculator!F11</f>
        <v>684.88</v>
      </c>
      <c r="D9">
        <f>C9</f>
        <v>684.88</v>
      </c>
      <c r="E9">
        <v>1</v>
      </c>
      <c r="G9">
        <f>D4*2+D5*2</f>
        <v>2067.5974144000002</v>
      </c>
    </row>
    <row r="11" spans="1:10" x14ac:dyDescent="0.3">
      <c r="A11" t="s">
        <v>121</v>
      </c>
      <c r="B11" t="s">
        <v>123</v>
      </c>
      <c r="C11">
        <v>2000</v>
      </c>
      <c r="D11">
        <f>C11*$J$7</f>
        <v>2</v>
      </c>
      <c r="E11">
        <v>2</v>
      </c>
    </row>
    <row r="12" spans="1:10" s="8" customFormat="1" ht="15" thickBot="1" x14ac:dyDescent="0.35">
      <c r="A12" s="8" t="s">
        <v>122</v>
      </c>
      <c r="B12" s="8" t="s">
        <v>124</v>
      </c>
      <c r="C12" s="8">
        <v>5000</v>
      </c>
      <c r="D12" s="8">
        <f>C12*$J$4</f>
        <v>5</v>
      </c>
      <c r="E12" s="8">
        <v>2</v>
      </c>
      <c r="F12" s="15"/>
    </row>
    <row r="13" spans="1:10" s="5" customFormat="1" ht="15" thickBot="1" x14ac:dyDescent="0.35">
      <c r="A13" s="5" t="s">
        <v>130</v>
      </c>
      <c r="B13" s="5" t="s">
        <v>11</v>
      </c>
      <c r="D13" s="5">
        <v>1</v>
      </c>
      <c r="E13" s="5">
        <v>16</v>
      </c>
      <c r="F13" s="12"/>
    </row>
    <row r="14" spans="1:10" s="24" customFormat="1" x14ac:dyDescent="0.3">
      <c r="A14" s="24" t="s">
        <v>119</v>
      </c>
      <c r="D14" s="24">
        <v>67</v>
      </c>
      <c r="E14" s="24">
        <v>0</v>
      </c>
      <c r="F14" s="25">
        <v>13.99</v>
      </c>
      <c r="G14" s="26" t="s">
        <v>132</v>
      </c>
    </row>
    <row r="15" spans="1:10" s="30" customFormat="1" x14ac:dyDescent="0.3">
      <c r="A15" s="30" t="s">
        <v>148</v>
      </c>
      <c r="D15" s="30">
        <v>65</v>
      </c>
      <c r="E15" s="30">
        <v>2</v>
      </c>
      <c r="F15" s="47">
        <v>18.43</v>
      </c>
      <c r="G15" s="34" t="s">
        <v>147</v>
      </c>
    </row>
    <row r="16" spans="1:10" x14ac:dyDescent="0.3">
      <c r="G16" s="27"/>
    </row>
    <row r="17" spans="1:7" s="30" customFormat="1" x14ac:dyDescent="0.3">
      <c r="A17" s="30" t="s">
        <v>120</v>
      </c>
      <c r="D17" s="30">
        <v>137</v>
      </c>
      <c r="E17" s="30">
        <v>1</v>
      </c>
      <c r="F17" s="47">
        <v>18.55</v>
      </c>
      <c r="G17" s="30" t="s">
        <v>131</v>
      </c>
    </row>
    <row r="18" spans="1:7" s="30" customFormat="1" x14ac:dyDescent="0.3">
      <c r="A18" s="30" t="s">
        <v>128</v>
      </c>
      <c r="E18" s="30">
        <v>1</v>
      </c>
      <c r="F18" s="47">
        <f>'Oreo PCB'!C28</f>
        <v>36.045200000000008</v>
      </c>
    </row>
    <row r="19" spans="1:7" x14ac:dyDescent="0.3">
      <c r="A19" t="s">
        <v>129</v>
      </c>
      <c r="E19">
        <v>1</v>
      </c>
      <c r="F19" s="13"/>
    </row>
    <row r="20" spans="1:7" s="3" customFormat="1" x14ac:dyDescent="0.3">
      <c r="A20" s="3" t="s">
        <v>125</v>
      </c>
      <c r="D20" s="3">
        <v>5</v>
      </c>
      <c r="E20" s="3">
        <v>1</v>
      </c>
      <c r="F20" s="14"/>
    </row>
    <row r="21" spans="1:7" s="3" customFormat="1" x14ac:dyDescent="0.3">
      <c r="A21" s="3" t="s">
        <v>126</v>
      </c>
      <c r="E21" s="3">
        <v>1</v>
      </c>
      <c r="F21" s="14"/>
    </row>
    <row r="22" spans="1:7" s="8" customFormat="1" ht="15" thickBot="1" x14ac:dyDescent="0.35">
      <c r="A22" s="8" t="s">
        <v>127</v>
      </c>
      <c r="E22" s="8">
        <v>1</v>
      </c>
      <c r="F22" s="15"/>
    </row>
    <row r="23" spans="1:7" x14ac:dyDescent="0.3">
      <c r="B23" s="45" t="s">
        <v>136</v>
      </c>
      <c r="C23" s="45"/>
      <c r="D23" s="16">
        <f>SUMPRODUCT(D2:D22,E2:E22)</f>
        <v>1565.2199999999998</v>
      </c>
    </row>
    <row r="24" spans="1:7" x14ac:dyDescent="0.3">
      <c r="B24" s="46" t="s">
        <v>137</v>
      </c>
      <c r="C24" s="46"/>
      <c r="D24">
        <f>1500-D23</f>
        <v>-65.2199999999998</v>
      </c>
    </row>
    <row r="26" spans="1:7" ht="15.6" x14ac:dyDescent="0.3">
      <c r="A26" s="23"/>
    </row>
    <row r="28" spans="1:7" s="30" customFormat="1" x14ac:dyDescent="0.3">
      <c r="A28" s="30" t="s">
        <v>144</v>
      </c>
      <c r="E28" s="30">
        <v>1</v>
      </c>
      <c r="F28" s="47">
        <v>24</v>
      </c>
      <c r="G28" s="34" t="s">
        <v>145</v>
      </c>
    </row>
    <row r="29" spans="1:7" s="30" customFormat="1" x14ac:dyDescent="0.3">
      <c r="A29" s="30" t="s">
        <v>141</v>
      </c>
      <c r="E29" s="30">
        <v>1</v>
      </c>
      <c r="F29" s="47">
        <v>25</v>
      </c>
      <c r="G29" s="34" t="s">
        <v>140</v>
      </c>
    </row>
    <row r="30" spans="1:7" s="30" customFormat="1" x14ac:dyDescent="0.3">
      <c r="A30" s="30" t="s">
        <v>138</v>
      </c>
      <c r="E30" s="30">
        <v>1</v>
      </c>
      <c r="F30" s="47">
        <v>4.99</v>
      </c>
      <c r="G30" s="48" t="s">
        <v>139</v>
      </c>
    </row>
    <row r="31" spans="1:7" s="30" customFormat="1" x14ac:dyDescent="0.3">
      <c r="A31" s="30" t="s">
        <v>142</v>
      </c>
      <c r="E31" s="30">
        <v>2</v>
      </c>
      <c r="F31" s="47">
        <v>8.5500000000000007</v>
      </c>
      <c r="G31" s="34" t="s">
        <v>143</v>
      </c>
    </row>
    <row r="33" spans="7:7" x14ac:dyDescent="0.3">
      <c r="G33" s="17"/>
    </row>
    <row r="34" spans="7:7" x14ac:dyDescent="0.3">
      <c r="G34" s="17"/>
    </row>
  </sheetData>
  <mergeCells count="2">
    <mergeCell ref="B23:C23"/>
    <mergeCell ref="B24:C24"/>
  </mergeCells>
  <conditionalFormatting sqref="D24">
    <cfRule type="colorScale" priority="1">
      <colorScale>
        <cfvo type="num" val="-150"/>
        <cfvo type="num" val="0"/>
        <cfvo type="num" val="100"/>
        <color rgb="FFF8696B"/>
        <color rgb="FFFFEB84"/>
        <color rgb="FF63BE7B"/>
      </colorScale>
    </cfRule>
  </conditionalFormatting>
  <hyperlinks>
    <hyperlink ref="G14" r:id="rId1" xr:uid="{03F112B5-B3B2-4909-8BD4-1E98727497CC}"/>
    <hyperlink ref="G28" r:id="rId2" xr:uid="{5762EC35-6A2B-48B3-A0AC-25547F451DAD}"/>
    <hyperlink ref="G29" r:id="rId3" xr:uid="{1C18DF23-300D-473C-9EAD-17A994FDB54A}"/>
    <hyperlink ref="G31" r:id="rId4" xr:uid="{125A4910-4799-4ED0-ADC1-E040E57AC6FA}"/>
    <hyperlink ref="G30" r:id="rId5" xr:uid="{1FF79E27-4DF4-4DD3-9675-B842CADB7A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403-71D1-49A7-B189-9C894C701DB1}">
  <dimension ref="B2:H18"/>
  <sheetViews>
    <sheetView workbookViewId="0">
      <selection activeCell="D22" sqref="D22"/>
    </sheetView>
  </sheetViews>
  <sheetFormatPr defaultRowHeight="14.4" x14ac:dyDescent="0.3"/>
  <cols>
    <col min="6" max="6" width="16.44140625" customWidth="1"/>
  </cols>
  <sheetData>
    <row r="2" spans="2:8" x14ac:dyDescent="0.3">
      <c r="B2" s="49" t="s">
        <v>157</v>
      </c>
    </row>
    <row r="3" spans="2:8" x14ac:dyDescent="0.3">
      <c r="B3" t="s">
        <v>158</v>
      </c>
      <c r="C3" t="s">
        <v>162</v>
      </c>
      <c r="D3" t="s">
        <v>159</v>
      </c>
      <c r="E3" t="s">
        <v>113</v>
      </c>
      <c r="F3" t="s">
        <v>114</v>
      </c>
      <c r="G3" t="s">
        <v>160</v>
      </c>
    </row>
    <row r="4" spans="2:8" x14ac:dyDescent="0.3">
      <c r="B4">
        <v>225</v>
      </c>
      <c r="C4">
        <v>35</v>
      </c>
      <c r="D4">
        <v>3.2</v>
      </c>
      <c r="E4">
        <f>B4*C4*D4</f>
        <v>25200</v>
      </c>
      <c r="F4">
        <f>E4*Mechanical!$J$5</f>
        <v>68.040000000000006</v>
      </c>
      <c r="G4">
        <v>175</v>
      </c>
    </row>
    <row r="5" spans="2:8" x14ac:dyDescent="0.3">
      <c r="H5">
        <f>G4*2+G9*2</f>
        <v>750</v>
      </c>
    </row>
    <row r="7" spans="2:8" x14ac:dyDescent="0.3">
      <c r="B7" s="49" t="s">
        <v>161</v>
      </c>
    </row>
    <row r="8" spans="2:8" x14ac:dyDescent="0.3">
      <c r="B8" t="s">
        <v>164</v>
      </c>
      <c r="C8" t="s">
        <v>162</v>
      </c>
      <c r="D8" t="s">
        <v>163</v>
      </c>
      <c r="E8" t="s">
        <v>113</v>
      </c>
    </row>
    <row r="9" spans="2:8" x14ac:dyDescent="0.3">
      <c r="B9">
        <v>20</v>
      </c>
      <c r="C9" s="44">
        <f>C4</f>
        <v>35</v>
      </c>
      <c r="D9" s="44">
        <f>50</f>
        <v>50</v>
      </c>
      <c r="E9">
        <f>B9*C9*D9</f>
        <v>35000</v>
      </c>
      <c r="F9">
        <f>E9*Mechanical!$J$6</f>
        <v>274.39999999999998</v>
      </c>
      <c r="G9">
        <v>200</v>
      </c>
    </row>
    <row r="11" spans="2:8" x14ac:dyDescent="0.3">
      <c r="F11">
        <f>F4*2+F9*2</f>
        <v>684.88</v>
      </c>
      <c r="G11">
        <v>700</v>
      </c>
    </row>
    <row r="14" spans="2:8" x14ac:dyDescent="0.3">
      <c r="B14" s="49" t="s">
        <v>166</v>
      </c>
    </row>
    <row r="15" spans="2:8" x14ac:dyDescent="0.3">
      <c r="B15">
        <v>4</v>
      </c>
      <c r="C15">
        <v>25</v>
      </c>
      <c r="D15">
        <v>50</v>
      </c>
      <c r="E15">
        <f>D15*C15*B15</f>
        <v>5000</v>
      </c>
      <c r="F15">
        <f>E15*Mechanical!J6</f>
        <v>39.199999999999996</v>
      </c>
      <c r="G15">
        <v>50</v>
      </c>
    </row>
    <row r="16" spans="2:8" x14ac:dyDescent="0.3">
      <c r="B16" t="s">
        <v>167</v>
      </c>
      <c r="C16" t="s">
        <v>168</v>
      </c>
    </row>
    <row r="17" spans="2:6" x14ac:dyDescent="0.3">
      <c r="B17">
        <v>5</v>
      </c>
      <c r="C17">
        <v>5</v>
      </c>
      <c r="E17">
        <f>B17*PI()*(C17/2)*(C17/2)*(B9-B15)</f>
        <v>1570.7963267948967</v>
      </c>
      <c r="F17">
        <f>E17*Mechanical!J6</f>
        <v>12.31504320207199</v>
      </c>
    </row>
    <row r="18" spans="2:6" x14ac:dyDescent="0.3">
      <c r="F18">
        <f>SUM(F17,F15)</f>
        <v>51.515043202071986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Oreo PCB</vt:lpstr>
      <vt:lpstr>Mechanical</vt:lpstr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2022-12-05T11:33:27Z</dcterms:created>
  <dcterms:modified xsi:type="dcterms:W3CDTF">2023-02-23T12:29:39Z</dcterms:modified>
</cp:coreProperties>
</file>