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b/Repos/MartinGift/DesignRules/"/>
    </mc:Choice>
  </mc:AlternateContent>
  <xr:revisionPtr revIDLastSave="0" documentId="13_ncr:1_{1690CEBA-3C0D-F942-AE8B-6B9AB9CC8B41}" xr6:coauthVersionLast="47" xr6:coauthVersionMax="47" xr10:uidLastSave="{00000000-0000-0000-0000-000000000000}"/>
  <bookViews>
    <workbookView xWindow="-4360" yWindow="-21600" windowWidth="38400" windowHeight="21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im_no">Sheet2!$D$2</definedName>
    <definedName name="dim_yes">Sheet2!$B$2</definedName>
    <definedName name="schematic">INDIRECT(Sheet1!$D$34)</definedName>
    <definedName name="vhigh_0">Sheet1!$P$28</definedName>
    <definedName name="vhigh_1">Sheet1!$Q$28</definedName>
    <definedName name="vlow_ihigh0">Sheet1!$M$28</definedName>
    <definedName name="vlow_ihigh1">Sheet1!$O$28</definedName>
    <definedName name="vlow_ilow0">Sheet1!$L$28:$L$29</definedName>
    <definedName name="vlow_ilow1">Sheet1!$N$28:$N$29</definedName>
  </definedNames>
  <calcPr calcId="191029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 l="1"/>
  <c r="C27" i="1" l="1"/>
  <c r="C34" i="1"/>
  <c r="D34" i="1" s="1"/>
  <c r="C33" i="1"/>
  <c r="C39" i="1" s="1"/>
  <c r="C32" i="1"/>
  <c r="C38" i="1" s="1"/>
  <c r="K27" i="1"/>
  <c r="D28" i="1" l="1"/>
  <c r="D7" i="1" s="1"/>
  <c r="C35" i="1"/>
  <c r="D6" i="1"/>
  <c r="C24" i="1" l="1"/>
  <c r="D9" i="1" s="1"/>
  <c r="D11" i="1"/>
  <c r="C30" i="1" s="1"/>
  <c r="C14" i="1" s="1"/>
  <c r="C17" i="1" s="1"/>
  <c r="C37" i="1" l="1"/>
  <c r="C15" i="1"/>
  <c r="C16" i="1" s="1"/>
  <c r="C18" i="1" l="1"/>
  <c r="D36" i="1" s="1"/>
  <c r="D15" i="1"/>
  <c r="D18" i="1" l="1"/>
</calcChain>
</file>

<file path=xl/sharedStrings.xml><?xml version="1.0" encoding="utf-8"?>
<sst xmlns="http://schemas.openxmlformats.org/spreadsheetml/2006/main" count="87" uniqueCount="79">
  <si>
    <t>Design Inputs</t>
  </si>
  <si>
    <t>DC supply voltage</t>
  </si>
  <si>
    <t>Vs [V]</t>
  </si>
  <si>
    <t>Remark</t>
  </si>
  <si>
    <t>LED current</t>
  </si>
  <si>
    <r>
      <t>I</t>
    </r>
    <r>
      <rPr>
        <vertAlign val="subscript"/>
        <sz val="11"/>
        <color theme="1"/>
        <rFont val="Calibri"/>
        <family val="2"/>
        <scheme val="minor"/>
      </rPr>
      <t>LED</t>
    </r>
    <r>
      <rPr>
        <sz val="11"/>
        <color theme="1"/>
        <rFont val="Calibri"/>
        <family val="2"/>
        <scheme val="minor"/>
      </rPr>
      <t xml:space="preserve"> [mA]</t>
    </r>
  </si>
  <si>
    <t>LED forward voltage</t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</si>
  <si>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[V]</t>
    </r>
  </si>
  <si>
    <t>LED number</t>
  </si>
  <si>
    <t>N</t>
  </si>
  <si>
    <t>Design Outputs</t>
  </si>
  <si>
    <t>The following parameters are calculated at ambient temperature of 25°C</t>
  </si>
  <si>
    <r>
      <t>P</t>
    </r>
    <r>
      <rPr>
        <vertAlign val="subscript"/>
        <sz val="11"/>
        <color theme="1"/>
        <rFont val="Calibri"/>
        <family val="2"/>
        <scheme val="minor"/>
      </rPr>
      <t>loss</t>
    </r>
    <r>
      <rPr>
        <sz val="11"/>
        <color theme="1"/>
        <rFont val="Calibri"/>
        <family val="2"/>
        <scheme val="minor"/>
      </rPr>
      <t xml:space="preserve"> [mW]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</si>
  <si>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[V]</t>
    </r>
  </si>
  <si>
    <t>Calculated Voltage on pin OUT</t>
  </si>
  <si>
    <t>Power dissipation in Rext</t>
  </si>
  <si>
    <r>
      <t>P</t>
    </r>
    <r>
      <rPr>
        <vertAlign val="subscript"/>
        <sz val="11"/>
        <color theme="1"/>
        <rFont val="Calibri"/>
        <family val="2"/>
        <scheme val="minor"/>
      </rPr>
      <t>ext</t>
    </r>
    <r>
      <rPr>
        <sz val="11"/>
        <color theme="1"/>
        <rFont val="Calibri"/>
        <family val="2"/>
        <scheme val="minor"/>
      </rPr>
      <t xml:space="preserve"> [mW]</t>
    </r>
  </si>
  <si>
    <t>Power dissipation in BCR</t>
  </si>
  <si>
    <t>LED power</t>
  </si>
  <si>
    <r>
      <t>P</t>
    </r>
    <r>
      <rPr>
        <vertAlign val="subscript"/>
        <sz val="11"/>
        <color theme="1"/>
        <rFont val="Calibri"/>
        <family val="2"/>
        <scheme val="minor"/>
      </rPr>
      <t>LED</t>
    </r>
    <r>
      <rPr>
        <sz val="11"/>
        <color theme="1"/>
        <rFont val="Calibri"/>
        <family val="2"/>
        <scheme val="minor"/>
      </rPr>
      <t xml:space="preserve"> (W)</t>
    </r>
  </si>
  <si>
    <t>Preset LED CURRENT</t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</si>
  <si>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preset </t>
    </r>
    <r>
      <rPr>
        <sz val="11"/>
        <color theme="1"/>
        <rFont val="Calibri"/>
        <family val="2"/>
        <scheme val="minor"/>
      </rPr>
      <t>[mA]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</si>
  <si>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V [V]</t>
    </r>
  </si>
  <si>
    <t>Voltage drop between pin #4 and #6</t>
  </si>
  <si>
    <t>check if all design inputs are valid</t>
  </si>
  <si>
    <t>inputs check</t>
  </si>
  <si>
    <t>1=true, 0=false</t>
  </si>
  <si>
    <t>is this assumption correct?</t>
  </si>
  <si>
    <t>External resistance</t>
  </si>
  <si>
    <r>
      <t>Rext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</si>
  <si>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 xml:space="preserve">The calculated Rext is a starting point, the user needs to fine tune the resistance for a specific LED current during test </t>
  </si>
  <si>
    <t>LED current:</t>
  </si>
  <si>
    <t>BCR320U/321U/420U/421U Design Tool</t>
  </si>
  <si>
    <t>PWM dimming</t>
  </si>
  <si>
    <t>NO</t>
  </si>
  <si>
    <t>YES</t>
  </si>
  <si>
    <t>Please select one product from the drop-down list</t>
  </si>
  <si>
    <t>BCR320U</t>
  </si>
  <si>
    <t>BCR321U</t>
  </si>
  <si>
    <t>BCR420U</t>
  </si>
  <si>
    <t>BCR421U</t>
  </si>
  <si>
    <t>no dimming: 0</t>
  </si>
  <si>
    <t>dimming: 1</t>
  </si>
  <si>
    <t>vlow_ilow0</t>
  </si>
  <si>
    <t>vlow_ihigh0</t>
  </si>
  <si>
    <t>vlow_ilow1</t>
  </si>
  <si>
    <t>vlow_ihigh1</t>
  </si>
  <si>
    <t>vhigh_0</t>
  </si>
  <si>
    <t>vhigh_1</t>
  </si>
  <si>
    <t>if product contain "3", its current is up to 250mA, otherwise 150mA</t>
  </si>
  <si>
    <t xml:space="preserve">check if the product BCR3xx is selected </t>
  </si>
  <si>
    <t xml:space="preserve">check if the product BCRxx1 is selected </t>
  </si>
  <si>
    <t>3xx check</t>
  </si>
  <si>
    <t>xx1 check</t>
  </si>
  <si>
    <t>if product contain "1", it is dimmable, otherwise not.</t>
  </si>
  <si>
    <t>check if dimming feature is yes</t>
  </si>
  <si>
    <t>yes check</t>
  </si>
  <si>
    <t>dimming feature and product conflict?</t>
  </si>
  <si>
    <t>conflict check</t>
  </si>
  <si>
    <t>1--&gt; conflict</t>
  </si>
  <si>
    <t>LED CURRENT MAX</t>
  </si>
  <si>
    <t>Imax [mA]</t>
  </si>
  <si>
    <t>Ploss [mA]</t>
  </si>
  <si>
    <t>Power loss limit</t>
  </si>
  <si>
    <t>Minimum Vout</t>
  </si>
  <si>
    <t>Vout,min [V]</t>
  </si>
  <si>
    <t>alternative Rext calc</t>
  </si>
  <si>
    <t>Rext [Ohm]</t>
  </si>
  <si>
    <t>assume ΔV [V] is constant</t>
  </si>
  <si>
    <t>Rext vs Iout parameters</t>
  </si>
  <si>
    <t>a</t>
  </si>
  <si>
    <t>b</t>
  </si>
  <si>
    <t>(Rext=a*Iout^b)</t>
  </si>
  <si>
    <t>LED number is okay</t>
  </si>
  <si>
    <t>check if Vs and ILED are okay</t>
  </si>
  <si>
    <t>Please select PWM Dimming feature via Digital Input Pin</t>
  </si>
  <si>
    <t>Vesion: 0.4B</t>
  </si>
  <si>
    <t>recommended max LED number</t>
  </si>
  <si>
    <t>N_LED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</si>
</sst>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Protection="1">
      <protection hidden="1"/>
    </xf>
    <xf numFmtId="0" fontId="6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4" borderId="10" xfId="0" applyFill="1" applyBorder="1"/>
    <xf numFmtId="1" fontId="0" fillId="3" borderId="6" xfId="0" applyNumberFormat="1" applyFill="1" applyBorder="1" applyAlignment="1">
      <alignment horizontal="center"/>
    </xf>
    <xf numFmtId="0" fontId="8" fillId="0" borderId="11" xfId="0" applyFont="1" applyBorder="1"/>
    <xf numFmtId="0" fontId="0" fillId="0" borderId="0" xfId="0" quotePrefix="1"/>
    <xf numFmtId="0" fontId="5" fillId="7" borderId="0" xfId="0" applyFont="1" applyFill="1"/>
    <xf numFmtId="0" fontId="9" fillId="0" borderId="0" xfId="0" applyFont="1"/>
    <xf numFmtId="0" fontId="0" fillId="0" borderId="13" xfId="0" applyBorder="1"/>
    <xf numFmtId="0" fontId="0" fillId="0" borderId="14" xfId="0" applyBorder="1"/>
    <xf numFmtId="0" fontId="8" fillId="0" borderId="16" xfId="0" applyFont="1" applyBorder="1"/>
    <xf numFmtId="0" fontId="8" fillId="0" borderId="12" xfId="0" applyFont="1" applyBorder="1"/>
    <xf numFmtId="0" fontId="10" fillId="0" borderId="0" xfId="0" applyFont="1"/>
    <xf numFmtId="0" fontId="0" fillId="0" borderId="7" xfId="0" applyBorder="1"/>
    <xf numFmtId="0" fontId="0" fillId="0" borderId="8" xfId="0" applyBorder="1"/>
    <xf numFmtId="0" fontId="0" fillId="4" borderId="3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0" xfId="0" applyAlignment="1">
      <alignment horizontal="right"/>
    </xf>
    <xf numFmtId="164" fontId="0" fillId="3" borderId="6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11" fillId="0" borderId="16" xfId="0" applyFont="1" applyBorder="1"/>
    <xf numFmtId="0" fontId="8" fillId="0" borderId="19" xfId="0" applyFont="1" applyBorder="1"/>
    <xf numFmtId="0" fontId="0" fillId="2" borderId="6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7" fillId="5" borderId="0" xfId="0" applyFont="1" applyFill="1"/>
    <xf numFmtId="0" fontId="5" fillId="6" borderId="0" xfId="0" applyFont="1" applyFill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</cellXfs>
  <cellStyles count="1">
    <cellStyle name="Standard" xfId="0" builtinId="0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theme="4"/>
      </font>
    </dxf>
    <dxf>
      <font>
        <b/>
        <i val="0"/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207966</xdr:colOff>
      <xdr:row>0</xdr:row>
      <xdr:rowOff>79375</xdr:rowOff>
    </xdr:from>
    <xdr:to>
      <xdr:col>6</xdr:col>
      <xdr:colOff>376003</xdr:colOff>
      <xdr:row>3</xdr:row>
      <xdr:rowOff>90624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1466" y="79375"/>
          <a:ext cx="1390412" cy="6144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39690</xdr:colOff>
          <xdr:row>4</xdr:row>
          <xdr:rowOff>0</xdr:rowOff>
        </xdr:from>
        <xdr:to>
          <xdr:col>8</xdr:col>
          <xdr:colOff>204790</xdr:colOff>
          <xdr:row>18</xdr:row>
          <xdr:rowOff>4763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schematic" spid="_x0000_s1117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23190" y="801688"/>
              <a:ext cx="2609850" cy="31242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0</xdr:rowOff>
    </xdr:from>
    <xdr:to>
      <xdr:col>1</xdr:col>
      <xdr:colOff>2564961</xdr:colOff>
      <xdr:row>1</xdr:row>
      <xdr:rowOff>3072241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6" y="190500"/>
          <a:ext cx="2536385" cy="307224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</xdr:row>
      <xdr:rowOff>0</xdr:rowOff>
    </xdr:from>
    <xdr:to>
      <xdr:col>3</xdr:col>
      <xdr:colOff>2207728</xdr:colOff>
      <xdr:row>1</xdr:row>
      <xdr:rowOff>3072242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6" y="190500"/>
          <a:ext cx="2207727" cy="3072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120" zoomScaleNormal="120" workbookViewId="0">
      <selection activeCell="C8" sqref="C8"/>
    </sheetView>
  </sheetViews>
  <sheetFormatPr baseColWidth="10" defaultColWidth="8.83203125" defaultRowHeight="17" x14ac:dyDescent="0.2"/>
  <cols>
    <col min="1" max="1" width="37.33203125" style="2" customWidth="1"/>
    <col min="2" max="2" width="12.83203125" customWidth="1"/>
    <col min="4" max="4" width="56" customWidth="1"/>
    <col min="10" max="10" width="13.1640625" customWidth="1"/>
    <col min="11" max="11" width="10.83203125" customWidth="1"/>
    <col min="12" max="12" width="11.1640625" customWidth="1"/>
    <col min="13" max="13" width="11" customWidth="1"/>
    <col min="14" max="14" width="11.1640625" bestFit="1" customWidth="1"/>
    <col min="15" max="15" width="11.6640625" bestFit="1" customWidth="1"/>
    <col min="16" max="16" width="9.1640625" customWidth="1"/>
    <col min="17" max="18" width="11.6640625" bestFit="1" customWidth="1"/>
  </cols>
  <sheetData>
    <row r="1" spans="1:13" ht="15" x14ac:dyDescent="0.2">
      <c r="A1" s="35" t="s">
        <v>32</v>
      </c>
      <c r="B1" s="35"/>
      <c r="C1" s="35"/>
    </row>
    <row r="2" spans="1:13" x14ac:dyDescent="0.2">
      <c r="A2" s="35"/>
      <c r="B2" s="35"/>
      <c r="C2" s="35"/>
      <c r="D2" s="3" t="s">
        <v>76</v>
      </c>
    </row>
    <row r="3" spans="1:13" ht="15" x14ac:dyDescent="0.2">
      <c r="A3" t="s">
        <v>11</v>
      </c>
      <c r="M3" s="5"/>
    </row>
    <row r="4" spans="1:13" ht="16" thickBot="1" x14ac:dyDescent="0.25">
      <c r="A4"/>
    </row>
    <row r="5" spans="1:13" ht="15" x14ac:dyDescent="0.2">
      <c r="A5" s="6" t="s">
        <v>0</v>
      </c>
      <c r="B5" s="7"/>
      <c r="C5" s="8"/>
      <c r="D5" s="11" t="s">
        <v>3</v>
      </c>
    </row>
    <row r="6" spans="1:13" ht="15" x14ac:dyDescent="0.2">
      <c r="A6" s="9" t="s">
        <v>1</v>
      </c>
      <c r="B6" s="10" t="s">
        <v>2</v>
      </c>
      <c r="C6" s="33">
        <v>4.5</v>
      </c>
      <c r="D6" s="13" t="str">
        <f>IF(AND(C6&lt;=40),"PASS","Vs can not exceed 40 V")</f>
        <v>PASS</v>
      </c>
    </row>
    <row r="7" spans="1:13" x14ac:dyDescent="0.25">
      <c r="A7" s="9" t="s">
        <v>4</v>
      </c>
      <c r="B7" s="10" t="s">
        <v>5</v>
      </c>
      <c r="C7" s="33">
        <v>150</v>
      </c>
      <c r="D7" s="13" t="str">
        <f>IF(AND(C7&lt;=C27,C7&gt;=C28),"PASS",IF(D6="PASS",D28,""))</f>
        <v>PASS</v>
      </c>
    </row>
    <row r="8" spans="1:13" x14ac:dyDescent="0.25">
      <c r="A8" s="9" t="s">
        <v>6</v>
      </c>
      <c r="B8" s="10" t="s">
        <v>7</v>
      </c>
      <c r="C8" s="33">
        <v>2.76</v>
      </c>
      <c r="D8" s="13"/>
    </row>
    <row r="9" spans="1:13" ht="15" x14ac:dyDescent="0.2">
      <c r="A9" s="17" t="s">
        <v>8</v>
      </c>
      <c r="B9" s="18" t="s">
        <v>9</v>
      </c>
      <c r="C9" s="34">
        <v>1</v>
      </c>
      <c r="D9" s="31" t="str">
        <f>IF(C24="OKAY",IF(C9&gt;(C6-C31)/C8,"LED number MUST be reduced!",IF(C9&lt;(C6-C31)/C8-1, CONCATENATE("PASS (LED number can be increased upto ", C26,")"),"PASS")),"")</f>
        <v>PASS</v>
      </c>
    </row>
    <row r="10" spans="1:13" ht="15" x14ac:dyDescent="0.2">
      <c r="A10" s="37" t="s">
        <v>75</v>
      </c>
      <c r="B10" s="38"/>
      <c r="C10" s="34" t="s">
        <v>35</v>
      </c>
      <c r="D10" s="19"/>
    </row>
    <row r="11" spans="1:13" ht="16" thickBot="1" x14ac:dyDescent="0.25">
      <c r="A11" s="36" t="s">
        <v>36</v>
      </c>
      <c r="B11" s="36"/>
      <c r="C11" s="33" t="s">
        <v>40</v>
      </c>
      <c r="D11" s="20" t="str">
        <f>IF(OR(AND(C7&lt;=150,C7&gt;=C28,C32=0,C35=0 ),AND(C6&lt;=25,C7&lt;=250,C7&gt;=C28,C32=1,C35=0)),"PASS",IF(AND(D6="PASS",D7="PASS",C25="PASS"),"please select another IC", ""))</f>
        <v>PASS</v>
      </c>
    </row>
    <row r="12" spans="1:13" ht="16" thickBot="1" x14ac:dyDescent="0.25">
      <c r="A12"/>
      <c r="C12" s="1"/>
    </row>
    <row r="13" spans="1:13" ht="15" x14ac:dyDescent="0.2">
      <c r="A13" s="6" t="s">
        <v>10</v>
      </c>
      <c r="B13" s="7"/>
      <c r="C13" s="24"/>
      <c r="D13" s="11" t="s">
        <v>3</v>
      </c>
    </row>
    <row r="14" spans="1:13" ht="32" x14ac:dyDescent="0.2">
      <c r="A14" s="9" t="s">
        <v>28</v>
      </c>
      <c r="B14" s="10" t="s">
        <v>29</v>
      </c>
      <c r="C14" s="29">
        <f>IF(C30=1,(IF((C7=C28),"OPEN",C38*(C7/1000)^C39)),"invalid")</f>
        <v>4.3274031098059824</v>
      </c>
      <c r="D14" s="26" t="s">
        <v>30</v>
      </c>
    </row>
    <row r="15" spans="1:13" x14ac:dyDescent="0.25">
      <c r="A15" s="9" t="s">
        <v>14</v>
      </c>
      <c r="B15" s="10" t="s">
        <v>13</v>
      </c>
      <c r="C15" s="25">
        <f>IF(C30=1,C6-C8*C9,"invalid")</f>
        <v>1.7400000000000002</v>
      </c>
      <c r="D15" s="13" t="str">
        <f>IF(AND(C32=1,C15&gt;16,C15&lt;&gt;"invalid"),"This voltage cannot exceed 16V for BCR320U/BCR321U","")</f>
        <v/>
      </c>
    </row>
    <row r="16" spans="1:13" x14ac:dyDescent="0.25">
      <c r="A16" s="9" t="s">
        <v>18</v>
      </c>
      <c r="B16" s="10" t="s">
        <v>19</v>
      </c>
      <c r="C16" s="25">
        <f>IF(C30=1,C7*C15/1000,"invalid")</f>
        <v>0.26100000000000007</v>
      </c>
      <c r="D16" s="27"/>
    </row>
    <row r="17" spans="1:17" x14ac:dyDescent="0.25">
      <c r="A17" s="9" t="s">
        <v>15</v>
      </c>
      <c r="B17" s="10" t="s">
        <v>16</v>
      </c>
      <c r="C17" s="12">
        <f>IF(C30=1,(IF(C14="OPEN", 0, C29^2/C14*1000)),"invalid")</f>
        <v>208.55464053138863</v>
      </c>
      <c r="D17" s="27"/>
    </row>
    <row r="18" spans="1:17" ht="18" thickBot="1" x14ac:dyDescent="0.3">
      <c r="A18" s="22" t="s">
        <v>17</v>
      </c>
      <c r="B18" s="23" t="s">
        <v>12</v>
      </c>
      <c r="C18" s="30">
        <f>IF(C30=1,(C28*C29+(C7-C28)*(C15-C29)),"invalid")</f>
        <v>120.10000000000004</v>
      </c>
      <c r="D18" s="32" t="str">
        <f>IF(AND(C18&gt;C36,C18&lt;&gt;"invalid"),"The power loss is too high!","")</f>
        <v/>
      </c>
    </row>
    <row r="24" spans="1:17" ht="15" hidden="1" x14ac:dyDescent="0.2">
      <c r="A24" t="s">
        <v>74</v>
      </c>
      <c r="C24" t="str">
        <f>IF(AND(D6="PASS",D7="PASS"),"OKAY")</f>
        <v>OKAY</v>
      </c>
      <c r="L24" t="s">
        <v>41</v>
      </c>
    </row>
    <row r="25" spans="1:17" ht="15" hidden="1" x14ac:dyDescent="0.2">
      <c r="A25" t="s">
        <v>73</v>
      </c>
      <c r="C25" t="str">
        <f>IF(C9&lt;=(C6-C31)/C8,"PASS","")</f>
        <v>PASS</v>
      </c>
      <c r="L25" t="s">
        <v>42</v>
      </c>
    </row>
    <row r="26" spans="1:17" ht="15" hidden="1" x14ac:dyDescent="0.2">
      <c r="A26" t="s">
        <v>77</v>
      </c>
      <c r="B26" t="s">
        <v>78</v>
      </c>
      <c r="C26">
        <f>ROUNDDOWN((C6-C31)/C8,0)</f>
        <v>1</v>
      </c>
    </row>
    <row r="27" spans="1:17" ht="15" hidden="1" x14ac:dyDescent="0.2">
      <c r="A27" t="s">
        <v>60</v>
      </c>
      <c r="B27" t="s">
        <v>61</v>
      </c>
      <c r="C27">
        <f>IF(C6&gt;25,150,250)</f>
        <v>250</v>
      </c>
      <c r="J27" s="16" t="s">
        <v>31</v>
      </c>
      <c r="K27" s="21" t="str">
        <f>IF(C6&gt;25,IF(C10="YES","vhigh_1","vhigh_0"),IF(C7&gt;150,IF(C10="YES","vlow_ihigh1","vlow_ihigh0"),IF(C10="YES","vlow_ilow1","vlow_ilow0")))</f>
        <v>vlow_ilow1</v>
      </c>
      <c r="L27" t="s">
        <v>43</v>
      </c>
      <c r="M27" t="s">
        <v>44</v>
      </c>
      <c r="N27" t="s">
        <v>45</v>
      </c>
      <c r="O27" t="s">
        <v>46</v>
      </c>
      <c r="P27" t="s">
        <v>47</v>
      </c>
      <c r="Q27" t="s">
        <v>48</v>
      </c>
    </row>
    <row r="28" spans="1:17" hidden="1" x14ac:dyDescent="0.25">
      <c r="A28" t="s">
        <v>20</v>
      </c>
      <c r="B28" t="s">
        <v>21</v>
      </c>
      <c r="C28" s="4">
        <v>10</v>
      </c>
      <c r="D28" t="str">
        <f>CONCATENATE("Please input in the range of ",C28,"-",C27,"mA")</f>
        <v>Please input in the range of 10-250mA</v>
      </c>
      <c r="L28" t="s">
        <v>37</v>
      </c>
      <c r="M28" t="s">
        <v>37</v>
      </c>
      <c r="N28" t="s">
        <v>38</v>
      </c>
      <c r="O28" t="s">
        <v>38</v>
      </c>
      <c r="P28" t="s">
        <v>39</v>
      </c>
      <c r="Q28" t="s">
        <v>40</v>
      </c>
    </row>
    <row r="29" spans="1:17" ht="15" hidden="1" x14ac:dyDescent="0.2">
      <c r="A29" t="s">
        <v>23</v>
      </c>
      <c r="B29" t="s">
        <v>22</v>
      </c>
      <c r="C29">
        <v>0.95</v>
      </c>
      <c r="D29" s="15" t="s">
        <v>27</v>
      </c>
      <c r="L29" t="s">
        <v>39</v>
      </c>
      <c r="N29" t="s">
        <v>40</v>
      </c>
    </row>
    <row r="30" spans="1:17" ht="15" hidden="1" x14ac:dyDescent="0.2">
      <c r="A30" t="s">
        <v>24</v>
      </c>
      <c r="B30" t="s">
        <v>25</v>
      </c>
      <c r="C30">
        <f>IF(AND(D6="PASS",D7="PASS",C25="PASS",D11="PASS",C11&lt;&gt;""),1,0)</f>
        <v>1</v>
      </c>
      <c r="D30" s="14" t="s">
        <v>26</v>
      </c>
      <c r="H30" t="s">
        <v>33</v>
      </c>
    </row>
    <row r="31" spans="1:17" ht="15" hidden="1" x14ac:dyDescent="0.2">
      <c r="A31" t="s">
        <v>64</v>
      </c>
      <c r="B31" t="s">
        <v>65</v>
      </c>
      <c r="C31">
        <v>1.4</v>
      </c>
      <c r="D31" s="15" t="s">
        <v>27</v>
      </c>
      <c r="H31" t="s">
        <v>35</v>
      </c>
    </row>
    <row r="32" spans="1:17" ht="15" hidden="1" x14ac:dyDescent="0.2">
      <c r="A32" t="s">
        <v>50</v>
      </c>
      <c r="B32" t="s">
        <v>52</v>
      </c>
      <c r="C32">
        <f>IF(ISNUMBER(SEARCH("3",C11)),1,0)</f>
        <v>0</v>
      </c>
      <c r="D32" t="s">
        <v>49</v>
      </c>
      <c r="H32" t="s">
        <v>34</v>
      </c>
    </row>
    <row r="33" spans="1:4" ht="15" hidden="1" x14ac:dyDescent="0.2">
      <c r="A33" t="s">
        <v>51</v>
      </c>
      <c r="B33" t="s">
        <v>53</v>
      </c>
      <c r="C33">
        <f>IF(ISNUMBER(SEARCH("1",C11)),1,0)</f>
        <v>1</v>
      </c>
      <c r="D33" t="s">
        <v>54</v>
      </c>
    </row>
    <row r="34" spans="1:4" ht="15" hidden="1" x14ac:dyDescent="0.2">
      <c r="A34" t="s">
        <v>55</v>
      </c>
      <c r="B34" t="s">
        <v>56</v>
      </c>
      <c r="C34">
        <f>IF(ISNUMBER(SEARCH("Y",C10)),1,0)</f>
        <v>1</v>
      </c>
      <c r="D34" t="str">
        <f>IF(C34=1,"dim_yes","dim_no")</f>
        <v>dim_yes</v>
      </c>
    </row>
    <row r="35" spans="1:4" ht="15" hidden="1" x14ac:dyDescent="0.2">
      <c r="A35" t="s">
        <v>57</v>
      </c>
      <c r="B35" t="s">
        <v>58</v>
      </c>
      <c r="C35">
        <f>IF(C33=C34,0,1)</f>
        <v>0</v>
      </c>
      <c r="D35" t="s">
        <v>59</v>
      </c>
    </row>
    <row r="36" spans="1:4" ht="15" hidden="1" x14ac:dyDescent="0.2">
      <c r="A36" t="s">
        <v>63</v>
      </c>
      <c r="B36" t="s">
        <v>62</v>
      </c>
      <c r="C36">
        <v>1000</v>
      </c>
      <c r="D36" s="5" t="str">
        <f>IF(AND(C18&gt;C36,C18&lt;&gt;"invalid"),"The power loss is too high, please reduce either Vs or ILED!","")</f>
        <v/>
      </c>
    </row>
    <row r="37" spans="1:4" ht="15" hidden="1" x14ac:dyDescent="0.2">
      <c r="A37" t="s">
        <v>66</v>
      </c>
      <c r="B37" t="s">
        <v>67</v>
      </c>
      <c r="C37">
        <f>IF(C30=1,(IF((C7=C28),"OPEN", (C29/(C7-C28)*1000))),"invalid")</f>
        <v>6.7857142857142856</v>
      </c>
      <c r="D37" t="s">
        <v>68</v>
      </c>
    </row>
    <row r="38" spans="1:4" ht="15" hidden="1" x14ac:dyDescent="0.2">
      <c r="A38" t="s">
        <v>69</v>
      </c>
      <c r="B38" t="s">
        <v>70</v>
      </c>
      <c r="C38">
        <f>IF(C32=0,0.3285,0.4133)</f>
        <v>0.32850000000000001</v>
      </c>
    </row>
    <row r="39" spans="1:4" ht="15" hidden="1" x14ac:dyDescent="0.2">
      <c r="A39" s="28" t="s">
        <v>72</v>
      </c>
      <c r="B39" t="s">
        <v>71</v>
      </c>
      <c r="C39">
        <f>IF(C33=0,-1.419,-1.359)</f>
        <v>-1.359</v>
      </c>
    </row>
  </sheetData>
  <sheetProtection algorithmName="SHA-512" hashValue="+vLzcS3+4QnpjKz+7qtQSddkVvcSboyBmAofJoT5mQrXDKH/XSEgTbb01KVpxBofXYXNPf4jEu+R3GhQAjxIWg==" saltValue="B56oPP3zPRfxzwOUIagNiw==" spinCount="100000" sheet="1" objects="1" scenarios="1"/>
  <mergeCells count="3">
    <mergeCell ref="A1:C2"/>
    <mergeCell ref="A11:B11"/>
    <mergeCell ref="A10:B10"/>
  </mergeCells>
  <conditionalFormatting sqref="D6:D7">
    <cfRule type="expression" dxfId="5" priority="8">
      <formula>D6="PASS"</formula>
    </cfRule>
  </conditionalFormatting>
  <conditionalFormatting sqref="D9">
    <cfRule type="expression" dxfId="4" priority="1">
      <formula>C9&gt;(C6-C31)/C8</formula>
    </cfRule>
  </conditionalFormatting>
  <conditionalFormatting sqref="D9:D11">
    <cfRule type="expression" dxfId="3" priority="5">
      <formula>D9="PASS"</formula>
    </cfRule>
  </conditionalFormatting>
  <conditionalFormatting sqref="D18">
    <cfRule type="expression" dxfId="2" priority="3">
      <formula>AND(C1&lt;&gt;"invalid",C1&gt;C18)</formula>
    </cfRule>
    <cfRule type="expression" dxfId="1" priority="2">
      <formula>AND(C18&lt;&gt;"invalid",C18&gt;C36)</formula>
    </cfRule>
  </conditionalFormatting>
  <conditionalFormatting sqref="D36">
    <cfRule type="expression" dxfId="0" priority="4">
      <formula>AND(C18&lt;&gt;"invalid",C18&gt;C36)</formula>
    </cfRule>
  </conditionalFormatting>
  <dataValidations count="2">
    <dataValidation type="list" allowBlank="1" showInputMessage="1" showErrorMessage="1" sqref="C11" xr:uid="{00000000-0002-0000-0000-000000000000}">
      <formula1>INDIRECT(K27)</formula1>
    </dataValidation>
    <dataValidation type="list" allowBlank="1" showInputMessage="1" showErrorMessage="1" sqref="C10" xr:uid="{00000000-0002-0000-0000-000001000000}">
      <formula1>$H$31:$H$32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8.33203125" customWidth="1"/>
    <col min="2" max="2" width="39.1640625" customWidth="1"/>
    <col min="4" max="4" width="35.1640625" customWidth="1"/>
  </cols>
  <sheetData>
    <row r="2" ht="246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474779903834B9DA4A7BAAEF000DD" ma:contentTypeVersion="0" ma:contentTypeDescription="Create a new document." ma:contentTypeScope="" ma:versionID="21318adb3df4546f30486171723af8e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AEAD1-9204-42AA-B3A6-D9AF181AFF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EF52C6-3414-41DA-B54F-B9E51055664B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658FC1E-D259-49F1-A20D-7A6CB91C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dim_no</vt:lpstr>
      <vt:lpstr>dim_yes</vt:lpstr>
      <vt:lpstr>vhigh_0</vt:lpstr>
      <vt:lpstr>vhigh_1</vt:lpstr>
      <vt:lpstr>vlow_ihigh0</vt:lpstr>
      <vt:lpstr>vlow_ihigh1</vt:lpstr>
      <vt:lpstr>vlow_ilow0</vt:lpstr>
      <vt:lpstr>vlow_ilow1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Dehuai (IFAG PMM ACDC AE LI)</dc:creator>
  <cp:lastModifiedBy>Viktar Bondar</cp:lastModifiedBy>
  <dcterms:created xsi:type="dcterms:W3CDTF">2017-07-19T06:38:53Z</dcterms:created>
  <dcterms:modified xsi:type="dcterms:W3CDTF">2025-07-11T15:12:31Z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0x010100983474779903834B9DA4A7BAAEF000DD</vt:lpwstr>
  </property>
</Properties>
</file>