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boyuan_chai_mail_utoronto_ca/Documents/Documents/Year 1 Term 1/PHY180 Classical Mechanics/Final Project (Pendulum)/PHY180 Code/"/>
    </mc:Choice>
  </mc:AlternateContent>
  <xr:revisionPtr revIDLastSave="757" documentId="8_{6FE9E99B-082B-4A27-B746-AE9480CA625E}" xr6:coauthVersionLast="47" xr6:coauthVersionMax="47" xr10:uidLastSave="{B84E2A4F-D516-4D16-81D9-7353BAF0B9F6}"/>
  <bookViews>
    <workbookView xWindow="-108" yWindow="-108" windowWidth="23256" windowHeight="12456" activeTab="3" xr2:uid="{61FF4F75-6A4F-4129-B01B-3BDE72F417BB}"/>
  </bookViews>
  <sheets>
    <sheet name="Lab 1 (Tracker)" sheetId="2" r:id="rId1"/>
    <sheet name="Lab 1 (Tracker) (2)" sheetId="3" r:id="rId2"/>
    <sheet name="Lab 1 (Tracker) (2, Sep Pts)" sheetId="4" r:id="rId3"/>
    <sheet name="Lab 2 (Length-Q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" i="3" l="1"/>
  <c r="U11" i="3"/>
  <c r="U3" i="3"/>
  <c r="U4" i="3"/>
  <c r="U5" i="3"/>
  <c r="U6" i="3"/>
  <c r="U7" i="3"/>
  <c r="U8" i="3"/>
  <c r="U9" i="3"/>
  <c r="U10" i="3"/>
  <c r="U2" i="3"/>
  <c r="Q9" i="5"/>
  <c r="Q4" i="5"/>
  <c r="Q5" i="5"/>
  <c r="Q6" i="5"/>
  <c r="Q7" i="5"/>
  <c r="Q8" i="5"/>
  <c r="Q3" i="5"/>
  <c r="P3" i="5"/>
  <c r="P9" i="5" s="1"/>
  <c r="P4" i="5"/>
  <c r="P5" i="5"/>
  <c r="P7" i="5"/>
  <c r="P8" i="5"/>
  <c r="D7" i="5"/>
  <c r="D6" i="5"/>
  <c r="H3" i="5"/>
  <c r="H4" i="5"/>
  <c r="H5" i="5"/>
  <c r="H6" i="5"/>
  <c r="H7" i="5"/>
  <c r="H2" i="5"/>
  <c r="D5" i="5"/>
  <c r="D4" i="5"/>
  <c r="D3" i="5"/>
  <c r="D2" i="5"/>
  <c r="B3" i="5"/>
  <c r="B4" i="5"/>
  <c r="B5" i="5"/>
  <c r="B6" i="5"/>
  <c r="B7" i="5"/>
  <c r="B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2" i="4"/>
  <c r="C31" i="4"/>
  <c r="C21" i="4"/>
  <c r="C11" i="4"/>
  <c r="C30" i="4"/>
  <c r="C20" i="4"/>
  <c r="C10" i="4"/>
  <c r="C29" i="4"/>
  <c r="C19" i="4"/>
  <c r="C9" i="4"/>
  <c r="C28" i="4"/>
  <c r="C18" i="4"/>
  <c r="C8" i="4"/>
  <c r="C27" i="4"/>
  <c r="C17" i="4"/>
  <c r="C7" i="4"/>
  <c r="C26" i="4"/>
  <c r="C16" i="4"/>
  <c r="C6" i="4"/>
  <c r="C25" i="4"/>
  <c r="C15" i="4"/>
  <c r="C5" i="4"/>
  <c r="C24" i="4"/>
  <c r="C14" i="4"/>
  <c r="C4" i="4"/>
  <c r="C23" i="4"/>
  <c r="C13" i="4"/>
  <c r="C3" i="4"/>
  <c r="C22" i="4"/>
  <c r="C12" i="4"/>
  <c r="C2" i="4"/>
  <c r="B16" i="2"/>
  <c r="H7" i="3"/>
  <c r="J7" i="3"/>
  <c r="I7" i="3"/>
  <c r="M7" i="3" a="1"/>
  <c r="M7" i="3" s="1"/>
  <c r="G7" i="3"/>
  <c r="J6" i="3"/>
  <c r="G6" i="3"/>
  <c r="M6" i="3" a="1"/>
  <c r="M6" i="3" s="1"/>
  <c r="E6" i="3"/>
  <c r="E7" i="3"/>
  <c r="I6" i="3"/>
  <c r="H6" i="3"/>
  <c r="K6" i="3" s="1"/>
  <c r="F7" i="3"/>
  <c r="F6" i="3"/>
  <c r="M3" i="3" a="1"/>
  <c r="M3" i="3" s="1"/>
  <c r="M4" i="3" a="1"/>
  <c r="M4" i="3" s="1"/>
  <c r="M5" i="3" a="1"/>
  <c r="M5" i="3" s="1"/>
  <c r="M8" i="3" a="1"/>
  <c r="M8" i="3" s="1"/>
  <c r="M9" i="3" a="1"/>
  <c r="M9" i="3" s="1"/>
  <c r="M10" i="3" a="1"/>
  <c r="M10" i="3" s="1"/>
  <c r="M11" i="3" a="1"/>
  <c r="M11" i="3" s="1"/>
  <c r="M2" i="3" a="1"/>
  <c r="M2" i="3" s="1"/>
  <c r="M3" i="2" a="1"/>
  <c r="M3" i="2" s="1"/>
  <c r="M4" i="2" a="1"/>
  <c r="M4" i="2"/>
  <c r="M5" i="2" a="1"/>
  <c r="M5" i="2"/>
  <c r="M6" i="2" a="1"/>
  <c r="M6" i="2"/>
  <c r="M7" i="2" a="1"/>
  <c r="M7" i="2" s="1"/>
  <c r="M8" i="2" a="1"/>
  <c r="M8" i="2"/>
  <c r="M9" i="2" a="1"/>
  <c r="M9" i="2"/>
  <c r="M10" i="2" a="1"/>
  <c r="M10" i="2"/>
  <c r="M11" i="2" a="1"/>
  <c r="M11" i="2" s="1"/>
  <c r="M12" i="2" a="1"/>
  <c r="M12" i="2" s="1"/>
  <c r="M13" i="2" a="1"/>
  <c r="M13" i="2" s="1"/>
  <c r="M2" i="2" a="1"/>
  <c r="M2" i="2" s="1"/>
  <c r="G3" i="2"/>
  <c r="G4" i="2"/>
  <c r="G5" i="2"/>
  <c r="G7" i="2"/>
  <c r="G9" i="2"/>
  <c r="G10" i="2"/>
  <c r="G11" i="2"/>
  <c r="G13" i="2"/>
  <c r="F3" i="2"/>
  <c r="F4" i="2"/>
  <c r="F5" i="2"/>
  <c r="F6" i="2"/>
  <c r="G6" i="2" s="1"/>
  <c r="F7" i="2"/>
  <c r="F8" i="2"/>
  <c r="G8" i="2" s="1"/>
  <c r="F9" i="2"/>
  <c r="F10" i="2"/>
  <c r="F11" i="2"/>
  <c r="F12" i="2"/>
  <c r="G12" i="2" s="1"/>
  <c r="F13" i="2"/>
  <c r="F2" i="2"/>
  <c r="G2" i="2" s="1"/>
  <c r="G3" i="3"/>
  <c r="G4" i="3"/>
  <c r="G5" i="3"/>
  <c r="G8" i="3"/>
  <c r="G9" i="3"/>
  <c r="G10" i="3"/>
  <c r="G11" i="3"/>
  <c r="G2" i="3"/>
  <c r="E9" i="3"/>
  <c r="E10" i="3"/>
  <c r="E11" i="3"/>
  <c r="E2" i="3"/>
  <c r="E3" i="3"/>
  <c r="E4" i="3"/>
  <c r="E5" i="3"/>
  <c r="E8" i="3"/>
  <c r="J2" i="3"/>
  <c r="I2" i="3"/>
  <c r="H2" i="3"/>
  <c r="J11" i="3"/>
  <c r="I11" i="3"/>
  <c r="H11" i="3"/>
  <c r="J4" i="3"/>
  <c r="I4" i="3"/>
  <c r="H4" i="3"/>
  <c r="J9" i="3"/>
  <c r="I9" i="3"/>
  <c r="H9" i="3"/>
  <c r="J3" i="3"/>
  <c r="I3" i="3"/>
  <c r="H3" i="3"/>
  <c r="J10" i="3"/>
  <c r="I10" i="3"/>
  <c r="H10" i="3"/>
  <c r="J5" i="3"/>
  <c r="I5" i="3"/>
  <c r="H5" i="3"/>
  <c r="J8" i="3"/>
  <c r="I8" i="3"/>
  <c r="H8" i="3"/>
  <c r="F11" i="3"/>
  <c r="F10" i="3"/>
  <c r="F9" i="3"/>
  <c r="F8" i="3"/>
  <c r="F5" i="3"/>
  <c r="F4" i="3"/>
  <c r="F3" i="3"/>
  <c r="F2" i="3"/>
  <c r="J2" i="2"/>
  <c r="I2" i="2"/>
  <c r="H2" i="2"/>
  <c r="K2" i="2" s="1"/>
  <c r="J3" i="2"/>
  <c r="I3" i="2"/>
  <c r="H3" i="2"/>
  <c r="J4" i="2"/>
  <c r="I4" i="2"/>
  <c r="J5" i="2"/>
  <c r="I5" i="2"/>
  <c r="B2" i="2"/>
  <c r="B3" i="2"/>
  <c r="B5" i="2"/>
  <c r="H5" i="2"/>
  <c r="B7" i="2"/>
  <c r="B8" i="2"/>
  <c r="B9" i="2"/>
  <c r="B10" i="2"/>
  <c r="B11" i="2"/>
  <c r="B12" i="2"/>
  <c r="B13" i="2"/>
  <c r="B4" i="2"/>
  <c r="B6" i="2"/>
  <c r="J13" i="2"/>
  <c r="J12" i="2"/>
  <c r="J11" i="2"/>
  <c r="J10" i="2"/>
  <c r="J9" i="2"/>
  <c r="J8" i="2"/>
  <c r="J7" i="2"/>
  <c r="J6" i="2"/>
  <c r="I13" i="2"/>
  <c r="I12" i="2"/>
  <c r="I11" i="2"/>
  <c r="I10" i="2"/>
  <c r="I9" i="2"/>
  <c r="I8" i="2"/>
  <c r="I7" i="2"/>
  <c r="I6" i="2"/>
  <c r="H13" i="2"/>
  <c r="K13" i="2" s="1"/>
  <c r="H12" i="2"/>
  <c r="H11" i="2"/>
  <c r="H10" i="2"/>
  <c r="H8" i="2"/>
  <c r="H7" i="2"/>
  <c r="H6" i="2"/>
  <c r="H4" i="2"/>
  <c r="K4" i="2" s="1"/>
  <c r="H9" i="2"/>
  <c r="K7" i="3" l="1"/>
  <c r="K9" i="3"/>
  <c r="K2" i="3"/>
  <c r="K3" i="2"/>
  <c r="K5" i="2"/>
  <c r="K6" i="2"/>
  <c r="K4" i="3"/>
  <c r="K5" i="3"/>
  <c r="K8" i="3"/>
  <c r="K3" i="3"/>
  <c r="K10" i="3"/>
  <c r="K11" i="3"/>
  <c r="K10" i="2"/>
  <c r="K8" i="2"/>
  <c r="K11" i="2"/>
  <c r="K12" i="2"/>
  <c r="K9" i="2"/>
  <c r="K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<sst xmlns="http://schemas.openxmlformats.org/spreadsheetml/2006/main" count="59" uniqueCount="38">
  <si>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*Positive to right, negative to left</t>
  </si>
  <si>
    <t>L - Length (cm)</t>
  </si>
  <si>
    <r>
      <rPr>
        <sz val="11"/>
        <color theme="1"/>
        <rFont val="Calibri"/>
        <family val="2"/>
      </rPr>
      <t xml:space="preserve">θ - </t>
    </r>
    <r>
      <rPr>
        <sz val="11"/>
        <color theme="1"/>
        <rFont val="Calibri"/>
        <family val="2"/>
        <scheme val="minor"/>
      </rPr>
      <t>Starting angle (deg)</t>
    </r>
  </si>
  <si>
    <t>1st Period</t>
  </si>
  <si>
    <t>2nd Period</t>
  </si>
  <si>
    <t>3rd Period</t>
  </si>
  <si>
    <t>*Measured from four periods then divide by 4</t>
  </si>
  <si>
    <t>Avg Period</t>
  </si>
  <si>
    <t>Errors</t>
  </si>
  <si>
    <r>
      <rPr>
        <sz val="11"/>
        <color theme="1"/>
        <rFont val="Calibri"/>
        <family val="2"/>
      </rPr>
      <t xml:space="preserve">θ - Ideal </t>
    </r>
    <r>
      <rPr>
        <sz val="11"/>
        <color theme="1"/>
        <rFont val="Calibri"/>
        <family val="2"/>
        <scheme val="minor"/>
      </rPr>
      <t>Starting angle (deg)</t>
    </r>
  </si>
  <si>
    <t>1st starting angle (deg)</t>
  </si>
  <si>
    <t>3rd starting angle (deg)</t>
  </si>
  <si>
    <t>2nd starting angle (deg)</t>
  </si>
  <si>
    <t>Avg starting angle</t>
  </si>
  <si>
    <r>
      <rPr>
        <sz val="11"/>
        <color theme="1"/>
        <rFont val="Calibri"/>
        <family val="2"/>
      </rPr>
      <t xml:space="preserve">θ - Ideal </t>
    </r>
    <r>
      <rPr>
        <sz val="11"/>
        <color theme="1"/>
        <rFont val="Calibri"/>
        <family val="2"/>
        <scheme val="minor"/>
      </rPr>
      <t>Starting angle (rad)</t>
    </r>
  </si>
  <si>
    <t>Avg starting angle (rad)</t>
  </si>
  <si>
    <t>Avg starting angle (deg)</t>
  </si>
  <si>
    <t>θ - Starting angle (deg)</t>
  </si>
  <si>
    <t>θ - Starting angle (rad)</t>
  </si>
  <si>
    <t>θ Error</t>
  </si>
  <si>
    <t>T - Period (s)</t>
  </si>
  <si>
    <t>T Error</t>
  </si>
  <si>
    <t>L - Length (m)</t>
  </si>
  <si>
    <t>Swings taken to get to 53% of initial amplitude</t>
  </si>
  <si>
    <t>Reason: Best attempt at setting length to CoM</t>
  </si>
  <si>
    <t>L Error (m)</t>
  </si>
  <si>
    <t>Q/5</t>
  </si>
  <si>
    <t>Q</t>
  </si>
  <si>
    <t>Q Error</t>
  </si>
  <si>
    <t>Q error calculations</t>
  </si>
  <si>
    <t>Residuals</t>
  </si>
  <si>
    <t>Error</t>
  </si>
  <si>
    <t>Worst error</t>
  </si>
  <si>
    <t>Stdev error</t>
  </si>
  <si>
    <t>Worst error % of Q</t>
  </si>
  <si>
    <t>θ  error</t>
  </si>
  <si>
    <t>Q error</t>
  </si>
  <si>
    <t>% Q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</si>
</sst>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882C-800A-440D-A38E-D97986407EBC}">
  <dimension ref="A1:N24"/>
  <sheetViews>
    <sheetView topLeftCell="A6" workbookViewId="0">
      <selection activeCell="L25" sqref="L25"/>
    </sheetView>
  </sheetViews>
  <sheetFormatPr defaultRowHeight="14.4" x14ac:dyDescent="0.3"/>
  <sheetData>
    <row r="1" spans="1:14" x14ac:dyDescent="0.3">
      <c r="A1" t="s">
        <v>2</v>
      </c>
      <c r="B1" t="s">
        <v>14</v>
      </c>
      <c r="C1" t="s">
        <v>10</v>
      </c>
      <c r="D1" t="s">
        <v>12</v>
      </c>
      <c r="E1" t="s">
        <v>11</v>
      </c>
      <c r="F1" t="s">
        <v>16</v>
      </c>
      <c r="G1" t="s">
        <v>15</v>
      </c>
      <c r="H1" t="s">
        <v>3</v>
      </c>
      <c r="I1" t="s">
        <v>4</v>
      </c>
      <c r="J1" t="s">
        <v>5</v>
      </c>
      <c r="K1" t="s">
        <v>7</v>
      </c>
      <c r="L1" t="s">
        <v>1</v>
      </c>
      <c r="M1" t="s">
        <v>8</v>
      </c>
    </row>
    <row r="2" spans="1:14" x14ac:dyDescent="0.3">
      <c r="A2">
        <v>-80</v>
      </c>
      <c r="B2">
        <f t="shared" ref="B2:B3" si="0">RADIANS(A2)</f>
        <v>-1.3962634015954636</v>
      </c>
      <c r="C2">
        <v>-64.5</v>
      </c>
      <c r="D2">
        <v>-66.3</v>
      </c>
      <c r="E2">
        <v>-67.099999999999994</v>
      </c>
      <c r="F2">
        <f>AVERAGE(C2:E2)</f>
        <v>-65.966666666666669</v>
      </c>
      <c r="G2">
        <f>RADIANS(F2)</f>
        <v>-1.1513355298989261</v>
      </c>
      <c r="H2">
        <f>4.389/4</f>
        <v>1.0972500000000001</v>
      </c>
      <c r="I2">
        <f>4.389/4</f>
        <v>1.0972500000000001</v>
      </c>
      <c r="J2">
        <f>4.356/4</f>
        <v>1.089</v>
      </c>
      <c r="K2">
        <f t="shared" ref="K2:K3" si="1">AVERAGE(H2:J2)</f>
        <v>1.0945</v>
      </c>
      <c r="L2">
        <v>26.5</v>
      </c>
      <c r="M2" cm="1">
        <f t="array" ref="M2">_xlfn.STDEV.P(RADIANS(C2:E2))/SQRT(3)</f>
        <v>1.0956360146019346E-2</v>
      </c>
      <c r="N2">
        <v>3.3000000000000002E-2</v>
      </c>
    </row>
    <row r="3" spans="1:14" x14ac:dyDescent="0.3">
      <c r="A3">
        <v>-60</v>
      </c>
      <c r="B3">
        <f t="shared" si="0"/>
        <v>-1.0471975511965976</v>
      </c>
      <c r="C3">
        <v>-48.4</v>
      </c>
      <c r="D3">
        <v>-53.6</v>
      </c>
      <c r="E3">
        <v>-53.7</v>
      </c>
      <c r="F3">
        <f t="shared" ref="F3:F13" si="2">AVERAGE(C3:E3)</f>
        <v>-51.9</v>
      </c>
      <c r="G3">
        <f t="shared" ref="G3:G13" si="3">RADIANS(F3)</f>
        <v>-0.90582588178505696</v>
      </c>
      <c r="H3">
        <f>4.224/4</f>
        <v>1.056</v>
      </c>
      <c r="I3">
        <f>4.191/4</f>
        <v>1.04775</v>
      </c>
      <c r="J3">
        <f>4.224/4</f>
        <v>1.056</v>
      </c>
      <c r="K3">
        <f t="shared" si="1"/>
        <v>1.05325</v>
      </c>
      <c r="L3">
        <v>26.5</v>
      </c>
      <c r="M3" cm="1">
        <f t="array" ref="M3">_xlfn.STDEV.P(RADIANS(C3:E3))/SQRT(3)</f>
        <v>2.4941861677998549E-2</v>
      </c>
      <c r="N3">
        <v>3.3000000000000002E-2</v>
      </c>
    </row>
    <row r="4" spans="1:14" x14ac:dyDescent="0.3">
      <c r="A4">
        <v>-40</v>
      </c>
      <c r="B4">
        <f>RADIANS(A4)</f>
        <v>-0.69813170079773179</v>
      </c>
      <c r="C4">
        <v>-40.700000000000003</v>
      </c>
      <c r="D4">
        <v>-37.9</v>
      </c>
      <c r="E4">
        <v>-37</v>
      </c>
      <c r="F4">
        <f t="shared" si="2"/>
        <v>-38.533333333333331</v>
      </c>
      <c r="G4">
        <f t="shared" si="3"/>
        <v>-0.67253353843514829</v>
      </c>
      <c r="H4">
        <f>4.241/4</f>
        <v>1.0602499999999999</v>
      </c>
      <c r="I4">
        <f>4.125/4</f>
        <v>1.03125</v>
      </c>
      <c r="J4">
        <f>4.092/4</f>
        <v>1.0229999999999999</v>
      </c>
      <c r="K4">
        <f>AVERAGE(H4:J4)</f>
        <v>1.0381666666666665</v>
      </c>
      <c r="L4">
        <v>26.5</v>
      </c>
      <c r="M4" cm="1">
        <f t="array" ref="M4">_xlfn.STDEV.P(RADIANS(C4:E4))/SQRT(3)</f>
        <v>1.5875853033990188E-2</v>
      </c>
      <c r="N4">
        <v>3.3000000000000002E-2</v>
      </c>
    </row>
    <row r="5" spans="1:14" x14ac:dyDescent="0.3">
      <c r="A5">
        <v>-20</v>
      </c>
      <c r="B5">
        <f>RADIANS(A5)</f>
        <v>-0.3490658503988659</v>
      </c>
      <c r="C5">
        <v>-18.399999999999999</v>
      </c>
      <c r="D5">
        <v>-19.3</v>
      </c>
      <c r="E5">
        <v>-20.100000000000001</v>
      </c>
      <c r="F5">
        <f t="shared" si="2"/>
        <v>-19.266666666666669</v>
      </c>
      <c r="G5">
        <f t="shared" si="3"/>
        <v>-0.3362667692175742</v>
      </c>
      <c r="H5">
        <f>4.059/4</f>
        <v>1.01475</v>
      </c>
      <c r="I5">
        <f>4.059/4</f>
        <v>1.01475</v>
      </c>
      <c r="J5">
        <f>4.059/4</f>
        <v>1.01475</v>
      </c>
      <c r="K5">
        <f>AVERAGE(H5:J5)</f>
        <v>1.01475</v>
      </c>
      <c r="L5">
        <v>26.5</v>
      </c>
      <c r="M5" cm="1">
        <f t="array" ref="M5">_xlfn.STDEV.P(RADIANS(C5:E5))/SQRT(3)</f>
        <v>6.997458802954745E-3</v>
      </c>
      <c r="N5">
        <v>3.3000000000000002E-2</v>
      </c>
    </row>
    <row r="6" spans="1:14" x14ac:dyDescent="0.3">
      <c r="A6">
        <v>10</v>
      </c>
      <c r="B6">
        <f>RADIANS(A6)</f>
        <v>0.17453292519943295</v>
      </c>
      <c r="C6">
        <v>13.4</v>
      </c>
      <c r="D6">
        <v>13.5</v>
      </c>
      <c r="E6">
        <v>11.6</v>
      </c>
      <c r="F6">
        <f t="shared" si="2"/>
        <v>12.833333333333334</v>
      </c>
      <c r="G6">
        <f t="shared" si="3"/>
        <v>0.22398392067260564</v>
      </c>
      <c r="H6">
        <f>4.13/4</f>
        <v>1.0325</v>
      </c>
      <c r="I6">
        <f>4.092/4</f>
        <v>1.0229999999999999</v>
      </c>
      <c r="J6">
        <f>3.993/4</f>
        <v>0.99824999999999997</v>
      </c>
      <c r="K6">
        <f>AVERAGE(H6:J6)</f>
        <v>1.0179166666666666</v>
      </c>
      <c r="L6">
        <v>26.5</v>
      </c>
      <c r="M6" cm="1">
        <f t="array" ref="M6">_xlfn.STDEV.P(RADIANS(C6:E6))/SQRT(3)</f>
        <v>8.7974649120721969E-3</v>
      </c>
      <c r="N6">
        <v>3.3000000000000002E-2</v>
      </c>
    </row>
    <row r="7" spans="1:14" x14ac:dyDescent="0.3">
      <c r="A7">
        <v>20</v>
      </c>
      <c r="B7">
        <f t="shared" ref="B7:B13" si="4">RADIANS(A7)</f>
        <v>0.3490658503988659</v>
      </c>
      <c r="C7">
        <v>20.8</v>
      </c>
      <c r="D7">
        <v>18</v>
      </c>
      <c r="E7">
        <v>13.7</v>
      </c>
      <c r="F7">
        <f t="shared" si="2"/>
        <v>17.5</v>
      </c>
      <c r="G7">
        <f t="shared" si="3"/>
        <v>0.30543261909900765</v>
      </c>
      <c r="H7">
        <f>4.163/4</f>
        <v>1.0407500000000001</v>
      </c>
      <c r="I7">
        <f>4.125/4</f>
        <v>1.03125</v>
      </c>
      <c r="J7">
        <f>4.125/4</f>
        <v>1.03125</v>
      </c>
      <c r="K7">
        <f t="shared" ref="K7:K13" si="5">AVERAGE(H7:J7)</f>
        <v>1.0344166666666668</v>
      </c>
      <c r="L7">
        <v>26.5</v>
      </c>
      <c r="M7" cm="1">
        <f t="array" ref="M7">_xlfn.STDEV.P(RADIANS(C7:E7))/SQRT(3)</f>
        <v>2.9424316471139515E-2</v>
      </c>
      <c r="N7">
        <v>3.3000000000000002E-2</v>
      </c>
    </row>
    <row r="8" spans="1:14" x14ac:dyDescent="0.3">
      <c r="A8">
        <v>30</v>
      </c>
      <c r="B8">
        <f t="shared" si="4"/>
        <v>0.52359877559829882</v>
      </c>
      <c r="C8">
        <v>29.1</v>
      </c>
      <c r="D8">
        <v>30.2</v>
      </c>
      <c r="E8">
        <v>30.1</v>
      </c>
      <c r="F8">
        <f t="shared" si="2"/>
        <v>29.8</v>
      </c>
      <c r="G8">
        <f t="shared" si="3"/>
        <v>0.52010811709431026</v>
      </c>
      <c r="H8">
        <f>4.196/4</f>
        <v>1.0489999999999999</v>
      </c>
      <c r="I8">
        <f>4.059/4</f>
        <v>1.01475</v>
      </c>
      <c r="J8">
        <f>4.059/4</f>
        <v>1.01475</v>
      </c>
      <c r="K8">
        <f t="shared" si="5"/>
        <v>1.0261666666666667</v>
      </c>
      <c r="L8">
        <v>26.5</v>
      </c>
      <c r="M8" cm="1">
        <f t="array" ref="M8">_xlfn.STDEV.P(RADIANS(C8:E8))/SQRT(3)</f>
        <v>5.0046299745797988E-3</v>
      </c>
      <c r="N8">
        <v>3.3000000000000002E-2</v>
      </c>
    </row>
    <row r="9" spans="1:14" x14ac:dyDescent="0.3">
      <c r="A9">
        <v>40</v>
      </c>
      <c r="B9">
        <f t="shared" si="4"/>
        <v>0.69813170079773179</v>
      </c>
      <c r="C9">
        <v>40.5</v>
      </c>
      <c r="D9">
        <v>39.9</v>
      </c>
      <c r="E9">
        <v>37</v>
      </c>
      <c r="F9">
        <f t="shared" si="2"/>
        <v>39.133333333333333</v>
      </c>
      <c r="G9">
        <f t="shared" si="3"/>
        <v>0.68300551394711428</v>
      </c>
      <c r="H9">
        <f>4.275/4</f>
        <v>1.0687500000000001</v>
      </c>
      <c r="I9">
        <f>4.191/4</f>
        <v>1.04775</v>
      </c>
      <c r="J9">
        <f>4.191/4</f>
        <v>1.04775</v>
      </c>
      <c r="K9">
        <f t="shared" si="5"/>
        <v>1.0547500000000001</v>
      </c>
      <c r="L9">
        <v>26.5</v>
      </c>
      <c r="M9" cm="1">
        <f t="array" ref="M9">_xlfn.STDEV.P(RADIANS(C9:E9))/SQRT(3)</f>
        <v>1.5399685138576105E-2</v>
      </c>
      <c r="N9">
        <v>3.3000000000000002E-2</v>
      </c>
    </row>
    <row r="10" spans="1:14" x14ac:dyDescent="0.3">
      <c r="A10">
        <v>50</v>
      </c>
      <c r="B10">
        <f t="shared" si="4"/>
        <v>0.87266462599716477</v>
      </c>
      <c r="C10">
        <v>49</v>
      </c>
      <c r="D10">
        <v>47.2</v>
      </c>
      <c r="E10">
        <v>49.8</v>
      </c>
      <c r="F10">
        <f t="shared" si="2"/>
        <v>48.666666666666664</v>
      </c>
      <c r="G10">
        <f t="shared" si="3"/>
        <v>0.84939356930390697</v>
      </c>
      <c r="H10">
        <f>4.495/4</f>
        <v>1.12375</v>
      </c>
      <c r="I10">
        <f>4.224/4</f>
        <v>1.056</v>
      </c>
      <c r="J10">
        <f>4.29/4</f>
        <v>1.0725</v>
      </c>
      <c r="K10">
        <f t="shared" si="5"/>
        <v>1.0840833333333333</v>
      </c>
      <c r="L10">
        <v>26.5</v>
      </c>
      <c r="M10" cm="1">
        <f t="array" ref="M10">_xlfn.STDEV.P(RADIANS(C10:E10))/SQRT(3)</f>
        <v>1.0956360146019316E-2</v>
      </c>
      <c r="N10">
        <v>3.3000000000000002E-2</v>
      </c>
    </row>
    <row r="11" spans="1:14" x14ac:dyDescent="0.3">
      <c r="A11">
        <v>60</v>
      </c>
      <c r="B11">
        <f t="shared" si="4"/>
        <v>1.0471975511965976</v>
      </c>
      <c r="C11">
        <v>54.4</v>
      </c>
      <c r="D11">
        <v>56.1</v>
      </c>
      <c r="E11">
        <v>57.9</v>
      </c>
      <c r="F11">
        <f t="shared" si="2"/>
        <v>56.133333333333333</v>
      </c>
      <c r="G11">
        <f t="shared" si="3"/>
        <v>0.97971148678615028</v>
      </c>
      <c r="H11">
        <f>4.296/4</f>
        <v>1.0740000000000001</v>
      </c>
      <c r="I11">
        <f>4.323/4</f>
        <v>1.0807500000000001</v>
      </c>
      <c r="J11">
        <f>4.356/4</f>
        <v>1.089</v>
      </c>
      <c r="K11">
        <f t="shared" si="5"/>
        <v>1.08125</v>
      </c>
      <c r="L11">
        <v>26.5</v>
      </c>
      <c r="M11" cm="1">
        <f t="array" ref="M11">_xlfn.STDEV.P(RADIANS(C11:E11))/SQRT(3)</f>
        <v>1.4400190553882856E-2</v>
      </c>
      <c r="N11">
        <v>3.3000000000000002E-2</v>
      </c>
    </row>
    <row r="12" spans="1:14" x14ac:dyDescent="0.3">
      <c r="A12">
        <v>70</v>
      </c>
      <c r="B12">
        <f t="shared" si="4"/>
        <v>1.2217304763960306</v>
      </c>
      <c r="C12">
        <v>69</v>
      </c>
      <c r="D12">
        <v>64.8</v>
      </c>
      <c r="E12">
        <v>66.3</v>
      </c>
      <c r="F12">
        <f t="shared" si="2"/>
        <v>66.7</v>
      </c>
      <c r="G12">
        <f t="shared" si="3"/>
        <v>1.1641346110802178</v>
      </c>
      <c r="H12">
        <f>4.389/4</f>
        <v>1.0972500000000001</v>
      </c>
      <c r="I12">
        <f>4.455/4</f>
        <v>1.11375</v>
      </c>
      <c r="J12">
        <f>4.356/4</f>
        <v>1.089</v>
      </c>
      <c r="K12">
        <f t="shared" si="5"/>
        <v>1.1000000000000001</v>
      </c>
      <c r="L12">
        <v>26.5</v>
      </c>
      <c r="M12" cm="1">
        <f t="array" ref="M12">_xlfn.STDEV.P(RADIANS(C12:E12))/SQRT(3)</f>
        <v>1.7511373520808862E-2</v>
      </c>
      <c r="N12">
        <v>3.3000000000000002E-2</v>
      </c>
    </row>
    <row r="13" spans="1:14" x14ac:dyDescent="0.3">
      <c r="A13">
        <v>80</v>
      </c>
      <c r="B13">
        <f t="shared" si="4"/>
        <v>1.3962634015954636</v>
      </c>
      <c r="C13">
        <v>74.099999999999994</v>
      </c>
      <c r="D13">
        <v>70.599999999999994</v>
      </c>
      <c r="E13">
        <v>70.599999999999994</v>
      </c>
      <c r="F13">
        <f t="shared" si="2"/>
        <v>71.766666666666666</v>
      </c>
      <c r="G13">
        <f t="shared" si="3"/>
        <v>1.2525646265145971</v>
      </c>
      <c r="H13">
        <f>4.488/4</f>
        <v>1.1220000000000001</v>
      </c>
      <c r="I13">
        <f>4.422/4</f>
        <v>1.1054999999999999</v>
      </c>
      <c r="J13">
        <f>4.455/4</f>
        <v>1.11375</v>
      </c>
      <c r="K13">
        <f t="shared" si="5"/>
        <v>1.11375</v>
      </c>
      <c r="L13">
        <v>26.5</v>
      </c>
      <c r="M13" cm="1">
        <f t="array" ref="M13">_xlfn.STDEV.P(RADIANS(C13:E13))/SQRT(3)</f>
        <v>1.6625645946542675E-2</v>
      </c>
      <c r="N13">
        <v>3.3000000000000002E-2</v>
      </c>
    </row>
    <row r="16" spans="1:14" x14ac:dyDescent="0.3">
      <c r="B16">
        <f>RADIANS(2.7)</f>
        <v>4.7123889803846901E-2</v>
      </c>
    </row>
    <row r="23" spans="1:8" x14ac:dyDescent="0.3">
      <c r="A23" t="s">
        <v>0</v>
      </c>
    </row>
    <row r="24" spans="1:8" x14ac:dyDescent="0.3">
      <c r="H24" t="s">
        <v>6</v>
      </c>
    </row>
  </sheetData>
  <pageMargins left="0.7" right="0.7" top="0.75" bottom="0.75" header="0.3" footer="0.3"/>
  <pageSetup paperSize="9" orientation="portrait" horizontalDpi="4294967293" verticalDpi="1200" r:id="rId1"/>
  <ignoredErrors>
    <ignoredError sqref="I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1391-C15D-4E0A-8885-1262FF0959A6}">
  <dimension ref="A1:U22"/>
  <sheetViews>
    <sheetView topLeftCell="I1" zoomScale="172" workbookViewId="0">
      <selection activeCell="T2" sqref="T2"/>
    </sheetView>
  </sheetViews>
  <sheetFormatPr defaultRowHeight="14.4" x14ac:dyDescent="0.3"/>
  <sheetData>
    <row r="1" spans="1:21" x14ac:dyDescent="0.3">
      <c r="A1" t="s">
        <v>9</v>
      </c>
      <c r="B1" t="s">
        <v>10</v>
      </c>
      <c r="C1" t="s">
        <v>12</v>
      </c>
      <c r="D1" t="s">
        <v>11</v>
      </c>
      <c r="E1" t="s">
        <v>13</v>
      </c>
      <c r="F1" t="s">
        <v>14</v>
      </c>
      <c r="G1" t="s">
        <v>15</v>
      </c>
      <c r="H1" t="s">
        <v>3</v>
      </c>
      <c r="I1" t="s">
        <v>4</v>
      </c>
      <c r="J1" t="s">
        <v>5</v>
      </c>
      <c r="K1" t="s">
        <v>7</v>
      </c>
      <c r="L1" t="s">
        <v>1</v>
      </c>
      <c r="M1" t="s">
        <v>8</v>
      </c>
      <c r="Q1" t="s">
        <v>14</v>
      </c>
      <c r="R1" t="s">
        <v>27</v>
      </c>
      <c r="S1" s="1" t="s">
        <v>35</v>
      </c>
      <c r="T1" t="s">
        <v>36</v>
      </c>
      <c r="U1" t="s">
        <v>37</v>
      </c>
    </row>
    <row r="2" spans="1:21" x14ac:dyDescent="0.3">
      <c r="A2">
        <v>-80</v>
      </c>
      <c r="B2">
        <v>-66.7</v>
      </c>
      <c r="C2">
        <v>-64.900000000000006</v>
      </c>
      <c r="D2">
        <v>-68.3</v>
      </c>
      <c r="E2">
        <f t="shared" ref="E2:E11" si="0">AVERAGE(B2:D2)</f>
        <v>-66.63333333333334</v>
      </c>
      <c r="F2">
        <f t="shared" ref="F2:F3" si="1">RADIANS(A2)</f>
        <v>-1.3962634015954636</v>
      </c>
      <c r="G2">
        <f>RADIANS(D2)</f>
        <v>-1.1920598791121271</v>
      </c>
      <c r="H2">
        <f>4.488/4</f>
        <v>1.1220000000000001</v>
      </c>
      <c r="I2">
        <f>4.422/4</f>
        <v>1.1054999999999999</v>
      </c>
      <c r="J2">
        <f>4.488/4</f>
        <v>1.1220000000000001</v>
      </c>
      <c r="K2">
        <f t="shared" ref="K2:K3" si="2">AVERAGE(H2:J2)</f>
        <v>1.1165</v>
      </c>
      <c r="L2">
        <v>26.5</v>
      </c>
      <c r="M2" cm="1">
        <f t="array" ref="M2">_xlfn.STDEV.P(RADIANS(B2:D2))/SQRT(3)</f>
        <v>1.3994917605909438E-2</v>
      </c>
      <c r="N2">
        <v>1.7000000000000001E-2</v>
      </c>
      <c r="Q2">
        <v>0.17452999999999999</v>
      </c>
      <c r="R2">
        <v>220</v>
      </c>
      <c r="S2">
        <v>0.05</v>
      </c>
      <c r="T2">
        <v>10</v>
      </c>
      <c r="U2">
        <f>T2/R2</f>
        <v>4.5454545454545456E-2</v>
      </c>
    </row>
    <row r="3" spans="1:21" x14ac:dyDescent="0.3">
      <c r="A3">
        <v>-60</v>
      </c>
      <c r="B3">
        <v>-50.2</v>
      </c>
      <c r="C3">
        <v>-54.2</v>
      </c>
      <c r="D3">
        <v>-52.7</v>
      </c>
      <c r="E3">
        <f t="shared" si="0"/>
        <v>-52.366666666666674</v>
      </c>
      <c r="F3">
        <f t="shared" si="1"/>
        <v>-1.0471975511965976</v>
      </c>
      <c r="G3">
        <f t="shared" ref="G3:G11" si="3">RADIANS(D3)</f>
        <v>-0.91978851580101173</v>
      </c>
      <c r="H3">
        <f>4.521/4</f>
        <v>1.13025</v>
      </c>
      <c r="I3">
        <f>4.521/4</f>
        <v>1.13025</v>
      </c>
      <c r="J3">
        <f>4.521/4</f>
        <v>1.13025</v>
      </c>
      <c r="K3">
        <f t="shared" si="2"/>
        <v>1.13025</v>
      </c>
      <c r="L3">
        <v>26.5</v>
      </c>
      <c r="M3" cm="1">
        <f t="array" ref="M3">_xlfn.STDEV.P(RADIANS(B3:D3))/SQRT(3)</f>
        <v>1.6625645946542707E-2</v>
      </c>
      <c r="N3">
        <v>1.7000000000000001E-2</v>
      </c>
      <c r="Q3">
        <v>0.26179000000000002</v>
      </c>
      <c r="R3">
        <v>250</v>
      </c>
      <c r="S3">
        <v>0.05</v>
      </c>
      <c r="T3">
        <v>10</v>
      </c>
      <c r="U3">
        <f t="shared" ref="U3:U10" si="4">T3/R3</f>
        <v>0.04</v>
      </c>
    </row>
    <row r="4" spans="1:21" x14ac:dyDescent="0.3">
      <c r="A4">
        <v>-40</v>
      </c>
      <c r="B4">
        <v>-33.799999999999997</v>
      </c>
      <c r="C4">
        <v>-33.4</v>
      </c>
      <c r="D4">
        <v>-32.9</v>
      </c>
      <c r="E4">
        <f t="shared" si="0"/>
        <v>-33.366666666666667</v>
      </c>
      <c r="F4">
        <f>RADIANS(A4)</f>
        <v>-0.69813170079773179</v>
      </c>
      <c r="G4">
        <f t="shared" si="3"/>
        <v>-0.57421332390613444</v>
      </c>
      <c r="H4">
        <f>4.191/4</f>
        <v>1.04775</v>
      </c>
      <c r="I4">
        <f>4.191/4</f>
        <v>1.04775</v>
      </c>
      <c r="J4">
        <f>4.092/4</f>
        <v>1.0229999999999999</v>
      </c>
      <c r="K4">
        <f>AVERAGE(H4:J4)</f>
        <v>1.0395000000000001</v>
      </c>
      <c r="L4">
        <v>26.5</v>
      </c>
      <c r="M4" cm="1">
        <f t="array" ref="M4">_xlfn.STDEV.P(RADIANS(B4:D4))/SQRT(3)</f>
        <v>3.7100127390206575E-3</v>
      </c>
      <c r="N4">
        <v>1.7000000000000001E-2</v>
      </c>
      <c r="Q4">
        <v>0.34905999999999998</v>
      </c>
      <c r="R4">
        <v>240</v>
      </c>
      <c r="S4">
        <v>0.05</v>
      </c>
      <c r="T4">
        <v>10</v>
      </c>
      <c r="U4">
        <f t="shared" si="4"/>
        <v>4.1666666666666664E-2</v>
      </c>
    </row>
    <row r="5" spans="1:21" x14ac:dyDescent="0.3">
      <c r="A5">
        <v>-20</v>
      </c>
      <c r="B5">
        <v>-18</v>
      </c>
      <c r="C5">
        <v>-18.8</v>
      </c>
      <c r="D5">
        <v>-18.899999999999999</v>
      </c>
      <c r="E5">
        <f t="shared" si="0"/>
        <v>-18.566666666666666</v>
      </c>
      <c r="F5">
        <f>RADIANS(A5)</f>
        <v>-0.3490658503988659</v>
      </c>
      <c r="G5">
        <f t="shared" si="3"/>
        <v>-0.32986722862692824</v>
      </c>
      <c r="H5">
        <f>4.125/4</f>
        <v>1.03125</v>
      </c>
      <c r="I5">
        <f>4.158/4</f>
        <v>1.0395000000000001</v>
      </c>
      <c r="J5">
        <f>4.191/4</f>
        <v>1.04775</v>
      </c>
      <c r="K5">
        <f>AVERAGE(H5:J5)</f>
        <v>1.0395000000000001</v>
      </c>
      <c r="L5">
        <v>26.5</v>
      </c>
      <c r="M5" cm="1">
        <f t="array" ref="M5">_xlfn.STDEV.P(RADIANS(B5:D5))/SQRT(3)</f>
        <v>4.0585594638738228E-3</v>
      </c>
      <c r="N5">
        <v>1.7000000000000001E-2</v>
      </c>
      <c r="Q5">
        <v>0.43633</v>
      </c>
      <c r="R5">
        <v>225</v>
      </c>
      <c r="S5">
        <v>0.05</v>
      </c>
      <c r="T5">
        <v>10</v>
      </c>
      <c r="U5">
        <f t="shared" si="4"/>
        <v>4.4444444444444446E-2</v>
      </c>
    </row>
    <row r="6" spans="1:21" x14ac:dyDescent="0.3">
      <c r="A6">
        <v>-10</v>
      </c>
      <c r="B6">
        <v>-7.1</v>
      </c>
      <c r="C6">
        <v>-9.1</v>
      </c>
      <c r="D6">
        <v>-10.6</v>
      </c>
      <c r="E6">
        <f t="shared" si="0"/>
        <v>-8.9333333333333318</v>
      </c>
      <c r="F6">
        <f>RADIANS(A6)</f>
        <v>-0.17453292519943295</v>
      </c>
      <c r="G6">
        <f t="shared" si="3"/>
        <v>-0.18500490071139894</v>
      </c>
      <c r="H6">
        <f>4.092/4</f>
        <v>1.0229999999999999</v>
      </c>
      <c r="I6">
        <f>4.092/4</f>
        <v>1.0229999999999999</v>
      </c>
      <c r="J6">
        <f>4.092/4</f>
        <v>1.0229999999999999</v>
      </c>
      <c r="K6">
        <f t="shared" ref="K6:K7" si="5">AVERAGE(H6:J6)</f>
        <v>1.0229999999999999</v>
      </c>
      <c r="L6">
        <v>26.5</v>
      </c>
      <c r="M6" cm="1">
        <f t="array" ref="M6">_xlfn.STDEV.P(RADIANS(B6:D6))/SQRT(3)</f>
        <v>1.4447122315090636E-2</v>
      </c>
      <c r="N6">
        <v>1.7000000000000001E-2</v>
      </c>
      <c r="Q6">
        <v>0.52400000000000002</v>
      </c>
      <c r="R6">
        <v>205</v>
      </c>
      <c r="S6">
        <v>0.05</v>
      </c>
      <c r="T6">
        <v>10</v>
      </c>
      <c r="U6">
        <f t="shared" si="4"/>
        <v>4.878048780487805E-2</v>
      </c>
    </row>
    <row r="7" spans="1:21" x14ac:dyDescent="0.3">
      <c r="A7">
        <v>10</v>
      </c>
      <c r="B7">
        <v>6.6</v>
      </c>
      <c r="C7">
        <v>5.6</v>
      </c>
      <c r="D7">
        <v>6.3</v>
      </c>
      <c r="E7">
        <f>AVERAGE(C7:D7)</f>
        <v>5.9499999999999993</v>
      </c>
      <c r="F7">
        <f>RADIANS(A7)</f>
        <v>0.17453292519943295</v>
      </c>
      <c r="G7">
        <f t="shared" si="3"/>
        <v>0.10995574287564276</v>
      </c>
      <c r="H7">
        <f>4.13/4</f>
        <v>1.0325</v>
      </c>
      <c r="I7">
        <f>4.092/4</f>
        <v>1.0229999999999999</v>
      </c>
      <c r="J7">
        <f>4.059/4</f>
        <v>1.01475</v>
      </c>
      <c r="K7">
        <f t="shared" si="5"/>
        <v>1.0234166666666666</v>
      </c>
      <c r="L7">
        <v>26.5</v>
      </c>
      <c r="M7" cm="1">
        <f t="array" ref="M7">_xlfn.STDEV.P(RADIANS(C7:D7))/SQRT(3)</f>
        <v>3.5268320971220909E-3</v>
      </c>
      <c r="N7">
        <v>1.7000000000000001E-2</v>
      </c>
      <c r="Q7">
        <v>0.61087000000000002</v>
      </c>
      <c r="R7">
        <v>200</v>
      </c>
      <c r="S7">
        <v>0.05</v>
      </c>
      <c r="T7">
        <v>10</v>
      </c>
      <c r="U7">
        <f t="shared" si="4"/>
        <v>0.05</v>
      </c>
    </row>
    <row r="8" spans="1:21" x14ac:dyDescent="0.3">
      <c r="A8">
        <v>20</v>
      </c>
      <c r="B8">
        <v>13.7</v>
      </c>
      <c r="C8">
        <v>15.4</v>
      </c>
      <c r="D8">
        <v>14.6</v>
      </c>
      <c r="E8">
        <f>AVERAGE(B8:D8)</f>
        <v>14.566666666666668</v>
      </c>
      <c r="F8">
        <f t="shared" ref="F8:F11" si="6">RADIANS(A8)</f>
        <v>0.3490658503988659</v>
      </c>
      <c r="G8">
        <f t="shared" si="3"/>
        <v>0.25481807079117214</v>
      </c>
      <c r="H8">
        <f>4.059/4</f>
        <v>1.01475</v>
      </c>
      <c r="I8">
        <f>4.125/4</f>
        <v>1.03125</v>
      </c>
      <c r="J8">
        <f>4.092/4</f>
        <v>1.0229999999999999</v>
      </c>
      <c r="K8">
        <f t="shared" ref="K8:K11" si="7">AVERAGE(H8:J8)</f>
        <v>1.0229999999999999</v>
      </c>
      <c r="L8">
        <v>26.5</v>
      </c>
      <c r="M8" cm="1">
        <f t="array" ref="M8">_xlfn.STDEV.P(RADIANS(B8:D8))/SQRT(3)</f>
        <v>6.997458802954732E-3</v>
      </c>
      <c r="N8">
        <v>1.7000000000000001E-2</v>
      </c>
      <c r="Q8">
        <v>0.69813000000000003</v>
      </c>
      <c r="R8">
        <v>210</v>
      </c>
      <c r="S8">
        <v>0.05</v>
      </c>
      <c r="T8">
        <v>10</v>
      </c>
      <c r="U8">
        <f t="shared" si="4"/>
        <v>4.7619047619047616E-2</v>
      </c>
    </row>
    <row r="9" spans="1:21" x14ac:dyDescent="0.3">
      <c r="A9">
        <v>40</v>
      </c>
      <c r="B9">
        <v>35.6</v>
      </c>
      <c r="C9">
        <v>34.1</v>
      </c>
      <c r="D9">
        <v>33.9</v>
      </c>
      <c r="E9">
        <f t="shared" si="0"/>
        <v>34.533333333333331</v>
      </c>
      <c r="F9">
        <f t="shared" si="6"/>
        <v>0.69813170079773179</v>
      </c>
      <c r="G9">
        <f t="shared" si="3"/>
        <v>0.59166661642607765</v>
      </c>
      <c r="H9">
        <f>4.125/4</f>
        <v>1.03125</v>
      </c>
      <c r="I9">
        <f>4.125/4</f>
        <v>1.03125</v>
      </c>
      <c r="J9">
        <f>4.059/4</f>
        <v>1.01475</v>
      </c>
      <c r="K9">
        <f t="shared" si="7"/>
        <v>1.0257500000000002</v>
      </c>
      <c r="L9">
        <v>26.5</v>
      </c>
      <c r="M9" cm="1">
        <f t="array" ref="M9">_xlfn.STDEV.P(RADIANS(B9:D9))/SQRT(3)</f>
        <v>7.6446985612522991E-3</v>
      </c>
      <c r="N9">
        <v>1.7000000000000001E-2</v>
      </c>
      <c r="Q9">
        <v>0.78539999999999999</v>
      </c>
      <c r="R9">
        <v>215</v>
      </c>
      <c r="S9">
        <v>0.05</v>
      </c>
      <c r="T9">
        <v>10</v>
      </c>
      <c r="U9">
        <f t="shared" si="4"/>
        <v>4.6511627906976744E-2</v>
      </c>
    </row>
    <row r="10" spans="1:21" x14ac:dyDescent="0.3">
      <c r="A10">
        <v>60</v>
      </c>
      <c r="B10">
        <v>47.8</v>
      </c>
      <c r="C10">
        <v>52.6</v>
      </c>
      <c r="D10">
        <v>54.4</v>
      </c>
      <c r="E10">
        <f t="shared" si="0"/>
        <v>51.6</v>
      </c>
      <c r="F10">
        <f t="shared" si="6"/>
        <v>1.0471975511965976</v>
      </c>
      <c r="G10">
        <f t="shared" si="3"/>
        <v>0.94945911308491526</v>
      </c>
      <c r="H10">
        <f>4.389/4</f>
        <v>1.0972500000000001</v>
      </c>
      <c r="I10">
        <f>4.389/4</f>
        <v>1.0972500000000001</v>
      </c>
      <c r="J10">
        <f>4.422/4</f>
        <v>1.1054999999999999</v>
      </c>
      <c r="K10">
        <f t="shared" si="7"/>
        <v>1.0999999999999999</v>
      </c>
      <c r="L10">
        <v>26.5</v>
      </c>
      <c r="M10" cm="1">
        <f t="array" ref="M10">_xlfn.STDEV.P(RADIANS(B10:D10))/SQRT(3)</f>
        <v>2.8070335335515451E-2</v>
      </c>
      <c r="N10">
        <v>1.7000000000000001E-2</v>
      </c>
      <c r="Q10">
        <v>0.83799999999999997</v>
      </c>
      <c r="R10">
        <v>220</v>
      </c>
      <c r="S10">
        <v>0.05</v>
      </c>
      <c r="T10">
        <v>10</v>
      </c>
      <c r="U10">
        <f t="shared" si="4"/>
        <v>4.5454545454545456E-2</v>
      </c>
    </row>
    <row r="11" spans="1:21" x14ac:dyDescent="0.3">
      <c r="A11">
        <v>80</v>
      </c>
      <c r="B11">
        <v>76.2</v>
      </c>
      <c r="C11">
        <v>63.7</v>
      </c>
      <c r="D11">
        <v>67.7</v>
      </c>
      <c r="E11">
        <f t="shared" si="0"/>
        <v>69.2</v>
      </c>
      <c r="F11">
        <f t="shared" si="6"/>
        <v>1.3962634015954636</v>
      </c>
      <c r="G11">
        <f t="shared" si="3"/>
        <v>1.1815879036001611</v>
      </c>
      <c r="H11">
        <f>4.521/4</f>
        <v>1.13025</v>
      </c>
      <c r="I11">
        <f>4.389/4</f>
        <v>1.0972500000000001</v>
      </c>
      <c r="J11">
        <f>4.488/4</f>
        <v>1.1220000000000001</v>
      </c>
      <c r="K11">
        <f t="shared" si="7"/>
        <v>1.1165</v>
      </c>
      <c r="L11">
        <v>26.5</v>
      </c>
      <c r="M11" cm="1">
        <f t="array" ref="M11">_xlfn.STDEV.P(RADIANS(B11:D11))/SQRT(3)</f>
        <v>5.2521233497210711E-2</v>
      </c>
      <c r="N11">
        <v>1.7000000000000001E-2</v>
      </c>
      <c r="R11">
        <f>AVERAGE(R2:R10)</f>
        <v>220.55555555555554</v>
      </c>
      <c r="U11">
        <f>_xlfn.STDEV.S(U2:U10)</f>
        <v>3.2126206817832833E-3</v>
      </c>
    </row>
    <row r="21" spans="1:8" x14ac:dyDescent="0.3">
      <c r="A21" t="s">
        <v>0</v>
      </c>
    </row>
    <row r="22" spans="1:8" x14ac:dyDescent="0.3">
      <c r="H22" t="s">
        <v>6</v>
      </c>
    </row>
  </sheetData>
  <pageMargins left="0.7" right="0.7" top="0.75" bottom="0.75" header="0.3" footer="0.3"/>
  <pageSetup paperSize="9" orientation="portrait" horizontalDpi="4294967293" verticalDpi="1200" r:id="rId1"/>
  <ignoredErrors>
    <ignoredError sqref="H8 J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4E97-B067-4BDE-97C5-B7260D277562}">
  <dimension ref="A1:F31"/>
  <sheetViews>
    <sheetView workbookViewId="0">
      <selection activeCell="I3" sqref="I3"/>
    </sheetView>
  </sheetViews>
  <sheetFormatPr defaultRowHeight="14.4" x14ac:dyDescent="0.3"/>
  <sheetData>
    <row r="1" spans="1:6" x14ac:dyDescent="0.3">
      <c r="A1" t="s">
        <v>17</v>
      </c>
      <c r="B1" t="s">
        <v>18</v>
      </c>
      <c r="C1" t="s">
        <v>20</v>
      </c>
      <c r="D1" t="s">
        <v>19</v>
      </c>
      <c r="E1" t="s">
        <v>21</v>
      </c>
      <c r="F1" t="s">
        <v>1</v>
      </c>
    </row>
    <row r="2" spans="1:6" x14ac:dyDescent="0.3">
      <c r="A2">
        <v>-66.7</v>
      </c>
      <c r="B2">
        <f>RADIANS(A2)</f>
        <v>-1.1641346110802178</v>
      </c>
      <c r="C2">
        <f>4.488/4</f>
        <v>1.1220000000000001</v>
      </c>
      <c r="D2">
        <v>4.7E-2</v>
      </c>
      <c r="E2">
        <v>1.7000000000000001E-2</v>
      </c>
      <c r="F2">
        <v>26.5</v>
      </c>
    </row>
    <row r="3" spans="1:6" x14ac:dyDescent="0.3">
      <c r="A3">
        <v>-50.2</v>
      </c>
      <c r="B3">
        <f t="shared" ref="B3:B31" si="0">RADIANS(A3)</f>
        <v>-0.87615528450115343</v>
      </c>
      <c r="C3">
        <f>4.521/4</f>
        <v>1.13025</v>
      </c>
      <c r="D3">
        <v>4.7E-2</v>
      </c>
      <c r="E3">
        <v>1.7000000000000001E-2</v>
      </c>
      <c r="F3">
        <v>26.5</v>
      </c>
    </row>
    <row r="4" spans="1:6" x14ac:dyDescent="0.3">
      <c r="A4">
        <v>-33.799999999999997</v>
      </c>
      <c r="B4">
        <f t="shared" si="0"/>
        <v>-0.58992128717408332</v>
      </c>
      <c r="C4">
        <f>4.191/4</f>
        <v>1.04775</v>
      </c>
      <c r="D4">
        <v>4.7E-2</v>
      </c>
      <c r="E4">
        <v>1.7000000000000001E-2</v>
      </c>
      <c r="F4">
        <v>26.5</v>
      </c>
    </row>
    <row r="5" spans="1:6" x14ac:dyDescent="0.3">
      <c r="A5">
        <v>-18</v>
      </c>
      <c r="B5">
        <f t="shared" si="0"/>
        <v>-0.31415926535897931</v>
      </c>
      <c r="C5">
        <f>4.125/4</f>
        <v>1.03125</v>
      </c>
      <c r="D5">
        <v>4.7E-2</v>
      </c>
      <c r="E5">
        <v>1.7000000000000001E-2</v>
      </c>
      <c r="F5">
        <v>26.5</v>
      </c>
    </row>
    <row r="6" spans="1:6" x14ac:dyDescent="0.3">
      <c r="A6">
        <v>-7.1</v>
      </c>
      <c r="B6">
        <f t="shared" si="0"/>
        <v>-0.12391837689159739</v>
      </c>
      <c r="C6">
        <f>4.092/4</f>
        <v>1.0229999999999999</v>
      </c>
      <c r="D6">
        <v>4.7E-2</v>
      </c>
      <c r="E6">
        <v>1.7000000000000001E-2</v>
      </c>
      <c r="F6">
        <v>26.5</v>
      </c>
    </row>
    <row r="7" spans="1:6" x14ac:dyDescent="0.3">
      <c r="A7">
        <v>6.6</v>
      </c>
      <c r="B7">
        <f t="shared" si="0"/>
        <v>0.11519173063162574</v>
      </c>
      <c r="C7">
        <f>4.13/4</f>
        <v>1.0325</v>
      </c>
      <c r="D7">
        <v>4.7E-2</v>
      </c>
      <c r="E7">
        <v>1.7000000000000001E-2</v>
      </c>
      <c r="F7">
        <v>26.5</v>
      </c>
    </row>
    <row r="8" spans="1:6" x14ac:dyDescent="0.3">
      <c r="A8">
        <v>13.7</v>
      </c>
      <c r="B8">
        <f t="shared" si="0"/>
        <v>0.23911010752322315</v>
      </c>
      <c r="C8">
        <f>4.059/4</f>
        <v>1.01475</v>
      </c>
      <c r="D8">
        <v>4.7E-2</v>
      </c>
      <c r="E8">
        <v>1.7000000000000001E-2</v>
      </c>
      <c r="F8">
        <v>26.5</v>
      </c>
    </row>
    <row r="9" spans="1:6" x14ac:dyDescent="0.3">
      <c r="A9">
        <v>35.6</v>
      </c>
      <c r="B9">
        <f t="shared" si="0"/>
        <v>0.6213372137099813</v>
      </c>
      <c r="C9">
        <f>4.125/4</f>
        <v>1.03125</v>
      </c>
      <c r="D9">
        <v>4.7E-2</v>
      </c>
      <c r="E9">
        <v>1.7000000000000001E-2</v>
      </c>
      <c r="F9">
        <v>26.5</v>
      </c>
    </row>
    <row r="10" spans="1:6" x14ac:dyDescent="0.3">
      <c r="A10">
        <v>47.8</v>
      </c>
      <c r="B10">
        <f t="shared" si="0"/>
        <v>0.83426738245328946</v>
      </c>
      <c r="C10">
        <f>4.389/4</f>
        <v>1.0972500000000001</v>
      </c>
      <c r="D10">
        <v>4.7E-2</v>
      </c>
      <c r="E10">
        <v>1.7000000000000001E-2</v>
      </c>
      <c r="F10">
        <v>26.5</v>
      </c>
    </row>
    <row r="11" spans="1:6" x14ac:dyDescent="0.3">
      <c r="A11">
        <v>76.2</v>
      </c>
      <c r="B11">
        <f t="shared" si="0"/>
        <v>1.3299408900196792</v>
      </c>
      <c r="C11">
        <f>4.521/4</f>
        <v>1.13025</v>
      </c>
      <c r="D11">
        <v>4.7E-2</v>
      </c>
      <c r="E11">
        <v>1.7000000000000001E-2</v>
      </c>
      <c r="F11">
        <v>26.5</v>
      </c>
    </row>
    <row r="12" spans="1:6" x14ac:dyDescent="0.3">
      <c r="A12">
        <v>-64.900000000000006</v>
      </c>
      <c r="B12">
        <f t="shared" si="0"/>
        <v>-1.13271868454432</v>
      </c>
      <c r="C12">
        <f>4.422/4</f>
        <v>1.1054999999999999</v>
      </c>
      <c r="D12">
        <v>4.7E-2</v>
      </c>
      <c r="E12">
        <v>1.7000000000000001E-2</v>
      </c>
      <c r="F12">
        <v>26.5</v>
      </c>
    </row>
    <row r="13" spans="1:6" x14ac:dyDescent="0.3">
      <c r="A13">
        <v>-54.2</v>
      </c>
      <c r="B13">
        <f t="shared" si="0"/>
        <v>-0.94596845458092671</v>
      </c>
      <c r="C13">
        <f>4.521/4</f>
        <v>1.13025</v>
      </c>
      <c r="D13">
        <v>4.7E-2</v>
      </c>
      <c r="E13">
        <v>1.7000000000000001E-2</v>
      </c>
      <c r="F13">
        <v>26.5</v>
      </c>
    </row>
    <row r="14" spans="1:6" x14ac:dyDescent="0.3">
      <c r="A14">
        <v>-33.4</v>
      </c>
      <c r="B14">
        <f t="shared" si="0"/>
        <v>-0.58293997016610599</v>
      </c>
      <c r="C14">
        <f>4.191/4</f>
        <v>1.04775</v>
      </c>
      <c r="D14">
        <v>4.7E-2</v>
      </c>
      <c r="E14">
        <v>1.7000000000000001E-2</v>
      </c>
      <c r="F14">
        <v>26.5</v>
      </c>
    </row>
    <row r="15" spans="1:6" x14ac:dyDescent="0.3">
      <c r="A15">
        <v>-18.8</v>
      </c>
      <c r="B15">
        <f t="shared" si="0"/>
        <v>-0.32812189937493397</v>
      </c>
      <c r="C15">
        <f>4.158/4</f>
        <v>1.0395000000000001</v>
      </c>
      <c r="D15">
        <v>4.7E-2</v>
      </c>
      <c r="E15">
        <v>1.7000000000000001E-2</v>
      </c>
      <c r="F15">
        <v>26.5</v>
      </c>
    </row>
    <row r="16" spans="1:6" x14ac:dyDescent="0.3">
      <c r="A16">
        <v>-9.1</v>
      </c>
      <c r="B16">
        <f t="shared" si="0"/>
        <v>-0.15882496193148399</v>
      </c>
      <c r="C16">
        <f>4.092/4</f>
        <v>1.0229999999999999</v>
      </c>
      <c r="D16">
        <v>4.7E-2</v>
      </c>
      <c r="E16">
        <v>1.7000000000000001E-2</v>
      </c>
      <c r="F16">
        <v>26.5</v>
      </c>
    </row>
    <row r="17" spans="1:6" x14ac:dyDescent="0.3">
      <c r="A17">
        <v>5.6</v>
      </c>
      <c r="B17">
        <f t="shared" si="0"/>
        <v>9.7738438111682452E-2</v>
      </c>
      <c r="C17">
        <f>4.092/4</f>
        <v>1.0229999999999999</v>
      </c>
      <c r="D17">
        <v>4.7E-2</v>
      </c>
      <c r="E17">
        <v>1.7000000000000001E-2</v>
      </c>
      <c r="F17">
        <v>26.5</v>
      </c>
    </row>
    <row r="18" spans="1:6" x14ac:dyDescent="0.3">
      <c r="A18">
        <v>15.4</v>
      </c>
      <c r="B18">
        <f t="shared" si="0"/>
        <v>0.26878070480712674</v>
      </c>
      <c r="C18">
        <f>4.125/4</f>
        <v>1.03125</v>
      </c>
      <c r="D18">
        <v>4.7E-2</v>
      </c>
      <c r="E18">
        <v>1.7000000000000001E-2</v>
      </c>
      <c r="F18">
        <v>26.5</v>
      </c>
    </row>
    <row r="19" spans="1:6" x14ac:dyDescent="0.3">
      <c r="A19">
        <v>34.1</v>
      </c>
      <c r="B19">
        <f t="shared" si="0"/>
        <v>0.59515727493006643</v>
      </c>
      <c r="C19">
        <f>4.125/4</f>
        <v>1.03125</v>
      </c>
      <c r="D19">
        <v>4.7E-2</v>
      </c>
      <c r="E19">
        <v>1.7000000000000001E-2</v>
      </c>
      <c r="F19">
        <v>26.5</v>
      </c>
    </row>
    <row r="20" spans="1:6" x14ac:dyDescent="0.3">
      <c r="A20">
        <v>52.6</v>
      </c>
      <c r="B20">
        <f t="shared" si="0"/>
        <v>0.9180431865490174</v>
      </c>
      <c r="C20">
        <f>4.389/4</f>
        <v>1.0972500000000001</v>
      </c>
      <c r="D20">
        <v>4.7E-2</v>
      </c>
      <c r="E20">
        <v>1.7000000000000001E-2</v>
      </c>
      <c r="F20">
        <v>26.5</v>
      </c>
    </row>
    <row r="21" spans="1:6" x14ac:dyDescent="0.3">
      <c r="A21">
        <v>63.7</v>
      </c>
      <c r="B21">
        <f t="shared" si="0"/>
        <v>1.111774733520388</v>
      </c>
      <c r="C21">
        <f>4.389/4</f>
        <v>1.0972500000000001</v>
      </c>
      <c r="D21">
        <v>4.7E-2</v>
      </c>
      <c r="E21">
        <v>1.7000000000000001E-2</v>
      </c>
      <c r="F21">
        <v>26.5</v>
      </c>
    </row>
    <row r="22" spans="1:6" x14ac:dyDescent="0.3">
      <c r="A22">
        <v>-68.3</v>
      </c>
      <c r="B22">
        <f t="shared" si="0"/>
        <v>-1.1920598791121271</v>
      </c>
      <c r="C22">
        <f>4.488/4</f>
        <v>1.1220000000000001</v>
      </c>
      <c r="D22">
        <v>4.7E-2</v>
      </c>
      <c r="E22">
        <v>1.7000000000000001E-2</v>
      </c>
      <c r="F22">
        <v>26.5</v>
      </c>
    </row>
    <row r="23" spans="1:6" x14ac:dyDescent="0.3">
      <c r="A23">
        <v>-52.7</v>
      </c>
      <c r="B23">
        <f t="shared" si="0"/>
        <v>-0.91978851580101173</v>
      </c>
      <c r="C23">
        <f>4.521/4</f>
        <v>1.13025</v>
      </c>
      <c r="D23">
        <v>4.7E-2</v>
      </c>
      <c r="E23">
        <v>1.7000000000000001E-2</v>
      </c>
      <c r="F23">
        <v>26.5</v>
      </c>
    </row>
    <row r="24" spans="1:6" x14ac:dyDescent="0.3">
      <c r="A24">
        <v>-32.9</v>
      </c>
      <c r="B24">
        <f t="shared" si="0"/>
        <v>-0.57421332390613444</v>
      </c>
      <c r="C24">
        <f>4.092/4</f>
        <v>1.0229999999999999</v>
      </c>
      <c r="D24">
        <v>4.7E-2</v>
      </c>
      <c r="E24">
        <v>1.7000000000000001E-2</v>
      </c>
      <c r="F24">
        <v>26.5</v>
      </c>
    </row>
    <row r="25" spans="1:6" x14ac:dyDescent="0.3">
      <c r="A25">
        <v>-18.899999999999999</v>
      </c>
      <c r="B25">
        <f t="shared" si="0"/>
        <v>-0.32986722862692824</v>
      </c>
      <c r="C25">
        <f>4.191/4</f>
        <v>1.04775</v>
      </c>
      <c r="D25">
        <v>4.7E-2</v>
      </c>
      <c r="E25">
        <v>1.7000000000000001E-2</v>
      </c>
      <c r="F25">
        <v>26.5</v>
      </c>
    </row>
    <row r="26" spans="1:6" x14ac:dyDescent="0.3">
      <c r="A26">
        <v>-10.6</v>
      </c>
      <c r="B26">
        <f t="shared" si="0"/>
        <v>-0.18500490071139894</v>
      </c>
      <c r="C26">
        <f>4.092/4</f>
        <v>1.0229999999999999</v>
      </c>
      <c r="D26">
        <v>4.7E-2</v>
      </c>
      <c r="E26">
        <v>1.7000000000000001E-2</v>
      </c>
      <c r="F26">
        <v>26.5</v>
      </c>
    </row>
    <row r="27" spans="1:6" x14ac:dyDescent="0.3">
      <c r="A27">
        <v>6.3</v>
      </c>
      <c r="B27">
        <f t="shared" si="0"/>
        <v>0.10995574287564276</v>
      </c>
      <c r="C27">
        <f>4.059/4</f>
        <v>1.01475</v>
      </c>
      <c r="D27">
        <v>4.7E-2</v>
      </c>
      <c r="E27">
        <v>1.7000000000000001E-2</v>
      </c>
      <c r="F27">
        <v>26.5</v>
      </c>
    </row>
    <row r="28" spans="1:6" x14ac:dyDescent="0.3">
      <c r="A28">
        <v>14.6</v>
      </c>
      <c r="B28">
        <f t="shared" si="0"/>
        <v>0.25481807079117214</v>
      </c>
      <c r="C28">
        <f>4.092/4</f>
        <v>1.0229999999999999</v>
      </c>
      <c r="D28">
        <v>4.7E-2</v>
      </c>
      <c r="E28">
        <v>1.7000000000000001E-2</v>
      </c>
      <c r="F28">
        <v>26.5</v>
      </c>
    </row>
    <row r="29" spans="1:6" x14ac:dyDescent="0.3">
      <c r="A29">
        <v>33.9</v>
      </c>
      <c r="B29">
        <f t="shared" si="0"/>
        <v>0.59166661642607765</v>
      </c>
      <c r="C29">
        <f>4.059/4</f>
        <v>1.01475</v>
      </c>
      <c r="D29">
        <v>4.7E-2</v>
      </c>
      <c r="E29">
        <v>1.7000000000000001E-2</v>
      </c>
      <c r="F29">
        <v>26.5</v>
      </c>
    </row>
    <row r="30" spans="1:6" x14ac:dyDescent="0.3">
      <c r="A30">
        <v>54.4</v>
      </c>
      <c r="B30">
        <f t="shared" si="0"/>
        <v>0.94945911308491526</v>
      </c>
      <c r="C30">
        <f>4.422/4</f>
        <v>1.1054999999999999</v>
      </c>
      <c r="D30">
        <v>4.7E-2</v>
      </c>
      <c r="E30">
        <v>1.7000000000000001E-2</v>
      </c>
      <c r="F30">
        <v>26.5</v>
      </c>
    </row>
    <row r="31" spans="1:6" x14ac:dyDescent="0.3">
      <c r="A31">
        <v>67.7</v>
      </c>
      <c r="B31">
        <f t="shared" si="0"/>
        <v>1.1815879036001611</v>
      </c>
      <c r="C31">
        <f>4.488/4</f>
        <v>1.1220000000000001</v>
      </c>
      <c r="D31">
        <v>4.7E-2</v>
      </c>
      <c r="E31">
        <v>1.7000000000000001E-2</v>
      </c>
      <c r="F31">
        <v>26.5</v>
      </c>
    </row>
  </sheetData>
  <pageMargins left="0.7" right="0.7" top="0.75" bottom="0.75" header="0.3" footer="0.3"/>
  <pageSetup paperSize="9" orientation="portrait" horizontalDpi="4294967293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EA11-0736-4E23-B2DA-67C0E3AC63DA}">
  <dimension ref="A1:Q9"/>
  <sheetViews>
    <sheetView tabSelected="1" zoomScale="102" zoomScaleNormal="102" workbookViewId="0">
      <selection activeCell="Q3" sqref="Q3:Q8"/>
    </sheetView>
  </sheetViews>
  <sheetFormatPr defaultRowHeight="14.4" x14ac:dyDescent="0.3"/>
  <sheetData>
    <row r="1" spans="1:17" x14ac:dyDescent="0.3">
      <c r="A1" t="s">
        <v>17</v>
      </c>
      <c r="B1" t="s">
        <v>18</v>
      </c>
      <c r="C1" t="s">
        <v>22</v>
      </c>
      <c r="D1" t="s">
        <v>20</v>
      </c>
      <c r="E1" t="s">
        <v>25</v>
      </c>
      <c r="F1" t="s">
        <v>21</v>
      </c>
      <c r="G1" t="s">
        <v>26</v>
      </c>
      <c r="H1" t="s">
        <v>27</v>
      </c>
      <c r="I1" t="s">
        <v>28</v>
      </c>
      <c r="N1" t="s">
        <v>29</v>
      </c>
    </row>
    <row r="2" spans="1:17" x14ac:dyDescent="0.3">
      <c r="A2">
        <v>20</v>
      </c>
      <c r="B2">
        <f>RADIANS(A2)</f>
        <v>0.3490658503988659</v>
      </c>
      <c r="C2">
        <v>0.1</v>
      </c>
      <c r="D2">
        <f>2.498/4</f>
        <v>0.62450000000000006</v>
      </c>
      <c r="E2">
        <v>5.0000000000000001E-3</v>
      </c>
      <c r="F2">
        <v>1.7000000000000001E-2</v>
      </c>
      <c r="G2">
        <v>39</v>
      </c>
      <c r="H2">
        <f>G2*5</f>
        <v>195</v>
      </c>
      <c r="I2">
        <v>10</v>
      </c>
      <c r="M2" t="s">
        <v>27</v>
      </c>
      <c r="N2" t="s">
        <v>30</v>
      </c>
      <c r="O2" t="s">
        <v>31</v>
      </c>
      <c r="P2" t="s">
        <v>32</v>
      </c>
      <c r="Q2" t="s">
        <v>34</v>
      </c>
    </row>
    <row r="3" spans="1:17" x14ac:dyDescent="0.3">
      <c r="A3">
        <v>19.5</v>
      </c>
      <c r="B3">
        <f t="shared" ref="B3:B7" si="0">RADIANS(A3)</f>
        <v>0.34033920413889424</v>
      </c>
      <c r="C3">
        <v>0.2</v>
      </c>
      <c r="D3">
        <f>3.593/4</f>
        <v>0.89824999999999999</v>
      </c>
      <c r="E3">
        <v>5.0000000000000001E-3</v>
      </c>
      <c r="F3">
        <v>1.7000000000000001E-2</v>
      </c>
      <c r="G3">
        <v>51</v>
      </c>
      <c r="H3">
        <f t="shared" ref="H3:H7" si="1">G3*5</f>
        <v>255</v>
      </c>
      <c r="I3">
        <v>10</v>
      </c>
      <c r="M3">
        <v>195</v>
      </c>
      <c r="N3">
        <v>0.72875078000000004</v>
      </c>
      <c r="O3">
        <v>10</v>
      </c>
      <c r="P3">
        <f>MAX(N3:O3)</f>
        <v>10</v>
      </c>
      <c r="Q3">
        <f>P3/M3</f>
        <v>5.128205128205128E-2</v>
      </c>
    </row>
    <row r="4" spans="1:17" x14ac:dyDescent="0.3">
      <c r="A4">
        <v>20</v>
      </c>
      <c r="B4">
        <f t="shared" si="0"/>
        <v>0.3490658503988659</v>
      </c>
      <c r="C4">
        <v>0.3</v>
      </c>
      <c r="D4">
        <f>4.463/4</f>
        <v>1.11575</v>
      </c>
      <c r="E4">
        <v>5.0000000000000001E-3</v>
      </c>
      <c r="F4">
        <v>1.7000000000000001E-2</v>
      </c>
      <c r="G4">
        <v>56</v>
      </c>
      <c r="H4">
        <f t="shared" si="1"/>
        <v>280</v>
      </c>
      <c r="I4">
        <v>10</v>
      </c>
      <c r="M4">
        <v>255</v>
      </c>
      <c r="N4">
        <v>-5.1227988499999997</v>
      </c>
      <c r="O4">
        <v>10</v>
      </c>
      <c r="P4">
        <f t="shared" ref="P4:P8" si="2">MAX(N4:O4)</f>
        <v>10</v>
      </c>
      <c r="Q4">
        <f t="shared" ref="Q4:Q8" si="3">P4/M4</f>
        <v>3.9215686274509803E-2</v>
      </c>
    </row>
    <row r="5" spans="1:17" x14ac:dyDescent="0.3">
      <c r="A5">
        <v>20.100000000000001</v>
      </c>
      <c r="B5">
        <f t="shared" si="0"/>
        <v>0.35081117965086028</v>
      </c>
      <c r="C5">
        <v>0.4</v>
      </c>
      <c r="D5">
        <f>5.096/4</f>
        <v>1.274</v>
      </c>
      <c r="E5">
        <v>5.0000000000000001E-3</v>
      </c>
      <c r="F5">
        <v>1.7000000000000001E-2</v>
      </c>
      <c r="G5">
        <v>44</v>
      </c>
      <c r="H5">
        <f t="shared" si="1"/>
        <v>220</v>
      </c>
      <c r="I5">
        <v>10</v>
      </c>
      <c r="M5">
        <v>280</v>
      </c>
      <c r="N5">
        <v>12.84018887</v>
      </c>
      <c r="O5">
        <v>10</v>
      </c>
      <c r="P5">
        <f t="shared" si="2"/>
        <v>12.84018887</v>
      </c>
      <c r="Q5">
        <f t="shared" si="3"/>
        <v>4.5857817392857145E-2</v>
      </c>
    </row>
    <row r="6" spans="1:17" x14ac:dyDescent="0.3">
      <c r="A6">
        <v>20.2</v>
      </c>
      <c r="B6">
        <f t="shared" si="0"/>
        <v>0.35255650890285456</v>
      </c>
      <c r="C6">
        <v>0.5</v>
      </c>
      <c r="D6">
        <f>5.729/4</f>
        <v>1.43225</v>
      </c>
      <c r="E6">
        <v>5.0000000000000001E-3</v>
      </c>
      <c r="F6">
        <v>1.7000000000000001E-2</v>
      </c>
      <c r="G6">
        <v>40</v>
      </c>
      <c r="H6">
        <f t="shared" si="1"/>
        <v>200</v>
      </c>
      <c r="I6">
        <v>10</v>
      </c>
      <c r="M6">
        <v>220</v>
      </c>
      <c r="N6">
        <v>-15.08879355</v>
      </c>
      <c r="O6">
        <v>10</v>
      </c>
      <c r="P6">
        <v>-15.08879355</v>
      </c>
      <c r="Q6">
        <f t="shared" si="3"/>
        <v>-6.8585425227272734E-2</v>
      </c>
    </row>
    <row r="7" spans="1:17" x14ac:dyDescent="0.3">
      <c r="A7">
        <v>20.5</v>
      </c>
      <c r="B7">
        <f t="shared" si="0"/>
        <v>0.35779249665883756</v>
      </c>
      <c r="C7">
        <v>0.6</v>
      </c>
      <c r="D7">
        <f>6.228/4</f>
        <v>1.5569999999999999</v>
      </c>
      <c r="E7">
        <v>5.0000000000000001E-3</v>
      </c>
      <c r="F7">
        <v>1.7000000000000001E-2</v>
      </c>
      <c r="G7">
        <v>34</v>
      </c>
      <c r="H7">
        <f t="shared" si="1"/>
        <v>170</v>
      </c>
      <c r="I7">
        <v>10</v>
      </c>
      <c r="M7">
        <v>200</v>
      </c>
      <c r="N7">
        <v>8.5016799499999998</v>
      </c>
      <c r="O7">
        <v>10</v>
      </c>
      <c r="P7">
        <f t="shared" si="2"/>
        <v>10</v>
      </c>
      <c r="Q7">
        <f t="shared" si="3"/>
        <v>0.05</v>
      </c>
    </row>
    <row r="8" spans="1:17" x14ac:dyDescent="0.3">
      <c r="E8" t="s">
        <v>24</v>
      </c>
      <c r="G8" t="s">
        <v>23</v>
      </c>
      <c r="M8">
        <v>170</v>
      </c>
      <c r="N8">
        <v>-1.8591246100000001</v>
      </c>
      <c r="O8">
        <v>10</v>
      </c>
      <c r="P8">
        <f t="shared" si="2"/>
        <v>10</v>
      </c>
      <c r="Q8">
        <f t="shared" si="3"/>
        <v>5.8823529411764705E-2</v>
      </c>
    </row>
    <row r="9" spans="1:17" x14ac:dyDescent="0.3">
      <c r="O9" t="s">
        <v>33</v>
      </c>
      <c r="P9">
        <f>_xlfn.STDEV.S(P3:P8)</f>
        <v>10.535788212032111</v>
      </c>
      <c r="Q9">
        <f>_xlfn.STDEV.S(Q3:Q8)</f>
        <v>4.8450537681345981E-2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 1 (Tracker)</vt:lpstr>
      <vt:lpstr>Lab 1 (Tracker) (2)</vt:lpstr>
      <vt:lpstr>Lab 1 (Tracker) (2, Sep Pts)</vt:lpstr>
      <vt:lpstr>Lab 2 (Length-Q)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Yuan Chai</dc:creator>
  <cp:lastModifiedBy>Bo Yuan Chai</cp:lastModifiedBy>
  <dcterms:created xsi:type="dcterms:W3CDTF">2023-09-10T02:46:40Z</dcterms:created>
  <dcterms:modified xsi:type="dcterms:W3CDTF">2023-10-31T16:28:01Z</dcterms:modified>
</cp:coreProperties>
</file>