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1"/>
  <workbookPr/>
  <xr:revisionPtr revIDLastSave="1777" documentId="11_0B1D56BE9CDCCE836B02CE7A5FB0D4A9BBFD1C62" xr6:coauthVersionLast="47" xr6:coauthVersionMax="47" xr10:uidLastSave="{5CA03396-35DB-47F2-B938-122B6BC02ECA}"/>
  <bookViews>
    <workbookView xWindow="240" yWindow="105" windowWidth="14805" windowHeight="8010" firstSheet="11" activeTab="12" xr2:uid="{00000000-000D-0000-FFFF-FFFF00000000}"/>
  </bookViews>
  <sheets>
    <sheet name="Sheet1" sheetId="10" r:id="rId1"/>
    <sheet name="Classical-General" sheetId="1" r:id="rId2"/>
    <sheet name="Classical-Intermediate" sheetId="4" r:id="rId3"/>
    <sheet name="Classical-Novice" sheetId="8" r:id="rId4"/>
    <sheet name="Video Game-General" sheetId="6" r:id="rId5"/>
    <sheet name="Video Game-Intermediate" sheetId="7" r:id="rId6"/>
    <sheet name="Video Game-Novice" sheetId="9" r:id="rId7"/>
    <sheet name="Classical-Novice v2" sheetId="12" r:id="rId8"/>
    <sheet name="Classical-Intermediate v2" sheetId="14" r:id="rId9"/>
    <sheet name="Classical-General v2" sheetId="11" r:id="rId10"/>
    <sheet name="Video-Novice v2" sheetId="13" r:id="rId11"/>
    <sheet name="Video-Intermediate v2" sheetId="16" r:id="rId12"/>
    <sheet name="Video-General v2" sheetId="15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0" i="15" l="1"/>
  <c r="AA20" i="15"/>
  <c r="Z20" i="15"/>
  <c r="X20" i="15"/>
  <c r="W20" i="15"/>
  <c r="V20" i="15"/>
  <c r="T20" i="15"/>
  <c r="S20" i="15"/>
  <c r="R20" i="15"/>
  <c r="P20" i="15"/>
  <c r="O20" i="15"/>
  <c r="N20" i="15"/>
  <c r="L20" i="15"/>
  <c r="K20" i="15"/>
  <c r="J20" i="15"/>
  <c r="H20" i="15"/>
  <c r="G20" i="15"/>
  <c r="F20" i="15"/>
  <c r="D20" i="15"/>
  <c r="C20" i="15"/>
  <c r="B20" i="15"/>
  <c r="AB17" i="16"/>
  <c r="AA17" i="16"/>
  <c r="Z17" i="16"/>
  <c r="X17" i="16"/>
  <c r="W17" i="16"/>
  <c r="V17" i="16"/>
  <c r="T17" i="16"/>
  <c r="S17" i="16"/>
  <c r="R17" i="16"/>
  <c r="P17" i="16"/>
  <c r="O17" i="16"/>
  <c r="N17" i="16"/>
  <c r="L17" i="16"/>
  <c r="K17" i="16"/>
  <c r="J17" i="16"/>
  <c r="H17" i="16"/>
  <c r="G17" i="16"/>
  <c r="F17" i="16"/>
  <c r="D17" i="16"/>
  <c r="C17" i="16"/>
  <c r="B17" i="16"/>
  <c r="D16" i="13"/>
  <c r="C16" i="13"/>
  <c r="B16" i="13"/>
  <c r="P20" i="11"/>
  <c r="O20" i="11"/>
  <c r="N20" i="11"/>
  <c r="L20" i="11"/>
  <c r="K20" i="11"/>
  <c r="J20" i="11"/>
  <c r="H20" i="11"/>
  <c r="G20" i="11"/>
  <c r="F20" i="11"/>
  <c r="D20" i="11"/>
  <c r="C20" i="11"/>
  <c r="B20" i="11"/>
  <c r="AB18" i="14"/>
  <c r="AA18" i="14"/>
  <c r="Z18" i="14"/>
  <c r="X18" i="14"/>
  <c r="W18" i="14"/>
  <c r="V18" i="14"/>
  <c r="T18" i="14"/>
  <c r="S18" i="14"/>
  <c r="R18" i="14"/>
  <c r="P18" i="14"/>
  <c r="O18" i="14"/>
  <c r="N18" i="14"/>
  <c r="L18" i="14"/>
  <c r="K18" i="14"/>
  <c r="J18" i="14"/>
  <c r="H18" i="14"/>
  <c r="G18" i="14"/>
  <c r="F18" i="14"/>
  <c r="D18" i="14"/>
  <c r="C18" i="14"/>
  <c r="B18" i="14"/>
  <c r="L16" i="12"/>
  <c r="K16" i="12"/>
  <c r="J16" i="12"/>
  <c r="H16" i="12"/>
  <c r="G16" i="12"/>
  <c r="F16" i="12"/>
  <c r="D16" i="12"/>
  <c r="C16" i="12"/>
  <c r="B16" i="12"/>
  <c r="AA12" i="14"/>
  <c r="Z12" i="14"/>
  <c r="AA11" i="14"/>
  <c r="Z11" i="14"/>
  <c r="AA10" i="14"/>
  <c r="Z10" i="14"/>
  <c r="AA9" i="14"/>
  <c r="Z9" i="14"/>
  <c r="AA8" i="14"/>
  <c r="Z8" i="14"/>
  <c r="AA7" i="14"/>
  <c r="Z7" i="14"/>
  <c r="AA6" i="14"/>
  <c r="Z6" i="14"/>
  <c r="AA5" i="14"/>
  <c r="Z5" i="14"/>
  <c r="AA4" i="14"/>
  <c r="Z4" i="14"/>
  <c r="AA3" i="14"/>
  <c r="Z3" i="14"/>
  <c r="AA2" i="14"/>
  <c r="Z2" i="14"/>
  <c r="O14" i="11"/>
  <c r="N14" i="11"/>
  <c r="O13" i="11"/>
  <c r="N13" i="11"/>
  <c r="O12" i="11"/>
  <c r="N12" i="11"/>
  <c r="O11" i="11"/>
  <c r="N11" i="11"/>
  <c r="O10" i="11"/>
  <c r="N10" i="11"/>
  <c r="O9" i="11"/>
  <c r="N9" i="11"/>
  <c r="O8" i="11"/>
  <c r="N8" i="11"/>
  <c r="O7" i="11"/>
  <c r="N7" i="11"/>
  <c r="O6" i="11"/>
  <c r="N6" i="11"/>
  <c r="O5" i="11"/>
  <c r="N5" i="11"/>
  <c r="O4" i="11"/>
  <c r="N4" i="11"/>
  <c r="O3" i="11"/>
  <c r="N3" i="11"/>
  <c r="O2" i="11"/>
  <c r="N2" i="11"/>
  <c r="AA9" i="16"/>
  <c r="Z9" i="16"/>
  <c r="AA8" i="16"/>
  <c r="Z8" i="16"/>
  <c r="AA7" i="16"/>
  <c r="Z7" i="16"/>
  <c r="AA6" i="16"/>
  <c r="Z6" i="16"/>
  <c r="AA5" i="16"/>
  <c r="Z5" i="16"/>
  <c r="AA4" i="16"/>
  <c r="Z4" i="16"/>
  <c r="AA3" i="16"/>
  <c r="Z3" i="16"/>
  <c r="AA2" i="16"/>
  <c r="Z2" i="16"/>
  <c r="W17" i="14"/>
  <c r="V17" i="14"/>
  <c r="W16" i="14"/>
  <c r="V16" i="14"/>
  <c r="W15" i="14"/>
  <c r="V15" i="14"/>
  <c r="W14" i="14"/>
  <c r="V14" i="14"/>
  <c r="W13" i="14"/>
  <c r="V13" i="14"/>
  <c r="W12" i="14"/>
  <c r="V12" i="14"/>
  <c r="W11" i="14"/>
  <c r="V11" i="14"/>
  <c r="W10" i="14"/>
  <c r="V10" i="14"/>
  <c r="W9" i="14"/>
  <c r="V9" i="14"/>
  <c r="W8" i="14"/>
  <c r="V8" i="14"/>
  <c r="W7" i="14"/>
  <c r="V7" i="14"/>
  <c r="W6" i="14"/>
  <c r="V6" i="14"/>
  <c r="W5" i="14"/>
  <c r="V5" i="14"/>
  <c r="W4" i="14"/>
  <c r="V4" i="14"/>
  <c r="W3" i="14"/>
  <c r="V3" i="14"/>
  <c r="W2" i="14"/>
  <c r="V2" i="14"/>
  <c r="W13" i="16"/>
  <c r="V13" i="16"/>
  <c r="W12" i="16"/>
  <c r="V12" i="16"/>
  <c r="W11" i="16"/>
  <c r="V11" i="16"/>
  <c r="W10" i="16"/>
  <c r="V10" i="16"/>
  <c r="W9" i="16"/>
  <c r="V9" i="16"/>
  <c r="W8" i="16"/>
  <c r="V8" i="16"/>
  <c r="W7" i="16"/>
  <c r="V7" i="16"/>
  <c r="W6" i="16"/>
  <c r="V6" i="16"/>
  <c r="W5" i="16"/>
  <c r="V5" i="16"/>
  <c r="W4" i="16"/>
  <c r="V4" i="16"/>
  <c r="W3" i="16"/>
  <c r="V3" i="16"/>
  <c r="W2" i="16"/>
  <c r="V2" i="16"/>
  <c r="AA19" i="15"/>
  <c r="Z19" i="15"/>
  <c r="AA18" i="15"/>
  <c r="Z18" i="15"/>
  <c r="AA17" i="15"/>
  <c r="Z17" i="15"/>
  <c r="AA16" i="15"/>
  <c r="Z16" i="15"/>
  <c r="AA15" i="15"/>
  <c r="Z15" i="15"/>
  <c r="AA14" i="15"/>
  <c r="Z14" i="15"/>
  <c r="AA13" i="15"/>
  <c r="Z13" i="15"/>
  <c r="AA12" i="15"/>
  <c r="Z12" i="15"/>
  <c r="AA11" i="15"/>
  <c r="Z11" i="15"/>
  <c r="AA10" i="15"/>
  <c r="Z10" i="15"/>
  <c r="AA9" i="15"/>
  <c r="Z9" i="15"/>
  <c r="AA8" i="15"/>
  <c r="Z8" i="15"/>
  <c r="AA7" i="15"/>
  <c r="Z7" i="15"/>
  <c r="AA6" i="15"/>
  <c r="Z6" i="15"/>
  <c r="AA5" i="15"/>
  <c r="Z5" i="15"/>
  <c r="AA4" i="15"/>
  <c r="Z4" i="15"/>
  <c r="AA3" i="15"/>
  <c r="Z3" i="15"/>
  <c r="AA2" i="15"/>
  <c r="Z2" i="15"/>
  <c r="S12" i="16"/>
  <c r="R12" i="16"/>
  <c r="S11" i="16"/>
  <c r="R11" i="16"/>
  <c r="S10" i="16"/>
  <c r="R10" i="16"/>
  <c r="S9" i="16"/>
  <c r="R9" i="16"/>
  <c r="S8" i="16"/>
  <c r="R8" i="16"/>
  <c r="S7" i="16"/>
  <c r="R7" i="16"/>
  <c r="S6" i="16"/>
  <c r="R6" i="16"/>
  <c r="S5" i="16"/>
  <c r="R5" i="16"/>
  <c r="S4" i="16"/>
  <c r="R4" i="16"/>
  <c r="S3" i="16"/>
  <c r="R3" i="16"/>
  <c r="S2" i="16"/>
  <c r="R2" i="16"/>
  <c r="O12" i="16"/>
  <c r="N12" i="16"/>
  <c r="O11" i="16"/>
  <c r="N11" i="16"/>
  <c r="O10" i="16"/>
  <c r="N10" i="16"/>
  <c r="O9" i="16"/>
  <c r="N9" i="16"/>
  <c r="O8" i="16"/>
  <c r="N8" i="16"/>
  <c r="O7" i="16"/>
  <c r="N7" i="16"/>
  <c r="O6" i="16"/>
  <c r="N6" i="16"/>
  <c r="O5" i="16"/>
  <c r="N5" i="16"/>
  <c r="O4" i="16"/>
  <c r="N4" i="16"/>
  <c r="O3" i="16"/>
  <c r="N3" i="16"/>
  <c r="O2" i="16"/>
  <c r="N2" i="16"/>
  <c r="S15" i="14"/>
  <c r="R15" i="14"/>
  <c r="S14" i="14"/>
  <c r="R14" i="14"/>
  <c r="S13" i="14"/>
  <c r="R13" i="14"/>
  <c r="S12" i="14"/>
  <c r="R12" i="14"/>
  <c r="S11" i="14"/>
  <c r="R11" i="14"/>
  <c r="S10" i="14"/>
  <c r="R10" i="14"/>
  <c r="S9" i="14"/>
  <c r="R9" i="14"/>
  <c r="S8" i="14"/>
  <c r="R8" i="14"/>
  <c r="S7" i="14"/>
  <c r="R7" i="14"/>
  <c r="S6" i="14"/>
  <c r="R6" i="14"/>
  <c r="S5" i="14"/>
  <c r="R5" i="14"/>
  <c r="S4" i="14"/>
  <c r="R4" i="14"/>
  <c r="S3" i="14"/>
  <c r="R3" i="14"/>
  <c r="S2" i="14"/>
  <c r="R2" i="14"/>
  <c r="W16" i="15"/>
  <c r="V16" i="15"/>
  <c r="W15" i="15"/>
  <c r="V15" i="15"/>
  <c r="W14" i="15"/>
  <c r="V14" i="15"/>
  <c r="W13" i="15"/>
  <c r="V13" i="15"/>
  <c r="W12" i="15"/>
  <c r="V12" i="15"/>
  <c r="W11" i="15"/>
  <c r="V11" i="15"/>
  <c r="W10" i="15"/>
  <c r="V10" i="15"/>
  <c r="W9" i="15"/>
  <c r="V9" i="15"/>
  <c r="W8" i="15"/>
  <c r="V8" i="15"/>
  <c r="W7" i="15"/>
  <c r="V7" i="15"/>
  <c r="W6" i="15"/>
  <c r="V6" i="15"/>
  <c r="W5" i="15"/>
  <c r="V5" i="15"/>
  <c r="W4" i="15"/>
  <c r="V4" i="15"/>
  <c r="W3" i="15"/>
  <c r="V3" i="15"/>
  <c r="W2" i="15"/>
  <c r="V2" i="15"/>
  <c r="O14" i="14"/>
  <c r="N14" i="14"/>
  <c r="O13" i="14"/>
  <c r="N13" i="14"/>
  <c r="O12" i="14"/>
  <c r="N12" i="14"/>
  <c r="O11" i="14"/>
  <c r="N11" i="14"/>
  <c r="O10" i="14"/>
  <c r="N10" i="14"/>
  <c r="O9" i="14"/>
  <c r="N9" i="14"/>
  <c r="O8" i="14"/>
  <c r="N8" i="14"/>
  <c r="O7" i="14"/>
  <c r="N7" i="14"/>
  <c r="O6" i="14"/>
  <c r="N6" i="14"/>
  <c r="O5" i="14"/>
  <c r="N5" i="14"/>
  <c r="O4" i="14"/>
  <c r="N4" i="14"/>
  <c r="O3" i="14"/>
  <c r="N3" i="14"/>
  <c r="O2" i="14"/>
  <c r="N2" i="14"/>
  <c r="K17" i="11"/>
  <c r="J17" i="11"/>
  <c r="K16" i="11"/>
  <c r="J16" i="11"/>
  <c r="K15" i="11"/>
  <c r="J15" i="11"/>
  <c r="K14" i="11"/>
  <c r="J14" i="11"/>
  <c r="K13" i="11"/>
  <c r="J13" i="11"/>
  <c r="K12" i="11"/>
  <c r="J12" i="11"/>
  <c r="K11" i="11"/>
  <c r="J11" i="11"/>
  <c r="K10" i="11"/>
  <c r="J10" i="11"/>
  <c r="K9" i="11"/>
  <c r="J9" i="11"/>
  <c r="K8" i="11"/>
  <c r="J8" i="11"/>
  <c r="K7" i="11"/>
  <c r="J7" i="11"/>
  <c r="K6" i="11"/>
  <c r="J6" i="11"/>
  <c r="K5" i="11"/>
  <c r="J5" i="11"/>
  <c r="K4" i="11"/>
  <c r="J4" i="11"/>
  <c r="K3" i="11"/>
  <c r="J3" i="11"/>
  <c r="K2" i="11"/>
  <c r="J2" i="11"/>
  <c r="S18" i="15"/>
  <c r="R18" i="15"/>
  <c r="S17" i="15"/>
  <c r="R17" i="15"/>
  <c r="S16" i="15"/>
  <c r="R16" i="15"/>
  <c r="S15" i="15"/>
  <c r="R15" i="15"/>
  <c r="S14" i="15"/>
  <c r="R14" i="15"/>
  <c r="S13" i="15"/>
  <c r="R13" i="15"/>
  <c r="S12" i="15"/>
  <c r="R12" i="15"/>
  <c r="S11" i="15"/>
  <c r="R11" i="15"/>
  <c r="S10" i="15"/>
  <c r="R10" i="15"/>
  <c r="S9" i="15"/>
  <c r="R9" i="15"/>
  <c r="S8" i="15"/>
  <c r="R8" i="15"/>
  <c r="S7" i="15"/>
  <c r="R7" i="15"/>
  <c r="S6" i="15"/>
  <c r="R6" i="15"/>
  <c r="S5" i="15"/>
  <c r="R5" i="15"/>
  <c r="S4" i="15"/>
  <c r="R4" i="15"/>
  <c r="S3" i="15"/>
  <c r="R3" i="15"/>
  <c r="S2" i="15"/>
  <c r="R2" i="15"/>
  <c r="G17" i="11"/>
  <c r="F17" i="11"/>
  <c r="G16" i="11"/>
  <c r="F16" i="11"/>
  <c r="G15" i="11"/>
  <c r="F15" i="11"/>
  <c r="G14" i="11"/>
  <c r="F14" i="11"/>
  <c r="G13" i="11"/>
  <c r="F13" i="11"/>
  <c r="G12" i="11"/>
  <c r="F12" i="11"/>
  <c r="G11" i="11"/>
  <c r="F11" i="11"/>
  <c r="G10" i="11"/>
  <c r="F10" i="11"/>
  <c r="G9" i="11"/>
  <c r="F9" i="11"/>
  <c r="G8" i="11"/>
  <c r="F8" i="11"/>
  <c r="G7" i="11"/>
  <c r="F7" i="11"/>
  <c r="G6" i="11"/>
  <c r="F6" i="11"/>
  <c r="G5" i="11"/>
  <c r="F5" i="11"/>
  <c r="G4" i="11"/>
  <c r="F4" i="11"/>
  <c r="G3" i="11"/>
  <c r="F3" i="11"/>
  <c r="G2" i="11"/>
  <c r="F2" i="11"/>
  <c r="K14" i="14"/>
  <c r="J14" i="14"/>
  <c r="K13" i="14"/>
  <c r="J13" i="14"/>
  <c r="K12" i="14"/>
  <c r="J12" i="14"/>
  <c r="K11" i="14"/>
  <c r="J11" i="14"/>
  <c r="K10" i="14"/>
  <c r="J10" i="14"/>
  <c r="K9" i="14"/>
  <c r="J9" i="14"/>
  <c r="K8" i="14"/>
  <c r="J8" i="14"/>
  <c r="K7" i="14"/>
  <c r="J7" i="14"/>
  <c r="K6" i="14"/>
  <c r="J6" i="14"/>
  <c r="K5" i="14"/>
  <c r="J5" i="14"/>
  <c r="K4" i="14"/>
  <c r="J4" i="14"/>
  <c r="K3" i="14"/>
  <c r="J3" i="14"/>
  <c r="K2" i="14"/>
  <c r="J2" i="14"/>
  <c r="O18" i="15"/>
  <c r="N18" i="15"/>
  <c r="O17" i="15"/>
  <c r="N17" i="15"/>
  <c r="O16" i="15"/>
  <c r="N16" i="15"/>
  <c r="O15" i="15"/>
  <c r="N15" i="15"/>
  <c r="O14" i="15"/>
  <c r="N14" i="15"/>
  <c r="O13" i="15"/>
  <c r="N13" i="15"/>
  <c r="O12" i="15"/>
  <c r="N12" i="15"/>
  <c r="O11" i="15"/>
  <c r="N11" i="15"/>
  <c r="O10" i="15"/>
  <c r="N10" i="15"/>
  <c r="O9" i="15"/>
  <c r="N9" i="15"/>
  <c r="O8" i="15"/>
  <c r="N8" i="15"/>
  <c r="O7" i="15"/>
  <c r="N7" i="15"/>
  <c r="O6" i="15"/>
  <c r="N6" i="15"/>
  <c r="O5" i="15"/>
  <c r="N5" i="15"/>
  <c r="O4" i="15"/>
  <c r="N4" i="15"/>
  <c r="O3" i="15"/>
  <c r="N3" i="15"/>
  <c r="O2" i="15"/>
  <c r="N2" i="15"/>
  <c r="K19" i="15"/>
  <c r="J19" i="15"/>
  <c r="K18" i="15"/>
  <c r="J18" i="15"/>
  <c r="K17" i="15"/>
  <c r="J17" i="15"/>
  <c r="K16" i="15"/>
  <c r="J16" i="15"/>
  <c r="K15" i="15"/>
  <c r="J15" i="15"/>
  <c r="K14" i="15"/>
  <c r="J14" i="15"/>
  <c r="K13" i="15"/>
  <c r="J13" i="15"/>
  <c r="K12" i="15"/>
  <c r="J12" i="15"/>
  <c r="K11" i="15"/>
  <c r="J11" i="15"/>
  <c r="K10" i="15"/>
  <c r="J10" i="15"/>
  <c r="K9" i="15"/>
  <c r="J9" i="15"/>
  <c r="K8" i="15"/>
  <c r="J8" i="15"/>
  <c r="K7" i="15"/>
  <c r="J7" i="15"/>
  <c r="K6" i="15"/>
  <c r="J6" i="15"/>
  <c r="K5" i="15"/>
  <c r="J5" i="15"/>
  <c r="K4" i="15"/>
  <c r="J4" i="15"/>
  <c r="K3" i="15"/>
  <c r="J3" i="15"/>
  <c r="K2" i="15"/>
  <c r="J2" i="15"/>
  <c r="G19" i="15"/>
  <c r="F19" i="15"/>
  <c r="G18" i="15"/>
  <c r="F18" i="15"/>
  <c r="G17" i="15"/>
  <c r="F17" i="15"/>
  <c r="G16" i="15"/>
  <c r="F16" i="15"/>
  <c r="G15" i="15"/>
  <c r="F15" i="15"/>
  <c r="G14" i="15"/>
  <c r="F14" i="15"/>
  <c r="G13" i="15"/>
  <c r="F13" i="15"/>
  <c r="G12" i="15"/>
  <c r="F12" i="15"/>
  <c r="G11" i="15"/>
  <c r="F11" i="15"/>
  <c r="G10" i="15"/>
  <c r="F10" i="15"/>
  <c r="G9" i="15"/>
  <c r="F9" i="15"/>
  <c r="G8" i="15"/>
  <c r="F8" i="15"/>
  <c r="G7" i="15"/>
  <c r="F7" i="15"/>
  <c r="G6" i="15"/>
  <c r="F6" i="15"/>
  <c r="G5" i="15"/>
  <c r="F5" i="15"/>
  <c r="G4" i="15"/>
  <c r="F4" i="15"/>
  <c r="G3" i="15"/>
  <c r="F3" i="15"/>
  <c r="G2" i="15"/>
  <c r="F2" i="15"/>
  <c r="G15" i="14"/>
  <c r="F15" i="14"/>
  <c r="G14" i="14"/>
  <c r="F14" i="14"/>
  <c r="G13" i="14"/>
  <c r="F13" i="14"/>
  <c r="G12" i="14"/>
  <c r="F12" i="14"/>
  <c r="G11" i="14"/>
  <c r="F11" i="14"/>
  <c r="G10" i="14"/>
  <c r="F10" i="14"/>
  <c r="G9" i="14"/>
  <c r="F9" i="14"/>
  <c r="G8" i="14"/>
  <c r="F8" i="14"/>
  <c r="G7" i="14"/>
  <c r="F7" i="14"/>
  <c r="G6" i="14"/>
  <c r="F6" i="14"/>
  <c r="G5" i="14"/>
  <c r="F5" i="14"/>
  <c r="G4" i="14"/>
  <c r="F4" i="14"/>
  <c r="G3" i="14"/>
  <c r="F3" i="14"/>
  <c r="G2" i="14"/>
  <c r="F2" i="14"/>
  <c r="K13" i="16"/>
  <c r="J13" i="16"/>
  <c r="K12" i="16"/>
  <c r="J12" i="16"/>
  <c r="K11" i="16"/>
  <c r="J11" i="16"/>
  <c r="K10" i="16"/>
  <c r="J10" i="16"/>
  <c r="K9" i="16"/>
  <c r="J9" i="16"/>
  <c r="K8" i="16"/>
  <c r="J8" i="16"/>
  <c r="K7" i="16"/>
  <c r="J7" i="16"/>
  <c r="K6" i="16"/>
  <c r="J6" i="16"/>
  <c r="K5" i="16"/>
  <c r="J5" i="16"/>
  <c r="K4" i="16"/>
  <c r="J4" i="16"/>
  <c r="K3" i="16"/>
  <c r="J3" i="16"/>
  <c r="K2" i="16"/>
  <c r="J2" i="16"/>
  <c r="G15" i="16"/>
  <c r="F15" i="16"/>
  <c r="G14" i="16"/>
  <c r="F14" i="16"/>
  <c r="G13" i="16"/>
  <c r="F13" i="16"/>
  <c r="G12" i="16"/>
  <c r="F12" i="16"/>
  <c r="G11" i="16"/>
  <c r="F11" i="16"/>
  <c r="G10" i="16"/>
  <c r="F10" i="16"/>
  <c r="G9" i="16"/>
  <c r="F9" i="16"/>
  <c r="G8" i="16"/>
  <c r="F8" i="16"/>
  <c r="G7" i="16"/>
  <c r="F7" i="16"/>
  <c r="G6" i="16"/>
  <c r="F6" i="16"/>
  <c r="G5" i="16"/>
  <c r="F5" i="16"/>
  <c r="G4" i="16"/>
  <c r="F4" i="16"/>
  <c r="G3" i="16"/>
  <c r="F3" i="16"/>
  <c r="G2" i="16"/>
  <c r="F2" i="16"/>
  <c r="D3" i="16"/>
  <c r="D4" i="16"/>
  <c r="D5" i="16"/>
  <c r="D6" i="16"/>
  <c r="D7" i="16"/>
  <c r="D8" i="16"/>
  <c r="D9" i="16"/>
  <c r="D10" i="16"/>
  <c r="D11" i="16"/>
  <c r="D12" i="16"/>
  <c r="D13" i="16"/>
  <c r="D14" i="16"/>
  <c r="D2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5" i="16"/>
  <c r="B5" i="16"/>
  <c r="C4" i="16"/>
  <c r="B4" i="16"/>
  <c r="C3" i="16"/>
  <c r="B3" i="16"/>
  <c r="C2" i="16"/>
  <c r="B2" i="16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5" i="15"/>
  <c r="B5" i="15"/>
  <c r="C4" i="15"/>
  <c r="B4" i="15"/>
  <c r="C3" i="15"/>
  <c r="B3" i="15"/>
  <c r="C2" i="15"/>
  <c r="B2" i="15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5" i="14"/>
  <c r="B5" i="14"/>
  <c r="C4" i="14"/>
  <c r="B4" i="14"/>
  <c r="C3" i="14"/>
  <c r="B3" i="14"/>
  <c r="C2" i="14"/>
  <c r="B2" i="14"/>
  <c r="C18" i="11"/>
  <c r="B18" i="11"/>
  <c r="C17" i="11"/>
  <c r="B17" i="11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5" i="11"/>
  <c r="B5" i="11"/>
  <c r="C4" i="11"/>
  <c r="B4" i="11"/>
  <c r="C3" i="11"/>
  <c r="B3" i="11"/>
  <c r="C2" i="11"/>
  <c r="B2" i="11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5" i="13"/>
  <c r="B5" i="13"/>
  <c r="C4" i="13"/>
  <c r="B4" i="13"/>
  <c r="C3" i="13"/>
  <c r="B3" i="13"/>
  <c r="C2" i="13"/>
  <c r="B2" i="13"/>
  <c r="K15" i="12"/>
  <c r="J15" i="12"/>
  <c r="K14" i="12"/>
  <c r="J14" i="12"/>
  <c r="K13" i="12"/>
  <c r="J13" i="12"/>
  <c r="K12" i="12"/>
  <c r="J12" i="12"/>
  <c r="K11" i="12"/>
  <c r="J11" i="12"/>
  <c r="K10" i="12"/>
  <c r="J10" i="12"/>
  <c r="K9" i="12"/>
  <c r="J9" i="12"/>
  <c r="K8" i="12"/>
  <c r="J8" i="12"/>
  <c r="K7" i="12"/>
  <c r="J7" i="12"/>
  <c r="K6" i="12"/>
  <c r="J6" i="12"/>
  <c r="K5" i="12"/>
  <c r="J5" i="12"/>
  <c r="K4" i="12"/>
  <c r="J4" i="12"/>
  <c r="K3" i="12"/>
  <c r="J3" i="12"/>
  <c r="K2" i="12"/>
  <c r="J2" i="12"/>
  <c r="G15" i="12"/>
  <c r="F15" i="12"/>
  <c r="G14" i="12"/>
  <c r="F14" i="12"/>
  <c r="G13" i="12"/>
  <c r="F13" i="12"/>
  <c r="G12" i="12"/>
  <c r="F12" i="12"/>
  <c r="G11" i="12"/>
  <c r="F11" i="12"/>
  <c r="G10" i="12"/>
  <c r="F10" i="12"/>
  <c r="G9" i="12"/>
  <c r="F9" i="12"/>
  <c r="G8" i="12"/>
  <c r="F8" i="12"/>
  <c r="G7" i="12"/>
  <c r="F7" i="12"/>
  <c r="G6" i="12"/>
  <c r="F6" i="12"/>
  <c r="G5" i="12"/>
  <c r="F5" i="12"/>
  <c r="G4" i="12"/>
  <c r="F4" i="12"/>
  <c r="G3" i="12"/>
  <c r="F3" i="12"/>
  <c r="G2" i="12"/>
  <c r="F2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5" i="12"/>
  <c r="B5" i="12"/>
  <c r="C4" i="12"/>
  <c r="B4" i="12"/>
  <c r="C3" i="12"/>
  <c r="B3" i="12"/>
  <c r="C2" i="12"/>
  <c r="B2" i="12"/>
  <c r="Y19" i="6"/>
  <c r="Z12" i="8"/>
  <c r="Y12" i="8"/>
  <c r="Z11" i="8"/>
  <c r="Y11" i="8"/>
  <c r="Z10" i="8"/>
  <c r="Y10" i="8"/>
  <c r="Z9" i="8"/>
  <c r="Y9" i="8"/>
  <c r="Z8" i="8"/>
  <c r="Y8" i="8"/>
  <c r="Z7" i="8"/>
  <c r="Y7" i="8"/>
  <c r="Z6" i="8"/>
  <c r="Y6" i="8"/>
  <c r="Z5" i="8"/>
  <c r="Y5" i="8"/>
  <c r="Z4" i="8"/>
  <c r="Y4" i="8"/>
  <c r="Z3" i="8"/>
  <c r="Y3" i="8"/>
  <c r="Z2" i="8"/>
  <c r="Y2" i="8"/>
  <c r="AA3" i="8"/>
  <c r="AA4" i="8"/>
  <c r="AA5" i="8"/>
  <c r="AA6" i="8"/>
  <c r="AA7" i="8"/>
  <c r="AA8" i="8"/>
  <c r="AA9" i="8"/>
  <c r="AA10" i="8"/>
  <c r="AA11" i="8"/>
  <c r="AA12" i="8"/>
  <c r="AA2" i="8"/>
  <c r="Z12" i="4"/>
  <c r="Y12" i="4"/>
  <c r="Z11" i="4"/>
  <c r="Y11" i="4"/>
  <c r="Z10" i="4"/>
  <c r="Y10" i="4"/>
  <c r="Z9" i="4"/>
  <c r="Y9" i="4"/>
  <c r="Z8" i="4"/>
  <c r="Y8" i="4"/>
  <c r="Z7" i="4"/>
  <c r="Y7" i="4"/>
  <c r="Z6" i="4"/>
  <c r="Y6" i="4"/>
  <c r="Z5" i="4"/>
  <c r="Y5" i="4"/>
  <c r="Z4" i="4"/>
  <c r="Y4" i="4"/>
  <c r="Z3" i="4"/>
  <c r="Y3" i="4"/>
  <c r="Z2" i="4"/>
  <c r="Y2" i="4"/>
  <c r="AA10" i="4"/>
  <c r="AA11" i="4"/>
  <c r="AA12" i="4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  <c r="O10" i="1"/>
  <c r="O11" i="1"/>
  <c r="O12" i="1"/>
  <c r="O13" i="1"/>
  <c r="O14" i="1"/>
  <c r="R5" i="9"/>
  <c r="Q5" i="9"/>
  <c r="R4" i="9"/>
  <c r="Q4" i="9"/>
  <c r="R3" i="9"/>
  <c r="Q3" i="9"/>
  <c r="R2" i="9"/>
  <c r="Q2" i="9"/>
  <c r="S3" i="9"/>
  <c r="S4" i="9"/>
  <c r="S5" i="9"/>
  <c r="V9" i="7"/>
  <c r="U9" i="7"/>
  <c r="V8" i="7"/>
  <c r="U8" i="7"/>
  <c r="V7" i="7"/>
  <c r="U7" i="7"/>
  <c r="V6" i="7"/>
  <c r="U6" i="7"/>
  <c r="V5" i="7"/>
  <c r="U5" i="7"/>
  <c r="V4" i="7"/>
  <c r="U4" i="7"/>
  <c r="V3" i="7"/>
  <c r="U3" i="7"/>
  <c r="V2" i="7"/>
  <c r="U2" i="7"/>
  <c r="W7" i="7"/>
  <c r="W8" i="7"/>
  <c r="W9" i="7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W16" i="4"/>
  <c r="W17" i="4"/>
  <c r="W18" i="4"/>
  <c r="R13" i="7"/>
  <c r="Q13" i="7"/>
  <c r="R12" i="7"/>
  <c r="Q12" i="7"/>
  <c r="R11" i="7"/>
  <c r="Q11" i="7"/>
  <c r="R10" i="7"/>
  <c r="Q10" i="7"/>
  <c r="R9" i="7"/>
  <c r="Q9" i="7"/>
  <c r="R8" i="7"/>
  <c r="Q8" i="7"/>
  <c r="R7" i="7"/>
  <c r="Q7" i="7"/>
  <c r="R6" i="7"/>
  <c r="Q6" i="7"/>
  <c r="R5" i="7"/>
  <c r="Q5" i="7"/>
  <c r="R4" i="7"/>
  <c r="Q4" i="7"/>
  <c r="R3" i="7"/>
  <c r="Q3" i="7"/>
  <c r="R2" i="7"/>
  <c r="Q2" i="7"/>
  <c r="S7" i="7"/>
  <c r="S8" i="7"/>
  <c r="S9" i="7"/>
  <c r="S10" i="7"/>
  <c r="S11" i="7"/>
  <c r="S12" i="7"/>
  <c r="S13" i="7"/>
  <c r="V9" i="8"/>
  <c r="U9" i="8"/>
  <c r="V8" i="8"/>
  <c r="U8" i="8"/>
  <c r="V7" i="8"/>
  <c r="U7" i="8"/>
  <c r="V6" i="8"/>
  <c r="U6" i="8"/>
  <c r="V5" i="8"/>
  <c r="U5" i="8"/>
  <c r="V4" i="8"/>
  <c r="U4" i="8"/>
  <c r="V3" i="8"/>
  <c r="U3" i="8"/>
  <c r="V2" i="8"/>
  <c r="U2" i="8"/>
  <c r="W6" i="8"/>
  <c r="W7" i="8"/>
  <c r="W8" i="8"/>
  <c r="W9" i="8"/>
  <c r="N10" i="9"/>
  <c r="M10" i="9"/>
  <c r="N9" i="9"/>
  <c r="M9" i="9"/>
  <c r="N8" i="9"/>
  <c r="M8" i="9"/>
  <c r="N7" i="9"/>
  <c r="M7" i="9"/>
  <c r="N6" i="9"/>
  <c r="M6" i="9"/>
  <c r="N5" i="9"/>
  <c r="M5" i="9"/>
  <c r="N4" i="9"/>
  <c r="M4" i="9"/>
  <c r="N3" i="9"/>
  <c r="M3" i="9"/>
  <c r="N2" i="9"/>
  <c r="M2" i="9"/>
  <c r="O5" i="9"/>
  <c r="O6" i="9"/>
  <c r="O7" i="9"/>
  <c r="O8" i="9"/>
  <c r="O9" i="9"/>
  <c r="O10" i="9"/>
  <c r="J7" i="9"/>
  <c r="I7" i="9"/>
  <c r="J6" i="9"/>
  <c r="I6" i="9"/>
  <c r="J5" i="9"/>
  <c r="I5" i="9"/>
  <c r="J4" i="9"/>
  <c r="I4" i="9"/>
  <c r="I3" i="9"/>
  <c r="J3" i="9"/>
  <c r="J2" i="9"/>
  <c r="I2" i="9"/>
  <c r="K3" i="9"/>
  <c r="K4" i="9"/>
  <c r="K5" i="9"/>
  <c r="K6" i="9"/>
  <c r="K7" i="9"/>
  <c r="Z20" i="6"/>
  <c r="Y20" i="6"/>
  <c r="Z19" i="6"/>
  <c r="Z18" i="6"/>
  <c r="Y18" i="6"/>
  <c r="Z17" i="6"/>
  <c r="Y17" i="6"/>
  <c r="Z16" i="6"/>
  <c r="Y16" i="6"/>
  <c r="Z15" i="6"/>
  <c r="Y15" i="6"/>
  <c r="Z14" i="6"/>
  <c r="Y14" i="6"/>
  <c r="Z13" i="6"/>
  <c r="Y13" i="6"/>
  <c r="Z12" i="6"/>
  <c r="Y12" i="6"/>
  <c r="Z11" i="6"/>
  <c r="Y11" i="6"/>
  <c r="Z10" i="6"/>
  <c r="Y10" i="6"/>
  <c r="Z9" i="6"/>
  <c r="Y9" i="6"/>
  <c r="Z8" i="6"/>
  <c r="Y8" i="6"/>
  <c r="Z7" i="6"/>
  <c r="Y7" i="6"/>
  <c r="Z6" i="6"/>
  <c r="Y6" i="6"/>
  <c r="Z5" i="6"/>
  <c r="Y5" i="6"/>
  <c r="Z4" i="6"/>
  <c r="Y4" i="6"/>
  <c r="Z3" i="6"/>
  <c r="Y3" i="6"/>
  <c r="Z2" i="6"/>
  <c r="Y2" i="6"/>
  <c r="AA20" i="6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F2" i="9"/>
  <c r="E2" i="9"/>
  <c r="G10" i="9"/>
  <c r="G11" i="9"/>
  <c r="G12" i="9"/>
  <c r="G13" i="9"/>
  <c r="G14" i="9"/>
  <c r="R8" i="8"/>
  <c r="Q8" i="8"/>
  <c r="R7" i="8"/>
  <c r="Q7" i="8"/>
  <c r="R6" i="8"/>
  <c r="Q6" i="8"/>
  <c r="R5" i="8"/>
  <c r="Q5" i="8"/>
  <c r="R4" i="8"/>
  <c r="Q4" i="8"/>
  <c r="R3" i="8"/>
  <c r="Q3" i="8"/>
  <c r="R2" i="8"/>
  <c r="Q2" i="8"/>
  <c r="S4" i="8"/>
  <c r="S5" i="8"/>
  <c r="S6" i="8"/>
  <c r="S7" i="8"/>
  <c r="S8" i="8"/>
  <c r="N9" i="8"/>
  <c r="M9" i="8"/>
  <c r="N8" i="8"/>
  <c r="M8" i="8"/>
  <c r="N7" i="8"/>
  <c r="M7" i="8"/>
  <c r="N6" i="8"/>
  <c r="M6" i="8"/>
  <c r="N5" i="8"/>
  <c r="M5" i="8"/>
  <c r="N4" i="8"/>
  <c r="M4" i="8"/>
  <c r="N3" i="8"/>
  <c r="M3" i="8"/>
  <c r="N2" i="8"/>
  <c r="M2" i="8"/>
  <c r="O4" i="8"/>
  <c r="O5" i="8"/>
  <c r="O6" i="8"/>
  <c r="O7" i="8"/>
  <c r="O8" i="8"/>
  <c r="O9" i="8"/>
  <c r="B4" i="9"/>
  <c r="A4" i="9"/>
  <c r="B3" i="9"/>
  <c r="A3" i="9"/>
  <c r="B2" i="9"/>
  <c r="A2" i="9"/>
  <c r="N12" i="7"/>
  <c r="M12" i="7"/>
  <c r="N11" i="7"/>
  <c r="M11" i="7"/>
  <c r="N10" i="7"/>
  <c r="M10" i="7"/>
  <c r="N9" i="7"/>
  <c r="M9" i="7"/>
  <c r="N8" i="7"/>
  <c r="M8" i="7"/>
  <c r="N7" i="7"/>
  <c r="M7" i="7"/>
  <c r="N6" i="7"/>
  <c r="M6" i="7"/>
  <c r="N5" i="7"/>
  <c r="M5" i="7"/>
  <c r="N4" i="7"/>
  <c r="M4" i="7"/>
  <c r="N3" i="7"/>
  <c r="M3" i="7"/>
  <c r="N2" i="7"/>
  <c r="M2" i="7"/>
  <c r="O8" i="7"/>
  <c r="O9" i="7"/>
  <c r="O10" i="7"/>
  <c r="O11" i="7"/>
  <c r="O12" i="7"/>
  <c r="J12" i="7"/>
  <c r="I12" i="7"/>
  <c r="J11" i="7"/>
  <c r="I11" i="7"/>
  <c r="J10" i="7"/>
  <c r="I10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2" i="7"/>
  <c r="I2" i="7"/>
  <c r="K8" i="7"/>
  <c r="K9" i="7"/>
  <c r="K10" i="7"/>
  <c r="K11" i="7"/>
  <c r="K12" i="7"/>
  <c r="R15" i="4"/>
  <c r="Q15" i="4"/>
  <c r="R14" i="4"/>
  <c r="Q14" i="4"/>
  <c r="R13" i="4"/>
  <c r="Q13" i="4"/>
  <c r="R12" i="4"/>
  <c r="Q12" i="4"/>
  <c r="R11" i="4"/>
  <c r="Q11" i="4"/>
  <c r="R10" i="4"/>
  <c r="Q10" i="4"/>
  <c r="R9" i="4"/>
  <c r="Q9" i="4"/>
  <c r="R8" i="4"/>
  <c r="Q8" i="4"/>
  <c r="R7" i="4"/>
  <c r="Q7" i="4"/>
  <c r="R6" i="4"/>
  <c r="Q6" i="4"/>
  <c r="R5" i="4"/>
  <c r="Q5" i="4"/>
  <c r="R4" i="4"/>
  <c r="Q4" i="4"/>
  <c r="R3" i="4"/>
  <c r="N4" i="4"/>
  <c r="Q3" i="4"/>
  <c r="R2" i="4"/>
  <c r="Q2" i="4"/>
  <c r="S11" i="4"/>
  <c r="S12" i="4"/>
  <c r="S13" i="4"/>
  <c r="S14" i="4"/>
  <c r="S15" i="4"/>
  <c r="V16" i="6"/>
  <c r="U16" i="6"/>
  <c r="V15" i="6"/>
  <c r="U15" i="6"/>
  <c r="V14" i="6"/>
  <c r="U14" i="6"/>
  <c r="V13" i="6"/>
  <c r="U13" i="6"/>
  <c r="V12" i="6"/>
  <c r="U12" i="6"/>
  <c r="V11" i="6"/>
  <c r="U11" i="6"/>
  <c r="V10" i="6"/>
  <c r="U10" i="6"/>
  <c r="V9" i="6"/>
  <c r="U9" i="6"/>
  <c r="V8" i="6"/>
  <c r="U8" i="6"/>
  <c r="V7" i="6"/>
  <c r="U7" i="6"/>
  <c r="V6" i="6"/>
  <c r="U6" i="6"/>
  <c r="V5" i="6"/>
  <c r="U5" i="6"/>
  <c r="V4" i="6"/>
  <c r="U4" i="6"/>
  <c r="V3" i="6"/>
  <c r="U3" i="6"/>
  <c r="R3" i="6"/>
  <c r="V2" i="6"/>
  <c r="U2" i="6"/>
  <c r="W13" i="6"/>
  <c r="W14" i="6"/>
  <c r="W15" i="6"/>
  <c r="W16" i="6"/>
  <c r="N14" i="4"/>
  <c r="M14" i="4"/>
  <c r="N13" i="4"/>
  <c r="M13" i="4"/>
  <c r="N12" i="4"/>
  <c r="M12" i="4"/>
  <c r="N11" i="4"/>
  <c r="M11" i="4"/>
  <c r="N10" i="4"/>
  <c r="M10" i="4"/>
  <c r="N9" i="4"/>
  <c r="M9" i="4"/>
  <c r="N8" i="4"/>
  <c r="M8" i="4"/>
  <c r="N7" i="4"/>
  <c r="M7" i="4"/>
  <c r="N6" i="4"/>
  <c r="M6" i="4"/>
  <c r="N5" i="4"/>
  <c r="M5" i="4"/>
  <c r="M4" i="4"/>
  <c r="N3" i="4"/>
  <c r="M3" i="4"/>
  <c r="J2" i="4"/>
  <c r="N2" i="4"/>
  <c r="M2" i="4"/>
  <c r="O11" i="4"/>
  <c r="O12" i="4"/>
  <c r="O13" i="4"/>
  <c r="O14" i="4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F2" i="1"/>
  <c r="J2" i="1"/>
  <c r="I2" i="1"/>
  <c r="K16" i="1"/>
  <c r="K17" i="1"/>
  <c r="K18" i="1"/>
  <c r="R18" i="6"/>
  <c r="Q18" i="6"/>
  <c r="R17" i="6"/>
  <c r="Q17" i="6"/>
  <c r="R16" i="6"/>
  <c r="Q16" i="6"/>
  <c r="R15" i="6"/>
  <c r="Q15" i="6"/>
  <c r="R14" i="6"/>
  <c r="Q14" i="6"/>
  <c r="R13" i="6"/>
  <c r="Q13" i="6"/>
  <c r="R12" i="6"/>
  <c r="Q12" i="6"/>
  <c r="R11" i="6"/>
  <c r="Q11" i="6"/>
  <c r="R10" i="6"/>
  <c r="Q10" i="6"/>
  <c r="R9" i="6"/>
  <c r="Q9" i="6"/>
  <c r="R8" i="6"/>
  <c r="Q8" i="6"/>
  <c r="R7" i="6"/>
  <c r="Q7" i="6"/>
  <c r="R6" i="6"/>
  <c r="Q6" i="6"/>
  <c r="R5" i="6"/>
  <c r="Q5" i="6"/>
  <c r="R4" i="6"/>
  <c r="Q4" i="6"/>
  <c r="Q3" i="6"/>
  <c r="N2" i="6"/>
  <c r="R2" i="6"/>
  <c r="Q2" i="6"/>
  <c r="S16" i="6"/>
  <c r="S17" i="6"/>
  <c r="S18" i="6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B2" i="1"/>
  <c r="E2" i="1"/>
  <c r="G15" i="1"/>
  <c r="G16" i="1"/>
  <c r="G17" i="1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I2" i="4"/>
  <c r="K12" i="4"/>
  <c r="K13" i="4"/>
  <c r="K14" i="4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7" i="6"/>
  <c r="M7" i="6"/>
  <c r="N6" i="6"/>
  <c r="M6" i="6"/>
  <c r="N5" i="6"/>
  <c r="M5" i="6"/>
  <c r="N4" i="6"/>
  <c r="M4" i="6"/>
  <c r="N3" i="6"/>
  <c r="M3" i="6"/>
  <c r="M2" i="6"/>
  <c r="O16" i="6"/>
  <c r="O17" i="6"/>
  <c r="O18" i="6"/>
  <c r="O19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  <c r="K19" i="6"/>
  <c r="K20" i="6"/>
  <c r="J16" i="8"/>
  <c r="I16" i="8"/>
  <c r="J15" i="8"/>
  <c r="I15" i="8"/>
  <c r="J14" i="8"/>
  <c r="I14" i="8"/>
  <c r="J13" i="8"/>
  <c r="I13" i="8"/>
  <c r="J12" i="8"/>
  <c r="I12" i="8"/>
  <c r="J11" i="8"/>
  <c r="I11" i="8"/>
  <c r="J10" i="8"/>
  <c r="I10" i="8"/>
  <c r="J9" i="8"/>
  <c r="I9" i="8"/>
  <c r="J8" i="8"/>
  <c r="I8" i="8"/>
  <c r="J7" i="8"/>
  <c r="I7" i="8"/>
  <c r="J6" i="8"/>
  <c r="I6" i="8"/>
  <c r="J5" i="8"/>
  <c r="I5" i="8"/>
  <c r="J4" i="8"/>
  <c r="I4" i="8"/>
  <c r="J3" i="8"/>
  <c r="I3" i="8"/>
  <c r="J2" i="8"/>
  <c r="I2" i="8"/>
  <c r="K14" i="8"/>
  <c r="K15" i="8"/>
  <c r="K16" i="8"/>
  <c r="F15" i="8"/>
  <c r="E15" i="8"/>
  <c r="F14" i="8"/>
  <c r="E14" i="8"/>
  <c r="F13" i="8"/>
  <c r="E13" i="8"/>
  <c r="F12" i="8"/>
  <c r="E12" i="8"/>
  <c r="F11" i="8"/>
  <c r="E11" i="8"/>
  <c r="F10" i="8"/>
  <c r="E10" i="8"/>
  <c r="F9" i="8"/>
  <c r="E9" i="8"/>
  <c r="F8" i="8"/>
  <c r="E8" i="8"/>
  <c r="F7" i="8"/>
  <c r="E7" i="8"/>
  <c r="F6" i="8"/>
  <c r="E6" i="8"/>
  <c r="F5" i="8"/>
  <c r="E5" i="8"/>
  <c r="F4" i="8"/>
  <c r="E4" i="8"/>
  <c r="F3" i="8"/>
  <c r="E3" i="8"/>
  <c r="F2" i="8"/>
  <c r="E2" i="8"/>
  <c r="B2" i="8"/>
  <c r="G13" i="8"/>
  <c r="G14" i="8"/>
  <c r="G15" i="8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F3" i="6"/>
  <c r="E3" i="6"/>
  <c r="F2" i="6"/>
  <c r="E2" i="6"/>
  <c r="B2" i="6"/>
  <c r="G17" i="6"/>
  <c r="G18" i="6"/>
  <c r="G19" i="6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G10" i="4"/>
  <c r="G11" i="4"/>
  <c r="G12" i="4"/>
  <c r="G13" i="4"/>
  <c r="G14" i="4"/>
  <c r="G15" i="4"/>
  <c r="F13" i="7"/>
  <c r="E13" i="7"/>
  <c r="F12" i="7"/>
  <c r="E12" i="7"/>
  <c r="F11" i="7"/>
  <c r="E11" i="7"/>
  <c r="F10" i="7"/>
  <c r="E10" i="7"/>
  <c r="F9" i="7"/>
  <c r="E9" i="7"/>
  <c r="F8" i="7"/>
  <c r="E8" i="7"/>
  <c r="F7" i="7"/>
  <c r="E7" i="7"/>
  <c r="F6" i="7"/>
  <c r="E6" i="7"/>
  <c r="F5" i="7"/>
  <c r="E5" i="7"/>
  <c r="F4" i="7"/>
  <c r="E4" i="7"/>
  <c r="F3" i="7"/>
  <c r="E3" i="7"/>
  <c r="F2" i="7"/>
  <c r="E2" i="7"/>
  <c r="G11" i="7"/>
  <c r="G12" i="7"/>
  <c r="G13" i="7"/>
  <c r="B15" i="7"/>
  <c r="A15" i="7"/>
  <c r="B14" i="7"/>
  <c r="A14" i="7"/>
  <c r="B13" i="7"/>
  <c r="A13" i="7"/>
  <c r="B12" i="7"/>
  <c r="A12" i="7"/>
  <c r="B11" i="7"/>
  <c r="A11" i="7"/>
  <c r="B10" i="7"/>
  <c r="A10" i="7"/>
  <c r="B9" i="7"/>
  <c r="A9" i="7"/>
  <c r="B8" i="7"/>
  <c r="A8" i="7"/>
  <c r="B7" i="7"/>
  <c r="A7" i="7"/>
  <c r="B6" i="7"/>
  <c r="A6" i="7"/>
  <c r="B5" i="7"/>
  <c r="A5" i="7"/>
  <c r="B4" i="7"/>
  <c r="A4" i="7"/>
  <c r="B3" i="7"/>
  <c r="A3" i="7"/>
  <c r="B2" i="7"/>
  <c r="A2" i="7"/>
  <c r="C11" i="7"/>
  <c r="C12" i="7"/>
  <c r="C13" i="7"/>
  <c r="C14" i="7"/>
  <c r="C15" i="7"/>
  <c r="A15" i="8"/>
  <c r="B15" i="8"/>
  <c r="B14" i="8"/>
  <c r="A14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B6" i="8"/>
  <c r="A6" i="8"/>
  <c r="B5" i="8"/>
  <c r="A5" i="8"/>
  <c r="B4" i="8"/>
  <c r="A4" i="8"/>
  <c r="B3" i="8"/>
  <c r="A3" i="8"/>
  <c r="A2" i="8"/>
  <c r="C9" i="8"/>
  <c r="C10" i="8"/>
  <c r="C11" i="8"/>
  <c r="C12" i="8"/>
  <c r="C13" i="8"/>
  <c r="C14" i="8"/>
  <c r="C15" i="8"/>
  <c r="C2" i="7"/>
  <c r="C3" i="7"/>
  <c r="C4" i="7"/>
  <c r="C5" i="7"/>
  <c r="C6" i="7"/>
  <c r="C7" i="7"/>
  <c r="C8" i="7"/>
  <c r="C9" i="7"/>
  <c r="C10" i="7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A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C16" i="1"/>
  <c r="C17" i="1"/>
  <c r="C18" i="1"/>
  <c r="A2" i="1"/>
  <c r="AA3" i="4"/>
  <c r="AA4" i="4"/>
  <c r="AA5" i="4"/>
  <c r="AA6" i="4"/>
  <c r="AA7" i="4"/>
  <c r="AA8" i="4"/>
  <c r="AA9" i="4"/>
  <c r="AA2" i="4"/>
  <c r="O3" i="1"/>
  <c r="O4" i="1"/>
  <c r="O5" i="1"/>
  <c r="O6" i="1"/>
  <c r="O7" i="1"/>
  <c r="O8" i="1"/>
  <c r="O9" i="1"/>
  <c r="O2" i="1"/>
  <c r="S2" i="9"/>
  <c r="W3" i="4"/>
  <c r="W4" i="4"/>
  <c r="W5" i="4"/>
  <c r="W6" i="4"/>
  <c r="W7" i="4"/>
  <c r="W8" i="4"/>
  <c r="W9" i="4"/>
  <c r="W10" i="4"/>
  <c r="W11" i="4"/>
  <c r="W12" i="4"/>
  <c r="W13" i="4"/>
  <c r="W14" i="4"/>
  <c r="W15" i="4"/>
  <c r="W2" i="4"/>
  <c r="W3" i="7"/>
  <c r="W4" i="7"/>
  <c r="W5" i="7"/>
  <c r="W6" i="7"/>
  <c r="W2" i="7"/>
  <c r="W2" i="8"/>
  <c r="W3" i="8"/>
  <c r="W4" i="8"/>
  <c r="W5" i="8"/>
  <c r="O2" i="9"/>
  <c r="O3" i="9"/>
  <c r="O4" i="9"/>
  <c r="K2" i="9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" i="6"/>
  <c r="G3" i="9"/>
  <c r="G4" i="9"/>
  <c r="G5" i="9"/>
  <c r="G6" i="9"/>
  <c r="G7" i="9"/>
  <c r="G8" i="9"/>
  <c r="G9" i="9"/>
  <c r="G2" i="9"/>
  <c r="S2" i="8"/>
  <c r="S3" i="8"/>
  <c r="O2" i="8"/>
  <c r="O3" i="8"/>
  <c r="C2" i="9"/>
  <c r="S3" i="7"/>
  <c r="S4" i="7"/>
  <c r="S5" i="7"/>
  <c r="S6" i="7"/>
  <c r="S2" i="7"/>
  <c r="O3" i="7"/>
  <c r="O4" i="7"/>
  <c r="O5" i="7"/>
  <c r="O6" i="7"/>
  <c r="O7" i="7"/>
  <c r="O2" i="7"/>
  <c r="S2" i="4"/>
  <c r="S3" i="4"/>
  <c r="S4" i="4"/>
  <c r="S5" i="4"/>
  <c r="S6" i="4"/>
  <c r="S7" i="4"/>
  <c r="S8" i="4"/>
  <c r="S9" i="4"/>
  <c r="S10" i="4"/>
  <c r="W2" i="6"/>
  <c r="W3" i="6"/>
  <c r="W4" i="6"/>
  <c r="W5" i="6"/>
  <c r="W6" i="6"/>
  <c r="W7" i="6"/>
  <c r="W8" i="6"/>
  <c r="W9" i="6"/>
  <c r="W10" i="6"/>
  <c r="W11" i="6"/>
  <c r="W12" i="6"/>
  <c r="O3" i="4"/>
  <c r="O4" i="4"/>
  <c r="O5" i="4"/>
  <c r="O6" i="4"/>
  <c r="O7" i="4"/>
  <c r="O8" i="4"/>
  <c r="O9" i="4"/>
  <c r="O10" i="4"/>
  <c r="O2" i="4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S3" i="6"/>
  <c r="S4" i="6"/>
  <c r="S5" i="6"/>
  <c r="S6" i="6"/>
  <c r="S7" i="6"/>
  <c r="S8" i="6"/>
  <c r="S9" i="6"/>
  <c r="S10" i="6"/>
  <c r="S11" i="6"/>
  <c r="S12" i="6"/>
  <c r="S13" i="6"/>
  <c r="S14" i="6"/>
  <c r="S15" i="6"/>
  <c r="S2" i="6"/>
  <c r="G2" i="1"/>
  <c r="G3" i="1"/>
  <c r="G4" i="1"/>
  <c r="G5" i="1"/>
  <c r="G6" i="1"/>
  <c r="G7" i="1"/>
  <c r="G8" i="1"/>
  <c r="G9" i="1"/>
  <c r="G10" i="1"/>
  <c r="G11" i="1"/>
  <c r="G12" i="1"/>
  <c r="G13" i="1"/>
  <c r="G14" i="1"/>
  <c r="K3" i="4"/>
  <c r="K4" i="4"/>
  <c r="K5" i="4"/>
  <c r="K6" i="4"/>
  <c r="K7" i="4"/>
  <c r="K8" i="4"/>
  <c r="K9" i="4"/>
  <c r="K10" i="4"/>
  <c r="K11" i="4"/>
  <c r="K2" i="4"/>
  <c r="O3" i="6"/>
  <c r="O4" i="6"/>
  <c r="O5" i="6"/>
  <c r="O6" i="6"/>
  <c r="O7" i="6"/>
  <c r="O8" i="6"/>
  <c r="O9" i="6"/>
  <c r="O10" i="6"/>
  <c r="O11" i="6"/>
  <c r="O12" i="6"/>
  <c r="O13" i="6"/>
  <c r="O14" i="6"/>
  <c r="O15" i="6"/>
  <c r="O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2" i="6"/>
  <c r="K3" i="8"/>
  <c r="K4" i="8"/>
  <c r="K5" i="8"/>
  <c r="K6" i="8"/>
  <c r="K7" i="8"/>
  <c r="K8" i="8"/>
  <c r="K9" i="8"/>
  <c r="K10" i="8"/>
  <c r="K11" i="8"/>
  <c r="K12" i="8"/>
  <c r="K13" i="8"/>
  <c r="K2" i="8"/>
  <c r="G3" i="8"/>
  <c r="G4" i="8"/>
  <c r="G5" i="8"/>
  <c r="G6" i="8"/>
  <c r="G7" i="8"/>
  <c r="G8" i="8"/>
  <c r="G9" i="8"/>
  <c r="G10" i="8"/>
  <c r="G11" i="8"/>
  <c r="G12" i="8"/>
  <c r="G2" i="8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2" i="6"/>
  <c r="G3" i="4"/>
  <c r="G4" i="4"/>
  <c r="G5" i="4"/>
  <c r="G6" i="4"/>
  <c r="G7" i="4"/>
  <c r="G8" i="4"/>
  <c r="G9" i="4"/>
  <c r="G2" i="4"/>
  <c r="K2" i="7"/>
  <c r="K3" i="7"/>
  <c r="K4" i="7"/>
  <c r="K5" i="7"/>
  <c r="K6" i="7"/>
  <c r="K7" i="7"/>
  <c r="G3" i="7"/>
  <c r="G4" i="7"/>
  <c r="G5" i="7"/>
  <c r="G6" i="7"/>
  <c r="G7" i="7"/>
  <c r="G8" i="7"/>
  <c r="G9" i="7"/>
  <c r="G10" i="7"/>
  <c r="G2" i="7"/>
  <c r="C3" i="8"/>
  <c r="C4" i="8"/>
  <c r="C5" i="8"/>
  <c r="C6" i="8"/>
  <c r="C7" i="8"/>
  <c r="C8" i="8"/>
  <c r="C2" i="8"/>
  <c r="C2" i="6"/>
  <c r="C3" i="4"/>
  <c r="C4" i="4"/>
  <c r="C5" i="4"/>
  <c r="C6" i="4"/>
  <c r="C7" i="4"/>
  <c r="C8" i="4"/>
  <c r="C9" i="4"/>
  <c r="C2" i="4"/>
  <c r="C13" i="1"/>
  <c r="C14" i="1"/>
  <c r="C15" i="1"/>
  <c r="C11" i="1"/>
  <c r="C12" i="1"/>
  <c r="C3" i="1"/>
  <c r="C4" i="1"/>
  <c r="C5" i="1"/>
  <c r="C6" i="1"/>
  <c r="C7" i="1"/>
  <c r="C8" i="1"/>
  <c r="C9" i="1"/>
  <c r="C10" i="1"/>
  <c r="C2" i="1"/>
  <c r="AB2" i="14" l="1"/>
  <c r="AB3" i="14"/>
  <c r="AB4" i="14"/>
  <c r="AB5" i="14"/>
  <c r="AB6" i="14"/>
  <c r="AB7" i="14"/>
  <c r="AB8" i="14"/>
  <c r="AB9" i="14"/>
  <c r="AB10" i="14"/>
  <c r="AB11" i="14"/>
  <c r="AB12" i="14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AB2" i="16"/>
  <c r="AB3" i="16"/>
  <c r="AB4" i="16"/>
  <c r="AB5" i="16"/>
  <c r="AB6" i="16"/>
  <c r="AB7" i="16"/>
  <c r="AB8" i="16"/>
  <c r="AB9" i="16"/>
  <c r="X2" i="14"/>
  <c r="X3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2" i="16"/>
  <c r="X3" i="16"/>
  <c r="X4" i="16"/>
  <c r="X5" i="16"/>
  <c r="X6" i="16"/>
  <c r="X7" i="16"/>
  <c r="X8" i="16"/>
  <c r="X9" i="16"/>
  <c r="X10" i="16"/>
  <c r="X11" i="16"/>
  <c r="X12" i="16"/>
  <c r="X13" i="16"/>
  <c r="AB2" i="15"/>
  <c r="AB3" i="15"/>
  <c r="AB4" i="15"/>
  <c r="AB5" i="15"/>
  <c r="AB6" i="15"/>
  <c r="AB7" i="15"/>
  <c r="AB8" i="15"/>
  <c r="AB9" i="15"/>
  <c r="AB10" i="15"/>
  <c r="AB11" i="15"/>
  <c r="AB12" i="15"/>
  <c r="AB13" i="15"/>
  <c r="AB14" i="15"/>
  <c r="AB15" i="15"/>
  <c r="AB16" i="15"/>
  <c r="AB17" i="15"/>
  <c r="AB18" i="15"/>
  <c r="AB19" i="15"/>
  <c r="T2" i="16"/>
  <c r="T3" i="16"/>
  <c r="T4" i="16"/>
  <c r="T5" i="16"/>
  <c r="T6" i="16"/>
  <c r="T7" i="16"/>
  <c r="T8" i="16"/>
  <c r="T9" i="16"/>
  <c r="T10" i="16"/>
  <c r="T11" i="16"/>
  <c r="T12" i="16"/>
  <c r="P2" i="16"/>
  <c r="P3" i="16"/>
  <c r="P4" i="16"/>
  <c r="P5" i="16"/>
  <c r="P6" i="16"/>
  <c r="P7" i="16"/>
  <c r="P8" i="16"/>
  <c r="P9" i="16"/>
  <c r="P10" i="16"/>
  <c r="P11" i="16"/>
  <c r="P12" i="16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X2" i="15"/>
  <c r="X3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P2" i="14"/>
  <c r="P3" i="14"/>
  <c r="P4" i="14"/>
  <c r="P5" i="14"/>
  <c r="P6" i="14"/>
  <c r="P7" i="14"/>
  <c r="P8" i="14"/>
  <c r="P9" i="14"/>
  <c r="P10" i="14"/>
  <c r="P11" i="14"/>
  <c r="P12" i="14"/>
  <c r="P13" i="14"/>
  <c r="P14" i="14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T2" i="15"/>
  <c r="T3" i="15"/>
  <c r="T4" i="15"/>
  <c r="T5" i="15"/>
  <c r="T6" i="15"/>
  <c r="T7" i="15"/>
  <c r="T8" i="15"/>
  <c r="T9" i="15"/>
  <c r="T10" i="15"/>
  <c r="T11" i="15"/>
  <c r="T12" i="15"/>
  <c r="T13" i="15"/>
  <c r="T14" i="15"/>
  <c r="T15" i="15"/>
  <c r="T16" i="15"/>
  <c r="T17" i="15"/>
  <c r="T18" i="15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L2" i="14"/>
  <c r="L3" i="14"/>
  <c r="L4" i="14"/>
  <c r="L5" i="14"/>
  <c r="L6" i="14"/>
  <c r="L7" i="14"/>
  <c r="L8" i="14"/>
  <c r="L9" i="14"/>
  <c r="L10" i="14"/>
  <c r="L11" i="14"/>
  <c r="L12" i="14"/>
  <c r="L13" i="14"/>
  <c r="L14" i="14"/>
  <c r="P2" i="15"/>
  <c r="P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L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L2" i="16"/>
  <c r="L3" i="16"/>
  <c r="L4" i="16"/>
  <c r="L5" i="16"/>
  <c r="L6" i="16"/>
  <c r="L7" i="16"/>
  <c r="L8" i="16"/>
  <c r="L9" i="16"/>
  <c r="L10" i="16"/>
  <c r="L11" i="16"/>
  <c r="L12" i="16"/>
  <c r="L13" i="16"/>
  <c r="H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D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L11" i="12"/>
  <c r="L12" i="12"/>
  <c r="L13" i="12"/>
  <c r="L14" i="12"/>
  <c r="L15" i="12"/>
  <c r="L2" i="12"/>
  <c r="L3" i="12"/>
  <c r="L4" i="12"/>
  <c r="L5" i="12"/>
  <c r="L6" i="12"/>
  <c r="L7" i="12"/>
  <c r="L8" i="12"/>
  <c r="L9" i="12"/>
  <c r="L10" i="12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C3" i="9"/>
  <c r="C4" i="9"/>
  <c r="C10" i="4"/>
  <c r="C11" i="4"/>
  <c r="C12" i="4"/>
  <c r="C13" i="4"/>
  <c r="C14" i="4"/>
</calcChain>
</file>

<file path=xl/sharedStrings.xml><?xml version="1.0" encoding="utf-8"?>
<sst xmlns="http://schemas.openxmlformats.org/spreadsheetml/2006/main" count="221" uniqueCount="25">
  <si>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</si>
  <si>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</si>
  <si>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</si>
  <si>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</si>
  <si>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</si>
  <si>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</si>
  <si>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</si>
  <si>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</si>
  <si>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</si>
  <si>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</si>
  <si>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</si>
  <si>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</si>
  <si>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</si>
  <si>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</si>
  <si>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</si>
  <si>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</si>
  <si>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</si>
  <si>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</si>
  <si>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</si>
  <si>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</si>
  <si>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Buzz Time</t>
  </si>
  <si>
    <t>Speaking Time</t>
  </si>
  <si>
    <t>Delay</t>
  </si>
  <si>
    <t>delay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</si>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</sst>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rgb="FF45454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65EFF-5A4A-41B0-9D74-498F8CEC3AF2}">
  <dimension ref="A1:B20"/>
  <sheetViews>
    <sheetView workbookViewId="0">
      <selection sqref="A1:B21"/>
    </sheetView>
  </sheetViews>
  <sheetFormatPr defaultRowHeight="15"/>
  <sheetData>
    <row r="1" spans="1:2">
      <c r="A1" t="s">
        <v>0</v>
      </c>
      <c r="B1">
        <v>44</v>
      </c>
    </row>
    <row r="2" spans="1:2">
      <c r="A2" t="s">
        <v>1</v>
      </c>
      <c r="B2">
        <v>42</v>
      </c>
    </row>
    <row r="3" spans="1:2">
      <c r="A3" t="s">
        <v>2</v>
      </c>
      <c r="B3">
        <v>37</v>
      </c>
    </row>
    <row r="4" spans="1:2">
      <c r="A4" t="s">
        <v>3</v>
      </c>
      <c r="B4">
        <v>44</v>
      </c>
    </row>
    <row r="5" spans="1:2">
      <c r="A5" t="s">
        <v>4</v>
      </c>
      <c r="B5">
        <v>47</v>
      </c>
    </row>
    <row r="6" spans="1:2">
      <c r="A6" t="s">
        <v>5</v>
      </c>
      <c r="B6">
        <v>41</v>
      </c>
    </row>
    <row r="7" spans="1:2">
      <c r="A7" t="s">
        <v>6</v>
      </c>
      <c r="B7">
        <v>44</v>
      </c>
    </row>
    <row r="8" spans="1:2">
      <c r="A8" t="s">
        <v>7</v>
      </c>
      <c r="B8">
        <v>51</v>
      </c>
    </row>
    <row r="9" spans="1:2">
      <c r="A9" t="s">
        <v>8</v>
      </c>
      <c r="B9">
        <v>49</v>
      </c>
    </row>
    <row r="10" spans="1:2">
      <c r="A10" t="s">
        <v>9</v>
      </c>
      <c r="B10">
        <v>51</v>
      </c>
    </row>
    <row r="11" spans="1:2">
      <c r="A11" t="s">
        <v>10</v>
      </c>
      <c r="B11">
        <v>44</v>
      </c>
    </row>
    <row r="12" spans="1:2">
      <c r="A12" t="s">
        <v>11</v>
      </c>
      <c r="B12">
        <v>47</v>
      </c>
    </row>
    <row r="13" spans="1:2">
      <c r="A13" t="s">
        <v>12</v>
      </c>
      <c r="B13">
        <v>44</v>
      </c>
    </row>
    <row r="14" spans="1:2">
      <c r="A14" t="s">
        <v>13</v>
      </c>
      <c r="B14">
        <v>47</v>
      </c>
    </row>
    <row r="15" spans="1:2">
      <c r="A15" t="s">
        <v>14</v>
      </c>
      <c r="B15">
        <v>49</v>
      </c>
    </row>
    <row r="16" spans="1:2">
      <c r="A16" t="s">
        <v>15</v>
      </c>
      <c r="B16">
        <v>47</v>
      </c>
    </row>
    <row r="17" spans="1:2">
      <c r="A17" t="s">
        <v>16</v>
      </c>
      <c r="B17">
        <v>46</v>
      </c>
    </row>
    <row r="18" spans="1:2">
      <c r="A18" t="s">
        <v>17</v>
      </c>
      <c r="B18">
        <v>48</v>
      </c>
    </row>
    <row r="19" spans="1:2">
      <c r="A19" t="s">
        <v>18</v>
      </c>
      <c r="B19">
        <v>45</v>
      </c>
    </row>
    <row r="20" spans="1:2">
      <c r="A20" t="s">
        <v>19</v>
      </c>
      <c r="B20">
        <v>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43AB4-8FD2-4827-A760-2C98869E2DAB}">
  <dimension ref="A1:P20"/>
  <sheetViews>
    <sheetView workbookViewId="0">
      <selection activeCell="N18" sqref="N18"/>
    </sheetView>
  </sheetViews>
  <sheetFormatPr defaultRowHeight="15"/>
  <sheetData>
    <row r="1" spans="2:16">
      <c r="B1" t="s">
        <v>20</v>
      </c>
      <c r="C1" t="s">
        <v>21</v>
      </c>
      <c r="D1" t="s">
        <v>22</v>
      </c>
      <c r="F1" t="s">
        <v>20</v>
      </c>
      <c r="G1" t="s">
        <v>21</v>
      </c>
      <c r="H1" t="s">
        <v>23</v>
      </c>
      <c r="J1" t="s">
        <v>20</v>
      </c>
      <c r="K1" t="s">
        <v>21</v>
      </c>
      <c r="L1" t="s">
        <v>23</v>
      </c>
      <c r="N1" t="s">
        <v>20</v>
      </c>
      <c r="O1" t="s">
        <v>21</v>
      </c>
      <c r="P1" t="s">
        <v>23</v>
      </c>
    </row>
    <row r="2" spans="2:16">
      <c r="B2">
        <f>38.86/44*100</f>
        <v>88.318181818181813</v>
      </c>
      <c r="C2">
        <f>41.81/44*100</f>
        <v>95.02272727272728</v>
      </c>
      <c r="D2">
        <f xml:space="preserve"> C2-B2</f>
        <v>6.7045454545454675</v>
      </c>
      <c r="F2">
        <f>41.138/42*100</f>
        <v>97.947619047619042</v>
      </c>
      <c r="G2">
        <f>42.302/42*100</f>
        <v>100.71904761904761</v>
      </c>
      <c r="H2">
        <f t="shared" ref="H2:H17" si="0">G2-F2</f>
        <v>2.7714285714285722</v>
      </c>
      <c r="J2">
        <f>37.698/44*100</f>
        <v>85.677272727272722</v>
      </c>
      <c r="K2">
        <f>40.409/44*100</f>
        <v>91.838636363636368</v>
      </c>
      <c r="L2">
        <f>K2-J2</f>
        <v>6.1613636363636459</v>
      </c>
      <c r="N2">
        <f>25.711/44*100</f>
        <v>58.434090909090905</v>
      </c>
      <c r="O2">
        <f>27.697/44*100</f>
        <v>62.947727272727271</v>
      </c>
      <c r="P2">
        <f>O2-N2</f>
        <v>4.5136363636363654</v>
      </c>
    </row>
    <row r="3" spans="2:16">
      <c r="B3">
        <f>17.11/42*100</f>
        <v>40.738095238095234</v>
      </c>
      <c r="C3">
        <f>18.02/42*100</f>
        <v>42.904761904761898</v>
      </c>
      <c r="D3">
        <f xml:space="preserve"> C3-B3</f>
        <v>2.1666666666666643</v>
      </c>
      <c r="F3">
        <f>30.39/37*100</f>
        <v>82.135135135135144</v>
      </c>
      <c r="G3">
        <f>31.673/37*100</f>
        <v>85.602702702702686</v>
      </c>
      <c r="H3">
        <f t="shared" si="0"/>
        <v>3.4675675675675421</v>
      </c>
      <c r="J3">
        <f>18.025/37*100</f>
        <v>48.71621621621621</v>
      </c>
      <c r="K3">
        <f>18.946/37*100</f>
        <v>51.205405405405415</v>
      </c>
      <c r="L3">
        <f t="shared" ref="L3:L17" si="1">K3-J3</f>
        <v>2.4891891891892044</v>
      </c>
      <c r="N3">
        <f>40.749/42*100</f>
        <v>97.021428571428586</v>
      </c>
      <c r="O3">
        <f>43.315/42*100</f>
        <v>103.13095238095238</v>
      </c>
      <c r="P3">
        <f t="shared" ref="P3:P14" si="2">O3-N3</f>
        <v>6.1095238095237931</v>
      </c>
    </row>
    <row r="4" spans="2:16">
      <c r="B4">
        <f>5.44/37*100</f>
        <v>14.702702702702702</v>
      </c>
      <c r="C4">
        <f>5.93/37*100</f>
        <v>16.027027027027028</v>
      </c>
      <c r="D4">
        <f xml:space="preserve"> C4-B4</f>
        <v>1.3243243243243263</v>
      </c>
      <c r="F4">
        <f>40.708/44*100</f>
        <v>92.518181818181816</v>
      </c>
      <c r="G4">
        <f>41.726/44*100</f>
        <v>94.831818181818178</v>
      </c>
      <c r="H4">
        <f t="shared" si="0"/>
        <v>2.3136363636363626</v>
      </c>
      <c r="J4">
        <f>15.924/47*100</f>
        <v>33.880851063829788</v>
      </c>
      <c r="K4">
        <f>17.291/47*100</f>
        <v>36.789361702127657</v>
      </c>
      <c r="L4">
        <f t="shared" si="1"/>
        <v>2.9085106382978694</v>
      </c>
      <c r="N4">
        <f>26.687/37*100</f>
        <v>72.12702702702704</v>
      </c>
      <c r="O4">
        <f>27.799/37*100</f>
        <v>75.132432432432424</v>
      </c>
      <c r="P4">
        <f t="shared" si="2"/>
        <v>3.0054054054053836</v>
      </c>
    </row>
    <row r="5" spans="2:16">
      <c r="B5">
        <f>39.66/44*100</f>
        <v>90.136363636363626</v>
      </c>
      <c r="C5">
        <f>40.47/44*100</f>
        <v>91.977272727272734</v>
      </c>
      <c r="D5">
        <f xml:space="preserve"> C5-B5</f>
        <v>1.8409090909091077</v>
      </c>
      <c r="F5">
        <f>46.873/47*100</f>
        <v>99.729787234042547</v>
      </c>
      <c r="G5">
        <f>47.655/47*100</f>
        <v>101.39361702127661</v>
      </c>
      <c r="H5">
        <f t="shared" si="0"/>
        <v>1.6638297872340644</v>
      </c>
      <c r="J5">
        <f>18.852/41*100</f>
        <v>45.980487804878052</v>
      </c>
      <c r="K5">
        <f>19.823/41*100</f>
        <v>48.348780487804873</v>
      </c>
      <c r="L5">
        <f t="shared" si="1"/>
        <v>2.3682926829268212</v>
      </c>
      <c r="N5">
        <f>44.704/41*100</f>
        <v>109.03414634146343</v>
      </c>
      <c r="O5">
        <f>46.442/41*100</f>
        <v>113.27317073170731</v>
      </c>
      <c r="P5">
        <f t="shared" si="2"/>
        <v>4.239024390243884</v>
      </c>
    </row>
    <row r="6" spans="2:16">
      <c r="B6">
        <f>26.97/47*100</f>
        <v>57.382978723404257</v>
      </c>
      <c r="C6">
        <f>28.12/47*100</f>
        <v>59.829787234042556</v>
      </c>
      <c r="D6">
        <f xml:space="preserve"> C6-B6</f>
        <v>2.4468085106382986</v>
      </c>
      <c r="F6">
        <f>29.046/44*100</f>
        <v>66.013636363636365</v>
      </c>
      <c r="G6">
        <f>30.079/44*100</f>
        <v>68.361363636363635</v>
      </c>
      <c r="H6">
        <f t="shared" si="0"/>
        <v>2.3477272727272691</v>
      </c>
      <c r="J6">
        <f>31.975/44*100</f>
        <v>72.670454545454547</v>
      </c>
      <c r="K6">
        <f>33.367/44*100</f>
        <v>75.834090909090904</v>
      </c>
      <c r="L6">
        <f t="shared" si="1"/>
        <v>3.1636363636363569</v>
      </c>
      <c r="N6">
        <f>22.751/44*100</f>
        <v>51.706818181818178</v>
      </c>
      <c r="O6">
        <f>27.748/44*100</f>
        <v>63.063636363636363</v>
      </c>
      <c r="P6">
        <f t="shared" si="2"/>
        <v>11.356818181818184</v>
      </c>
    </row>
    <row r="7" spans="2:16">
      <c r="B7">
        <f>40.76/41*100</f>
        <v>99.414634146341456</v>
      </c>
      <c r="C7">
        <f>42.61/41*100</f>
        <v>103.92682926829269</v>
      </c>
      <c r="D7">
        <f xml:space="preserve"> C7-B7</f>
        <v>4.5121951219512368</v>
      </c>
      <c r="F7">
        <f>35.444/51*100</f>
        <v>69.498039215686276</v>
      </c>
      <c r="G7">
        <f>37.177/51*100</f>
        <v>72.896078431372544</v>
      </c>
      <c r="H7">
        <f t="shared" si="0"/>
        <v>3.3980392156862678</v>
      </c>
      <c r="J7">
        <f>39.058/51*100</f>
        <v>76.58431372549019</v>
      </c>
      <c r="K7">
        <f>39.993/51*100</f>
        <v>78.417647058823533</v>
      </c>
      <c r="L7">
        <f t="shared" si="1"/>
        <v>1.8333333333333428</v>
      </c>
      <c r="N7">
        <f>33.087/49*100</f>
        <v>67.52448979591837</v>
      </c>
      <c r="O7">
        <f>33.865/49*100</f>
        <v>69.112244897959187</v>
      </c>
      <c r="P7">
        <f t="shared" si="2"/>
        <v>1.5877551020408163</v>
      </c>
    </row>
    <row r="8" spans="2:16">
      <c r="B8">
        <f>27.26/44*100</f>
        <v>61.95454545454546</v>
      </c>
      <c r="C8">
        <f>28.57/44*100</f>
        <v>64.931818181818173</v>
      </c>
      <c r="D8">
        <f xml:space="preserve"> C8-B8</f>
        <v>2.9772727272727124</v>
      </c>
      <c r="F8">
        <f>23.349/49*100</f>
        <v>47.651020408163262</v>
      </c>
      <c r="G8">
        <f>25.321/49*100</f>
        <v>51.675510204081633</v>
      </c>
      <c r="H8">
        <f t="shared" si="0"/>
        <v>4.0244897959183703</v>
      </c>
      <c r="J8">
        <f>50.246/49*100</f>
        <v>102.54285714285716</v>
      </c>
      <c r="K8">
        <f>52.618/49*100</f>
        <v>107.38367346938776</v>
      </c>
      <c r="L8">
        <f t="shared" si="1"/>
        <v>4.8408163265306001</v>
      </c>
      <c r="N8">
        <f>44.846/44*100</f>
        <v>101.92272727272726</v>
      </c>
      <c r="O8">
        <f>45.847/44*100</f>
        <v>104.19772727272726</v>
      </c>
      <c r="P8">
        <f t="shared" si="2"/>
        <v>2.2750000000000057</v>
      </c>
    </row>
    <row r="9" spans="2:16">
      <c r="B9">
        <f>29.01/51*100</f>
        <v>56.882352941176471</v>
      </c>
      <c r="C9">
        <f>29.62/51*100</f>
        <v>58.078431372549019</v>
      </c>
      <c r="D9">
        <f xml:space="preserve"> C9-B9</f>
        <v>1.1960784313725483</v>
      </c>
      <c r="F9">
        <f>51.731/51*100</f>
        <v>101.43333333333334</v>
      </c>
      <c r="G9">
        <f>53.279/51*100</f>
        <v>104.46862745098041</v>
      </c>
      <c r="H9">
        <f t="shared" si="0"/>
        <v>3.0352941176470694</v>
      </c>
      <c r="J9">
        <f>20.702/51*100</f>
        <v>40.592156862745099</v>
      </c>
      <c r="K9">
        <f>32.274/51*100</f>
        <v>63.28235294117647</v>
      </c>
      <c r="L9">
        <f t="shared" si="1"/>
        <v>22.69019607843137</v>
      </c>
      <c r="N9">
        <f>39.416/44*100</f>
        <v>89.581818181818178</v>
      </c>
      <c r="O9">
        <f>40.546/44*100</f>
        <v>92.15</v>
      </c>
      <c r="P9">
        <f t="shared" si="2"/>
        <v>2.5681818181818272</v>
      </c>
    </row>
    <row r="10" spans="2:16">
      <c r="B10">
        <f>49.83/49*100</f>
        <v>101.69387755102039</v>
      </c>
      <c r="C10">
        <f>53.22/49*100</f>
        <v>108.61224489795917</v>
      </c>
      <c r="D10">
        <f xml:space="preserve"> C10-B10</f>
        <v>6.9183673469387799</v>
      </c>
      <c r="F10">
        <f>27.964/44*100</f>
        <v>63.554545454545455</v>
      </c>
      <c r="G10">
        <f>30.054/44*100</f>
        <v>68.304545454545448</v>
      </c>
      <c r="H10">
        <f t="shared" si="0"/>
        <v>4.7499999999999929</v>
      </c>
      <c r="J10">
        <f>12.603/44*100</f>
        <v>28.643181818181816</v>
      </c>
      <c r="K10">
        <f>15.829/44*100</f>
        <v>35.975000000000001</v>
      </c>
      <c r="L10">
        <f t="shared" si="1"/>
        <v>7.3318181818181856</v>
      </c>
      <c r="N10">
        <f>17.156/47*100</f>
        <v>36.502127659574469</v>
      </c>
      <c r="O10">
        <f>18.845/47*100</f>
        <v>40.095744680851055</v>
      </c>
      <c r="P10">
        <f t="shared" si="2"/>
        <v>3.5936170212765859</v>
      </c>
    </row>
    <row r="11" spans="2:16">
      <c r="B11">
        <f>28.82/51*100</f>
        <v>56.509803921568626</v>
      </c>
      <c r="C11">
        <f>28.82/51*100</f>
        <v>56.509803921568626</v>
      </c>
      <c r="D11">
        <f xml:space="preserve"> C11-B11</f>
        <v>0</v>
      </c>
      <c r="F11">
        <f>34.56/44*100</f>
        <v>78.545454545454547</v>
      </c>
      <c r="G11">
        <f>35.314/44*100</f>
        <v>80.259090909090915</v>
      </c>
      <c r="H11">
        <f t="shared" si="0"/>
        <v>1.7136363636363683</v>
      </c>
      <c r="J11">
        <f>38.58/44*100</f>
        <v>87.681818181818187</v>
      </c>
      <c r="K11">
        <f>39.723/44*100</f>
        <v>90.279545454545456</v>
      </c>
      <c r="L11">
        <f t="shared" si="1"/>
        <v>2.5977272727272691</v>
      </c>
      <c r="N11">
        <f>47.389/49*100</f>
        <v>96.712244897959181</v>
      </c>
      <c r="O11">
        <f>48.865/49*100</f>
        <v>99.724489795918373</v>
      </c>
      <c r="P11">
        <f t="shared" si="2"/>
        <v>3.0122448979591923</v>
      </c>
    </row>
    <row r="12" spans="2:16">
      <c r="B12">
        <f>39.43/44*100</f>
        <v>89.61363636363636</v>
      </c>
      <c r="C12">
        <f>41.66/44*100</f>
        <v>94.681818181818173</v>
      </c>
      <c r="D12">
        <f xml:space="preserve"> C12-B12</f>
        <v>5.068181818181813</v>
      </c>
      <c r="F12">
        <f>38.856/47*100</f>
        <v>82.672340425531914</v>
      </c>
      <c r="G12">
        <f>40.739/47*100</f>
        <v>86.678723404255308</v>
      </c>
      <c r="H12">
        <f t="shared" si="0"/>
        <v>4.0063829787233942</v>
      </c>
      <c r="J12">
        <f>30.056/47*100</f>
        <v>63.948936170212768</v>
      </c>
      <c r="K12">
        <f>31.221/47*100</f>
        <v>66.427659574468095</v>
      </c>
      <c r="L12">
        <f t="shared" si="1"/>
        <v>2.4787234042553266</v>
      </c>
      <c r="N12">
        <f>26.732/47*100</f>
        <v>56.876595744680849</v>
      </c>
      <c r="O12">
        <f>29.055/47*100</f>
        <v>61.819148936170208</v>
      </c>
      <c r="P12">
        <f t="shared" si="2"/>
        <v>4.9425531914893597</v>
      </c>
    </row>
    <row r="13" spans="2:16">
      <c r="B13">
        <f>30.47/47*100</f>
        <v>64.829787234042541</v>
      </c>
      <c r="C13">
        <f>31.43/47*100</f>
        <v>66.872340425531917</v>
      </c>
      <c r="D13">
        <f xml:space="preserve"> C13-B13</f>
        <v>2.0425531914893753</v>
      </c>
      <c r="F13">
        <f>46.735/49*100</f>
        <v>95.377551020408163</v>
      </c>
      <c r="G13">
        <f>47.669/49*100</f>
        <v>97.28367346938775</v>
      </c>
      <c r="H13">
        <f t="shared" si="0"/>
        <v>1.9061224489795876</v>
      </c>
      <c r="J13">
        <f>41.05/49*100</f>
        <v>83.775510204081627</v>
      </c>
      <c r="K13">
        <f>42.14/49*100</f>
        <v>86</v>
      </c>
      <c r="L13">
        <f t="shared" si="1"/>
        <v>2.2244897959183731</v>
      </c>
      <c r="N13">
        <f>44.094/45*100</f>
        <v>97.986666666666665</v>
      </c>
      <c r="O13">
        <f>45.841/45*100</f>
        <v>101.8688888888889</v>
      </c>
      <c r="P13">
        <f t="shared" si="2"/>
        <v>3.8822222222222393</v>
      </c>
    </row>
    <row r="14" spans="2:16">
      <c r="B14">
        <f>23.06/49*100</f>
        <v>47.061224489795919</v>
      </c>
      <c r="C14">
        <f>23.83/49*100</f>
        <v>48.632653061224488</v>
      </c>
      <c r="D14">
        <f xml:space="preserve"> C14-B14</f>
        <v>1.5714285714285694</v>
      </c>
      <c r="F14">
        <f>21.286/47*100</f>
        <v>45.289361702127664</v>
      </c>
      <c r="G14">
        <f>22.341/47*100</f>
        <v>47.53404255319149</v>
      </c>
      <c r="H14">
        <f t="shared" si="0"/>
        <v>2.2446808510638263</v>
      </c>
      <c r="J14">
        <f>47.528/47*100</f>
        <v>101.12340425531914</v>
      </c>
      <c r="K14">
        <f>50.018/47*100</f>
        <v>106.42127659574467</v>
      </c>
      <c r="L14">
        <f t="shared" si="1"/>
        <v>5.2978723404255277</v>
      </c>
      <c r="N14">
        <f>37.822/52*100</f>
        <v>72.734615384615381</v>
      </c>
      <c r="O14">
        <f>38.838/52*100</f>
        <v>74.688461538461539</v>
      </c>
      <c r="P14">
        <f t="shared" si="2"/>
        <v>1.9538461538461576</v>
      </c>
    </row>
    <row r="15" spans="2:16">
      <c r="B15">
        <f>46.77/47*100</f>
        <v>99.510638297872347</v>
      </c>
      <c r="C15">
        <f>47.5/47*100</f>
        <v>101.06382978723406</v>
      </c>
      <c r="D15">
        <f xml:space="preserve"> C15-B15</f>
        <v>1.5531914893617085</v>
      </c>
      <c r="F15">
        <f>17.914/48*100</f>
        <v>37.32083333333334</v>
      </c>
      <c r="G15">
        <f>19.213/48*100</f>
        <v>40.027083333333337</v>
      </c>
      <c r="H15">
        <f t="shared" si="0"/>
        <v>2.7062499999999972</v>
      </c>
      <c r="J15">
        <f>20.358/48*100</f>
        <v>42.412500000000001</v>
      </c>
      <c r="K15">
        <f>21.397/48*100</f>
        <v>44.577083333333327</v>
      </c>
      <c r="L15">
        <f t="shared" si="1"/>
        <v>2.1645833333333258</v>
      </c>
    </row>
    <row r="16" spans="2:16">
      <c r="B16">
        <f>40.94/48*100</f>
        <v>85.291666666666671</v>
      </c>
      <c r="C16">
        <f>42.09/48*100</f>
        <v>87.6875</v>
      </c>
      <c r="D16">
        <f t="shared" ref="D16:D18" si="3" xml:space="preserve"> C16-B16</f>
        <v>2.3958333333333286</v>
      </c>
      <c r="F16">
        <f>28.416/45*100</f>
        <v>63.146666666666661</v>
      </c>
      <c r="G16">
        <f>29.512/45*100</f>
        <v>65.582222222222214</v>
      </c>
      <c r="H16">
        <f t="shared" si="0"/>
        <v>2.4355555555555526</v>
      </c>
      <c r="J16">
        <f>27.383/45*100</f>
        <v>60.851111111111109</v>
      </c>
      <c r="K16">
        <f>28.354/45*100</f>
        <v>63.00888888888889</v>
      </c>
      <c r="L16">
        <f t="shared" si="1"/>
        <v>2.1577777777777811</v>
      </c>
    </row>
    <row r="17" spans="1:16">
      <c r="B17">
        <f>27.6/45*100</f>
        <v>61.333333333333343</v>
      </c>
      <c r="C17">
        <f>28.44/45*100</f>
        <v>63.2</v>
      </c>
      <c r="D17">
        <f t="shared" si="3"/>
        <v>1.86666666666666</v>
      </c>
      <c r="F17">
        <f>35.667/52*100</f>
        <v>68.590384615384608</v>
      </c>
      <c r="G17">
        <f>36.805/52*100</f>
        <v>70.77884615384616</v>
      </c>
      <c r="H17">
        <f t="shared" si="0"/>
        <v>2.1884615384615529</v>
      </c>
      <c r="J17">
        <f>26.635/52*100</f>
        <v>51.221153846153847</v>
      </c>
      <c r="K17">
        <f>27.57/52*100</f>
        <v>53.019230769230774</v>
      </c>
      <c r="L17">
        <f t="shared" si="1"/>
        <v>1.7980769230769269</v>
      </c>
    </row>
    <row r="18" spans="1:16">
      <c r="B18">
        <f>25.75/52*100</f>
        <v>49.519230769230774</v>
      </c>
      <c r="C18">
        <f>26.83/52*100</f>
        <v>51.596153846153847</v>
      </c>
      <c r="D18">
        <f t="shared" si="3"/>
        <v>2.0769230769230731</v>
      </c>
    </row>
    <row r="20" spans="1:16">
      <c r="A20" t="s">
        <v>24</v>
      </c>
      <c r="B20">
        <f>AVERAGE(B2:B18)</f>
        <v>68.523120781645758</v>
      </c>
      <c r="C20">
        <f>AVERAGE(C2:C18)</f>
        <v>71.267941124116561</v>
      </c>
      <c r="D20">
        <f>AVERAGE(D2:D18)</f>
        <v>2.744820342470804</v>
      </c>
      <c r="F20">
        <f>AVERAGE(F2:F17)</f>
        <v>74.463993144953136</v>
      </c>
      <c r="G20">
        <f>AVERAGE(G2:G17)</f>
        <v>77.274812046719745</v>
      </c>
      <c r="H20">
        <f>AVERAGE(H2:H17)</f>
        <v>2.8108189017666119</v>
      </c>
      <c r="J20">
        <f>AVERAGE(J2:J17)</f>
        <v>64.143889104726398</v>
      </c>
      <c r="K20">
        <f>AVERAGE(K2:K17)</f>
        <v>68.675539559604005</v>
      </c>
      <c r="L20">
        <f>AVERAGE(L2:L17)</f>
        <v>4.5316504548776209</v>
      </c>
      <c r="N20">
        <f>AVERAGE(N2:N19)</f>
        <v>77.551138202676043</v>
      </c>
      <c r="O20">
        <f>AVERAGE(O2:O19)</f>
        <v>81.631125014802464</v>
      </c>
      <c r="P20">
        <f>AVERAGE(P2:P17)</f>
        <v>4.079986812126446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1837-E00B-4086-B922-DAB6C1211D20}">
  <dimension ref="A1:D16"/>
  <sheetViews>
    <sheetView workbookViewId="0">
      <selection activeCell="D23" sqref="D23"/>
    </sheetView>
  </sheetViews>
  <sheetFormatPr defaultRowHeight="15"/>
  <sheetData>
    <row r="1" spans="1:4">
      <c r="B1" t="s">
        <v>20</v>
      </c>
      <c r="C1" t="s">
        <v>21</v>
      </c>
      <c r="D1" t="s">
        <v>23</v>
      </c>
    </row>
    <row r="2" spans="1:4">
      <c r="B2">
        <f>38.792/44*100</f>
        <v>88.163636363636371</v>
      </c>
      <c r="C2">
        <f>41.685/44*100</f>
        <v>94.73863636363636</v>
      </c>
      <c r="D2">
        <f>C2-B2</f>
        <v>6.5749999999999886</v>
      </c>
    </row>
    <row r="3" spans="1:4">
      <c r="B3">
        <f>25.834/42*100</f>
        <v>61.509523809523813</v>
      </c>
      <c r="C3">
        <f>28.438/42*100</f>
        <v>67.709523809523802</v>
      </c>
      <c r="D3">
        <f t="shared" ref="D3:D14" si="0">C3-B3</f>
        <v>6.1999999999999886</v>
      </c>
    </row>
    <row r="4" spans="1:4">
      <c r="B4">
        <f>22.423/37*100</f>
        <v>60.602702702702693</v>
      </c>
      <c r="C4">
        <f>24.154/37*100</f>
        <v>65.281081081081084</v>
      </c>
      <c r="D4">
        <f t="shared" si="0"/>
        <v>4.6783783783783903</v>
      </c>
    </row>
    <row r="5" spans="1:4">
      <c r="B5">
        <f>43.867/44*100</f>
        <v>99.697727272727263</v>
      </c>
      <c r="C5">
        <f>45.187/44*100</f>
        <v>102.69772727272726</v>
      </c>
      <c r="D5">
        <f t="shared" si="0"/>
        <v>3</v>
      </c>
    </row>
    <row r="6" spans="1:4">
      <c r="B6">
        <f>48.064/47*100</f>
        <v>102.26382978723404</v>
      </c>
      <c r="C6">
        <f>49.745/47*100</f>
        <v>105.84042553191489</v>
      </c>
      <c r="D6">
        <f t="shared" si="0"/>
        <v>3.5765957446808443</v>
      </c>
    </row>
    <row r="7" spans="1:4">
      <c r="B7">
        <f>36.863/41*100</f>
        <v>89.909756097560972</v>
      </c>
      <c r="C7">
        <f>37.605/41*100</f>
        <v>91.719512195121951</v>
      </c>
      <c r="D7">
        <f t="shared" si="0"/>
        <v>1.8097560975609781</v>
      </c>
    </row>
    <row r="8" spans="1:4">
      <c r="B8">
        <f>33.73/44*100</f>
        <v>76.659090909090892</v>
      </c>
      <c r="C8">
        <f>34.385/44*100</f>
        <v>78.147727272727266</v>
      </c>
      <c r="D8">
        <f t="shared" si="0"/>
        <v>1.488636363636374</v>
      </c>
    </row>
    <row r="9" spans="1:4">
      <c r="B9">
        <f>46.876/51*100</f>
        <v>91.913725490196072</v>
      </c>
      <c r="C9">
        <f>48.276/51*100</f>
        <v>94.658823529411777</v>
      </c>
      <c r="D9">
        <f t="shared" si="0"/>
        <v>2.7450980392157049</v>
      </c>
    </row>
    <row r="10" spans="1:4">
      <c r="B10">
        <f>48.995/51*100</f>
        <v>96.068627450980387</v>
      </c>
      <c r="C10">
        <f>49.597/51*100</f>
        <v>97.249019607843138</v>
      </c>
      <c r="D10">
        <f t="shared" si="0"/>
        <v>1.1803921568627516</v>
      </c>
    </row>
    <row r="11" spans="1:4">
      <c r="B11">
        <f>27.026/44*100</f>
        <v>61.422727272727272</v>
      </c>
      <c r="C11">
        <f>27.628/44*100</f>
        <v>62.790909090909089</v>
      </c>
      <c r="D11">
        <f t="shared" si="0"/>
        <v>1.3681818181818173</v>
      </c>
    </row>
    <row r="12" spans="1:4">
      <c r="B12">
        <f>41.644/49*100</f>
        <v>84.987755102040822</v>
      </c>
      <c r="C12">
        <f>43.256/49*100</f>
        <v>88.277551020408168</v>
      </c>
      <c r="D12">
        <f t="shared" si="0"/>
        <v>3.2897959183673464</v>
      </c>
    </row>
    <row r="13" spans="1:4">
      <c r="B13">
        <f>26.337/47*100</f>
        <v>56.03617021276596</v>
      </c>
      <c r="C13">
        <f>27.002/47*100</f>
        <v>57.45106382978723</v>
      </c>
      <c r="D13">
        <f t="shared" si="0"/>
        <v>1.4148936170212707</v>
      </c>
    </row>
    <row r="14" spans="1:4">
      <c r="B14">
        <f>26.138/45*100</f>
        <v>58.084444444444451</v>
      </c>
      <c r="C14">
        <f>26.816/45*100</f>
        <v>59.591111111111104</v>
      </c>
      <c r="D14">
        <f t="shared" si="0"/>
        <v>1.5066666666666535</v>
      </c>
    </row>
    <row r="16" spans="1:4">
      <c r="A16" t="s">
        <v>24</v>
      </c>
      <c r="B16">
        <f>AVERAGE(B2:B14)</f>
        <v>79.024593608894691</v>
      </c>
      <c r="C16">
        <f>AVERAGE(C2:C14)</f>
        <v>82.011777824323318</v>
      </c>
      <c r="D16">
        <f>AVERAGE(D2:D14)</f>
        <v>2.9871842154286239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26DFA-A75A-4AFA-8417-C13CDB82A206}">
  <dimension ref="A1:AB17"/>
  <sheetViews>
    <sheetView topLeftCell="D1" workbookViewId="0">
      <selection activeCell="AA18" sqref="AA18"/>
    </sheetView>
  </sheetViews>
  <sheetFormatPr defaultRowHeight="15"/>
  <sheetData>
    <row r="1" spans="2:28">
      <c r="B1" t="s">
        <v>20</v>
      </c>
      <c r="C1" t="s">
        <v>21</v>
      </c>
      <c r="D1" t="s">
        <v>23</v>
      </c>
      <c r="F1" t="s">
        <v>20</v>
      </c>
      <c r="G1" t="s">
        <v>21</v>
      </c>
      <c r="H1" t="s">
        <v>23</v>
      </c>
      <c r="J1" t="s">
        <v>20</v>
      </c>
      <c r="K1" t="s">
        <v>21</v>
      </c>
      <c r="L1" t="s">
        <v>23</v>
      </c>
      <c r="N1" t="s">
        <v>20</v>
      </c>
      <c r="O1" t="s">
        <v>21</v>
      </c>
      <c r="P1" t="s">
        <v>23</v>
      </c>
      <c r="R1" t="s">
        <v>20</v>
      </c>
      <c r="S1" t="s">
        <v>21</v>
      </c>
      <c r="T1" t="s">
        <v>23</v>
      </c>
      <c r="V1" t="s">
        <v>20</v>
      </c>
      <c r="W1" t="s">
        <v>21</v>
      </c>
      <c r="X1" t="s">
        <v>23</v>
      </c>
      <c r="Z1" t="s">
        <v>20</v>
      </c>
      <c r="AA1" t="s">
        <v>21</v>
      </c>
      <c r="AB1" t="s">
        <v>23</v>
      </c>
    </row>
    <row r="2" spans="2:28">
      <c r="B2">
        <f>34.21/42*100</f>
        <v>81.452380952380949</v>
      </c>
      <c r="C2">
        <f>35.09/42*100</f>
        <v>83.547619047619065</v>
      </c>
      <c r="D2">
        <f>C2-B2</f>
        <v>2.0952380952381162</v>
      </c>
      <c r="F2">
        <f>20.45/42*100</f>
        <v>48.69047619047619</v>
      </c>
      <c r="G2">
        <f>22.13/42*100</f>
        <v>52.69047619047619</v>
      </c>
      <c r="H2">
        <f t="shared" ref="H2:H15" si="0">G2-F2</f>
        <v>4</v>
      </c>
      <c r="J2">
        <f>37.45/44*100</f>
        <v>85.113636363636374</v>
      </c>
      <c r="K2">
        <f>39.06/44*100</f>
        <v>88.77272727272728</v>
      </c>
      <c r="L2">
        <f>K2-J2</f>
        <v>3.6590909090909065</v>
      </c>
      <c r="N2">
        <f>16.495/37*100</f>
        <v>44.581081081081088</v>
      </c>
      <c r="O2">
        <f>17.611/37*100</f>
        <v>47.597297297297295</v>
      </c>
      <c r="P2">
        <f t="shared" ref="P2:P12" si="1">O2-N2</f>
        <v>3.0162162162162076</v>
      </c>
      <c r="R2">
        <f>50.386/44*100</f>
        <v>114.51363636363637</v>
      </c>
      <c r="S2">
        <f>51.545/44*100</f>
        <v>117.14772727272728</v>
      </c>
      <c r="T2">
        <f>S2-R2</f>
        <v>2.634090909090915</v>
      </c>
      <c r="V2">
        <f>34.368/44*100</f>
        <v>78.109090909090924</v>
      </c>
      <c r="W2">
        <f>36.076/44*100</f>
        <v>81.990909090909099</v>
      </c>
      <c r="X2">
        <f>W2-V2</f>
        <v>3.8818181818181756</v>
      </c>
      <c r="Z2">
        <f>38.032/44*100</f>
        <v>86.436363636363637</v>
      </c>
      <c r="AA2">
        <f>40.249/44*100</f>
        <v>91.475000000000009</v>
      </c>
      <c r="AB2">
        <f>AA2-Z2</f>
        <v>5.0386363636363711</v>
      </c>
    </row>
    <row r="3" spans="2:28">
      <c r="B3">
        <f>43.29/44*100</f>
        <v>98.38636363636364</v>
      </c>
      <c r="C3">
        <f>44.22/44*100</f>
        <v>100.49999999999999</v>
      </c>
      <c r="D3">
        <f t="shared" ref="D3:D14" si="2">C3-B3</f>
        <v>2.1136363636363455</v>
      </c>
      <c r="F3">
        <f>16.35/37*100</f>
        <v>44.189189189189193</v>
      </c>
      <c r="G3">
        <f>17.91/37*100</f>
        <v>48.405405405405403</v>
      </c>
      <c r="H3">
        <f t="shared" si="0"/>
        <v>4.2162162162162105</v>
      </c>
      <c r="J3">
        <f>23.3/42*100</f>
        <v>55.476190476190482</v>
      </c>
      <c r="K3">
        <f>27.02/42*100</f>
        <v>64.333333333333329</v>
      </c>
      <c r="L3">
        <f t="shared" ref="L3:L13" si="3">K3-J3</f>
        <v>8.857142857142847</v>
      </c>
      <c r="N3">
        <f>43.284/44*100</f>
        <v>98.372727272727261</v>
      </c>
      <c r="O3">
        <f>44.418/44*100</f>
        <v>100.95</v>
      </c>
      <c r="P3">
        <f t="shared" si="1"/>
        <v>2.5772727272727423</v>
      </c>
      <c r="R3">
        <f>34.942/42*100</f>
        <v>83.195238095238096</v>
      </c>
      <c r="S3">
        <f>38.335/42*100</f>
        <v>91.273809523809518</v>
      </c>
      <c r="T3">
        <f t="shared" ref="T3:T12" si="4">S3-R3</f>
        <v>8.0785714285714221</v>
      </c>
      <c r="V3">
        <f>43.042/42*100</f>
        <v>102.48095238095239</v>
      </c>
      <c r="W3">
        <f>45.427/42*100</f>
        <v>108.1595238095238</v>
      </c>
      <c r="X3">
        <f t="shared" ref="X3:X13" si="5">W3-V3</f>
        <v>5.6785714285714164</v>
      </c>
      <c r="Z3">
        <f>22.356/37*100</f>
        <v>60.421621621621625</v>
      </c>
      <c r="AA3">
        <f>23.387/37*100</f>
        <v>63.208108108108107</v>
      </c>
      <c r="AB3">
        <f t="shared" ref="AB3:AB9" si="6">AA3-Z3</f>
        <v>2.7864864864864813</v>
      </c>
    </row>
    <row r="4" spans="2:28">
      <c r="B4">
        <f>27.94/47*100</f>
        <v>59.446808510638306</v>
      </c>
      <c r="C4">
        <f>28.63/47*100</f>
        <v>60.914893617021271</v>
      </c>
      <c r="D4">
        <f t="shared" si="2"/>
        <v>1.468085106382965</v>
      </c>
      <c r="F4">
        <f>38.11/44*100</f>
        <v>86.61363636363636</v>
      </c>
      <c r="G4">
        <f>39.7/44*100</f>
        <v>90.227272727272734</v>
      </c>
      <c r="H4">
        <f t="shared" si="0"/>
        <v>3.613636363636374</v>
      </c>
      <c r="J4">
        <f>16.11/37*100</f>
        <v>43.54054054054054</v>
      </c>
      <c r="K4">
        <f>18.04/37*100</f>
        <v>48.756756756756751</v>
      </c>
      <c r="L4">
        <f t="shared" si="3"/>
        <v>5.2162162162162105</v>
      </c>
      <c r="N4">
        <f>16.197/41*100</f>
        <v>39.504878048780483</v>
      </c>
      <c r="O4">
        <f>18.322/41*100</f>
        <v>44.687804878048773</v>
      </c>
      <c r="P4">
        <f t="shared" si="1"/>
        <v>5.1829268292682897</v>
      </c>
      <c r="R4">
        <f>37.113/37*100</f>
        <v>100.30540540540539</v>
      </c>
      <c r="S4">
        <f>37.781/37*100</f>
        <v>102.11081081081082</v>
      </c>
      <c r="T4">
        <f t="shared" si="4"/>
        <v>1.8054054054054234</v>
      </c>
      <c r="V4">
        <f>37.734/37*100</f>
        <v>101.98378378378379</v>
      </c>
      <c r="W4">
        <f>40.942/37*100</f>
        <v>110.65405405405406</v>
      </c>
      <c r="X4">
        <f t="shared" si="5"/>
        <v>8.6702702702702652</v>
      </c>
      <c r="Z4">
        <f>38.743/44*100</f>
        <v>88.052272727272722</v>
      </c>
      <c r="AA4">
        <f>41.097/44*100</f>
        <v>93.402272727272731</v>
      </c>
      <c r="AB4">
        <f t="shared" si="6"/>
        <v>5.3500000000000085</v>
      </c>
    </row>
    <row r="5" spans="2:28">
      <c r="B5">
        <f>28.16/41*100</f>
        <v>68.682926829268297</v>
      </c>
      <c r="C5">
        <f>28.8/41*100</f>
        <v>70.243902439024396</v>
      </c>
      <c r="D5">
        <f t="shared" si="2"/>
        <v>1.5609756097560989</v>
      </c>
      <c r="F5">
        <f>39.84/41*100</f>
        <v>97.170731707317088</v>
      </c>
      <c r="G5">
        <f>41.53/41*100</f>
        <v>101.29268292682927</v>
      </c>
      <c r="H5">
        <f t="shared" si="0"/>
        <v>4.1219512195121837</v>
      </c>
      <c r="J5">
        <f>39.49/44*100</f>
        <v>89.750000000000014</v>
      </c>
      <c r="K5">
        <f>45.02/44*100</f>
        <v>102.31818181818181</v>
      </c>
      <c r="L5">
        <f t="shared" si="3"/>
        <v>12.568181818181799</v>
      </c>
      <c r="N5">
        <f>25.822/44*100</f>
        <v>58.686363636363637</v>
      </c>
      <c r="O5">
        <f>26.81/44*100</f>
        <v>60.931818181818173</v>
      </c>
      <c r="P5">
        <f t="shared" si="1"/>
        <v>2.2454545454545354</v>
      </c>
      <c r="R5">
        <f>45.681/44*100</f>
        <v>103.82045454545454</v>
      </c>
      <c r="S5">
        <f>46.828/44*100</f>
        <v>106.42727272727272</v>
      </c>
      <c r="T5">
        <f t="shared" si="4"/>
        <v>2.6068181818181841</v>
      </c>
      <c r="V5">
        <f>41.254/41*100</f>
        <v>100.61951219512196</v>
      </c>
      <c r="W5">
        <f>41.805/41*100</f>
        <v>101.96341463414633</v>
      </c>
      <c r="X5">
        <f t="shared" si="5"/>
        <v>1.3439024390243759</v>
      </c>
      <c r="Z5">
        <f>47.309/47*100</f>
        <v>100.65744680851063</v>
      </c>
      <c r="AA5">
        <f>48.541/47*100</f>
        <v>103.2787234042553</v>
      </c>
      <c r="AB5">
        <f t="shared" si="6"/>
        <v>2.6212765957446749</v>
      </c>
    </row>
    <row r="6" spans="2:28">
      <c r="B6">
        <f>15.31/44*100</f>
        <v>34.795454545454547</v>
      </c>
      <c r="C6">
        <f>16.76/44*100</f>
        <v>38.090909090909093</v>
      </c>
      <c r="D6">
        <f t="shared" si="2"/>
        <v>3.2954545454545467</v>
      </c>
      <c r="F6">
        <f>16.8/44*100</f>
        <v>38.181818181818187</v>
      </c>
      <c r="G6">
        <f>18.84/44*100</f>
        <v>42.818181818181813</v>
      </c>
      <c r="H6">
        <f t="shared" si="0"/>
        <v>4.636363636363626</v>
      </c>
      <c r="J6">
        <f>32.9/47*100</f>
        <v>70</v>
      </c>
      <c r="K6">
        <f>34.96/47*100</f>
        <v>74.382978723404264</v>
      </c>
      <c r="L6">
        <f t="shared" si="3"/>
        <v>4.3829787234042641</v>
      </c>
      <c r="N6">
        <f>21.224/51*100</f>
        <v>41.615686274509805</v>
      </c>
      <c r="O6">
        <f>21.837/51*100</f>
        <v>42.817647058823525</v>
      </c>
      <c r="P6">
        <f t="shared" si="1"/>
        <v>1.2019607843137194</v>
      </c>
      <c r="R6">
        <f>43.757/41*100</f>
        <v>106.72439024390243</v>
      </c>
      <c r="S6">
        <f>45.111/41*100</f>
        <v>110.02682926829269</v>
      </c>
      <c r="T6">
        <f t="shared" si="4"/>
        <v>3.3024390243902531</v>
      </c>
      <c r="V6">
        <f>43.083/44*100</f>
        <v>97.915909090909096</v>
      </c>
      <c r="W6">
        <f>44.526/44*100</f>
        <v>101.19545454545455</v>
      </c>
      <c r="X6">
        <f t="shared" si="5"/>
        <v>3.2795454545454561</v>
      </c>
      <c r="Z6">
        <f>31.857/44*100</f>
        <v>72.402272727272717</v>
      </c>
      <c r="AA6">
        <f>33.181/44*100</f>
        <v>75.411363636363632</v>
      </c>
      <c r="AB6">
        <f t="shared" si="6"/>
        <v>3.009090909090915</v>
      </c>
    </row>
    <row r="7" spans="2:28">
      <c r="B7">
        <f>42.34/49*100</f>
        <v>86.408163265306129</v>
      </c>
      <c r="C7">
        <f>43.5/49*100</f>
        <v>88.775510204081627</v>
      </c>
      <c r="D7">
        <f t="shared" si="2"/>
        <v>2.3673469387754977</v>
      </c>
      <c r="F7">
        <f>20.39/51*100</f>
        <v>39.980392156862749</v>
      </c>
      <c r="G7">
        <f>21.63/51*100</f>
        <v>42.411764705882348</v>
      </c>
      <c r="H7">
        <f t="shared" si="0"/>
        <v>2.4313725490195992</v>
      </c>
      <c r="J7">
        <f>17.76/41*100</f>
        <v>43.31707317073171</v>
      </c>
      <c r="K7">
        <f>19.05/41*100</f>
        <v>46.463414634146346</v>
      </c>
      <c r="L7">
        <f t="shared" si="3"/>
        <v>3.1463414634146361</v>
      </c>
      <c r="N7">
        <f>39.737/49*100</f>
        <v>81.09591836734694</v>
      </c>
      <c r="O7">
        <f>40.999/49*100</f>
        <v>83.671428571428578</v>
      </c>
      <c r="P7">
        <f t="shared" si="1"/>
        <v>2.5755102040816382</v>
      </c>
      <c r="R7">
        <f>33.362/44*100</f>
        <v>75.822727272727278</v>
      </c>
      <c r="S7">
        <f>34.274/44*100</f>
        <v>77.895454545454541</v>
      </c>
      <c r="T7">
        <f t="shared" si="4"/>
        <v>2.0727272727272634</v>
      </c>
      <c r="V7">
        <f>44.56/49*100</f>
        <v>90.938775510204081</v>
      </c>
      <c r="W7">
        <f>47.827/49*100</f>
        <v>97.60612244897959</v>
      </c>
      <c r="X7">
        <f t="shared" si="5"/>
        <v>6.6673469387755091</v>
      </c>
      <c r="Z7">
        <f>49.434/49*100</f>
        <v>100.88571428571429</v>
      </c>
      <c r="AA7">
        <f>51.001/49*100</f>
        <v>104.08367346938776</v>
      </c>
      <c r="AB7">
        <f t="shared" si="6"/>
        <v>3.1979591836734755</v>
      </c>
    </row>
    <row r="8" spans="2:28">
      <c r="B8">
        <f>35.23/44*100</f>
        <v>80.068181818181813</v>
      </c>
      <c r="C8">
        <f>35.79/44*100</f>
        <v>81.340909090909079</v>
      </c>
      <c r="D8">
        <f t="shared" si="2"/>
        <v>1.2727272727272663</v>
      </c>
      <c r="F8">
        <f>26.76/49*100</f>
        <v>54.612244897959187</v>
      </c>
      <c r="G8">
        <f>31.56/49*100</f>
        <v>64.408163265306115</v>
      </c>
      <c r="H8">
        <f t="shared" si="0"/>
        <v>9.7959183673469283</v>
      </c>
      <c r="J8">
        <f>24.45/44*100</f>
        <v>55.568181818181813</v>
      </c>
      <c r="K8">
        <f>25.88/44*100</f>
        <v>58.818181818181813</v>
      </c>
      <c r="L8">
        <f t="shared" si="3"/>
        <v>3.25</v>
      </c>
      <c r="N8">
        <f>38.312/44*100</f>
        <v>87.072727272727263</v>
      </c>
      <c r="O8">
        <f>41.189/44*100</f>
        <v>93.611363636363635</v>
      </c>
      <c r="P8">
        <f t="shared" si="1"/>
        <v>6.5386363636363711</v>
      </c>
      <c r="R8">
        <f>50.667/51*100</f>
        <v>99.347058823529409</v>
      </c>
      <c r="S8">
        <f>52.034/51*100</f>
        <v>102.02745098039216</v>
      </c>
      <c r="T8">
        <f t="shared" si="4"/>
        <v>2.6803921568627516</v>
      </c>
      <c r="V8">
        <f>48.961/51*100</f>
        <v>96.001960784313724</v>
      </c>
      <c r="W8" s="1">
        <f>54.67/51*100</f>
        <v>107.19607843137256</v>
      </c>
      <c r="X8">
        <f t="shared" si="5"/>
        <v>11.194117647058832</v>
      </c>
      <c r="Z8">
        <f>37.448/44*100</f>
        <v>85.109090909090909</v>
      </c>
      <c r="AA8">
        <f>43.731/44*100</f>
        <v>99.388636363636365</v>
      </c>
      <c r="AB8">
        <f t="shared" si="6"/>
        <v>14.279545454545456</v>
      </c>
    </row>
    <row r="9" spans="2:28">
      <c r="B9">
        <f>27.34/44*100</f>
        <v>62.136363636363633</v>
      </c>
      <c r="C9">
        <f>27.9/44*100</f>
        <v>63.409090909090907</v>
      </c>
      <c r="D9">
        <f t="shared" si="2"/>
        <v>1.2727272727272734</v>
      </c>
      <c r="F9">
        <f>31.81/51*100</f>
        <v>62.372549019607838</v>
      </c>
      <c r="G9">
        <f>33.5/51*100</f>
        <v>65.686274509803923</v>
      </c>
      <c r="H9">
        <f t="shared" si="0"/>
        <v>3.3137254901960844</v>
      </c>
      <c r="J9">
        <f>36.42/51*100</f>
        <v>71.411764705882348</v>
      </c>
      <c r="K9">
        <f>37.44/51*100</f>
        <v>73.411764705882348</v>
      </c>
      <c r="L9">
        <f t="shared" si="3"/>
        <v>2</v>
      </c>
      <c r="N9">
        <f>17.764/47*100</f>
        <v>37.795744680851065</v>
      </c>
      <c r="O9">
        <f>18.554/47*100</f>
        <v>39.47659574468085</v>
      </c>
      <c r="P9">
        <f t="shared" si="1"/>
        <v>1.6808510638297847</v>
      </c>
      <c r="R9">
        <f>44.742/44*100</f>
        <v>101.68636363636364</v>
      </c>
      <c r="S9">
        <f>45.312/44*100</f>
        <v>102.98181818181817</v>
      </c>
      <c r="T9">
        <f t="shared" si="4"/>
        <v>1.2954545454545325</v>
      </c>
      <c r="V9">
        <f>31.531/44*100</f>
        <v>71.661363636363632</v>
      </c>
      <c r="W9">
        <f>33.047/44*100</f>
        <v>75.106818181818184</v>
      </c>
      <c r="X9">
        <f t="shared" si="5"/>
        <v>3.4454545454545524</v>
      </c>
      <c r="Z9">
        <f>44.898/45*100</f>
        <v>99.773333333333341</v>
      </c>
      <c r="AA9">
        <f>46.186/45*100</f>
        <v>102.63555555555554</v>
      </c>
      <c r="AB9">
        <f t="shared" si="6"/>
        <v>2.8622222222222007</v>
      </c>
    </row>
    <row r="10" spans="2:28">
      <c r="B10">
        <f>30.63/47*100</f>
        <v>65.170212765957444</v>
      </c>
      <c r="C10">
        <f>31.12/47*100</f>
        <v>66.212765957446805</v>
      </c>
      <c r="D10">
        <f t="shared" si="2"/>
        <v>1.0425531914893611</v>
      </c>
      <c r="F10">
        <f>28.91/44*100</f>
        <v>65.704545454545453</v>
      </c>
      <c r="G10">
        <f>30.6/44*100</f>
        <v>69.545454545454547</v>
      </c>
      <c r="H10">
        <f t="shared" si="0"/>
        <v>3.8409090909090935</v>
      </c>
      <c r="J10">
        <f>46.95/47*100</f>
        <v>99.893617021276597</v>
      </c>
      <c r="K10">
        <f>48.22/47*100</f>
        <v>102.59574468085107</v>
      </c>
      <c r="L10">
        <f t="shared" si="3"/>
        <v>2.7021276595744723</v>
      </c>
      <c r="N10">
        <f>48.164/49*100</f>
        <v>98.293877551020415</v>
      </c>
      <c r="O10">
        <f>49.425/49*100</f>
        <v>100.8673469387755</v>
      </c>
      <c r="P10">
        <f t="shared" si="1"/>
        <v>2.5734693877550825</v>
      </c>
      <c r="R10">
        <f>49.275/49*100</f>
        <v>100.56122448979592</v>
      </c>
      <c r="S10">
        <f>51.395/49*100</f>
        <v>104.88775510204083</v>
      </c>
      <c r="T10">
        <f t="shared" si="4"/>
        <v>4.326530612244909</v>
      </c>
      <c r="V10">
        <f>44.753/44*100</f>
        <v>101.71136363636364</v>
      </c>
      <c r="W10">
        <f>46.657/44*100</f>
        <v>106.03863636363636</v>
      </c>
      <c r="X10">
        <f t="shared" si="5"/>
        <v>4.3272727272727138</v>
      </c>
    </row>
    <row r="11" spans="2:28">
      <c r="B11">
        <f>28.12/49*100</f>
        <v>57.387755102040813</v>
      </c>
      <c r="C11">
        <f>28.6/49*100</f>
        <v>58.367346938775512</v>
      </c>
      <c r="D11">
        <f t="shared" si="2"/>
        <v>0.97959183673469852</v>
      </c>
      <c r="F11">
        <f>28.92/49*100</f>
        <v>59.020408163265316</v>
      </c>
      <c r="G11">
        <f>31.23/49*100</f>
        <v>63.734693877551017</v>
      </c>
      <c r="H11">
        <f t="shared" si="0"/>
        <v>4.7142857142857011</v>
      </c>
      <c r="J11">
        <f>42.18/49*100</f>
        <v>86.08163265306122</v>
      </c>
      <c r="K11">
        <f>43.43/49*100</f>
        <v>88.632653061224488</v>
      </c>
      <c r="L11">
        <f t="shared" si="3"/>
        <v>2.5510204081632679</v>
      </c>
      <c r="N11">
        <f>47.422/47*100</f>
        <v>100.89787234042554</v>
      </c>
      <c r="O11">
        <f>50.526/47*100</f>
        <v>107.50212765957447</v>
      </c>
      <c r="P11">
        <f t="shared" si="1"/>
        <v>6.6042553191489333</v>
      </c>
      <c r="R11">
        <f>57.118/47*100</f>
        <v>121.52765957446809</v>
      </c>
      <c r="S11">
        <f>59.317/47*100</f>
        <v>126.2063829787234</v>
      </c>
      <c r="T11">
        <f t="shared" si="4"/>
        <v>4.6787234042553081</v>
      </c>
      <c r="V11">
        <f>47.571/49*100</f>
        <v>97.083673469387747</v>
      </c>
      <c r="W11">
        <f>48.974/49*100</f>
        <v>99.946938775510191</v>
      </c>
      <c r="X11">
        <f t="shared" si="5"/>
        <v>2.8632653061224431</v>
      </c>
    </row>
    <row r="12" spans="2:28">
      <c r="B12">
        <f>47.31/48*100</f>
        <v>98.562500000000014</v>
      </c>
      <c r="C12">
        <f>48.31/48*100</f>
        <v>100.64583333333334</v>
      </c>
      <c r="D12">
        <f t="shared" si="2"/>
        <v>2.0833333333333286</v>
      </c>
      <c r="F12">
        <f>30.71/47*100</f>
        <v>65.340425531914889</v>
      </c>
      <c r="G12">
        <f>33.09/47*100</f>
        <v>70.404255319148945</v>
      </c>
      <c r="H12">
        <f t="shared" si="0"/>
        <v>5.0638297872340559</v>
      </c>
      <c r="J12">
        <f>25.43/45*100</f>
        <v>56.511111111111113</v>
      </c>
      <c r="K12">
        <f>26.86/45*100</f>
        <v>59.68888888888889</v>
      </c>
      <c r="L12">
        <f t="shared" si="3"/>
        <v>3.1777777777777771</v>
      </c>
      <c r="N12">
        <f>28.325/45*100</f>
        <v>62.94444444444445</v>
      </c>
      <c r="O12">
        <f>29.718/45*100</f>
        <v>66.039999999999992</v>
      </c>
      <c r="P12">
        <f t="shared" si="1"/>
        <v>3.0955555555555421</v>
      </c>
      <c r="R12">
        <f>45.8/45*100</f>
        <v>101.77777777777777</v>
      </c>
      <c r="S12">
        <f>47.283/45*100</f>
        <v>105.07333333333332</v>
      </c>
      <c r="T12">
        <f t="shared" si="4"/>
        <v>3.295555555555552</v>
      </c>
      <c r="V12">
        <f>26.897/47*100</f>
        <v>57.227659574468085</v>
      </c>
      <c r="W12">
        <f>30.614/47*100</f>
        <v>65.136170212765947</v>
      </c>
      <c r="X12">
        <f t="shared" si="5"/>
        <v>7.9085106382978623</v>
      </c>
    </row>
    <row r="13" spans="2:28">
      <c r="B13">
        <f>45.77/45*100</f>
        <v>101.71111111111111</v>
      </c>
      <c r="C13">
        <f>46.55/45*100</f>
        <v>103.44444444444443</v>
      </c>
      <c r="D13">
        <f t="shared" si="2"/>
        <v>1.7333333333333201</v>
      </c>
      <c r="F13">
        <f>28.3/48*100</f>
        <v>58.958333333333336</v>
      </c>
      <c r="G13">
        <f>31.78/48*100</f>
        <v>66.208333333333343</v>
      </c>
      <c r="H13">
        <f t="shared" si="0"/>
        <v>7.2500000000000071</v>
      </c>
      <c r="J13">
        <f>47.68/52*100</f>
        <v>91.692307692307693</v>
      </c>
      <c r="K13">
        <f>48.92/52*100</f>
        <v>94.07692307692308</v>
      </c>
      <c r="L13">
        <f t="shared" si="3"/>
        <v>2.3846153846153868</v>
      </c>
      <c r="V13">
        <f>33.947/45*100</f>
        <v>75.437777777777782</v>
      </c>
      <c r="W13">
        <f>37.181/45*100</f>
        <v>82.624444444444435</v>
      </c>
      <c r="X13">
        <f t="shared" si="5"/>
        <v>7.1866666666666532</v>
      </c>
    </row>
    <row r="14" spans="2:28">
      <c r="B14">
        <f>45.4/52*100</f>
        <v>87.307692307692307</v>
      </c>
      <c r="C14">
        <f>46.18/52*100</f>
        <v>88.807692307692307</v>
      </c>
      <c r="D14">
        <f t="shared" si="2"/>
        <v>1.5</v>
      </c>
      <c r="F14">
        <f>28.03/45*100</f>
        <v>62.288888888888891</v>
      </c>
      <c r="G14">
        <f>30.05/45*100</f>
        <v>66.777777777777786</v>
      </c>
      <c r="H14">
        <f t="shared" si="0"/>
        <v>4.4888888888888943</v>
      </c>
    </row>
    <row r="15" spans="2:28">
      <c r="F15">
        <f>32.31/52*100</f>
        <v>62.134615384615387</v>
      </c>
      <c r="G15">
        <f>35.38/52*100</f>
        <v>68.038461538461547</v>
      </c>
      <c r="H15">
        <f t="shared" si="0"/>
        <v>5.9038461538461604</v>
      </c>
    </row>
    <row r="17" spans="1:28">
      <c r="A17" t="s">
        <v>24</v>
      </c>
      <c r="B17">
        <f>AVERAGE(B2:B14)</f>
        <v>75.501224190827614</v>
      </c>
      <c r="C17">
        <f>AVERAGE(C2:C14)</f>
        <v>77.253916721565218</v>
      </c>
      <c r="D17">
        <f>AVERAGE(D2:D15)</f>
        <v>1.7526925307376013</v>
      </c>
      <c r="F17">
        <f>AVERAGE(F2:F15)</f>
        <v>60.375589604530724</v>
      </c>
      <c r="G17">
        <f>AVERAGE(G2:G15)</f>
        <v>65.189228424348926</v>
      </c>
      <c r="H17">
        <f>AVERAGE(H2:H15)</f>
        <v>4.813638819818209</v>
      </c>
      <c r="J17">
        <f>AVERAGE(J2:J15)</f>
        <v>70.696337962743328</v>
      </c>
      <c r="K17">
        <f>AVERAGE(K2:K15)</f>
        <v>75.187629064208451</v>
      </c>
      <c r="L17">
        <f>AVERAGE(L2:L15)</f>
        <v>4.4912911014651309</v>
      </c>
      <c r="N17">
        <f>AVERAGE(N2:N16)</f>
        <v>68.260120088207088</v>
      </c>
      <c r="O17">
        <f>AVERAGE(O2:O16)</f>
        <v>71.650311815164628</v>
      </c>
      <c r="P17">
        <f>AVERAGE(P2:P16)</f>
        <v>3.3901917269575317</v>
      </c>
      <c r="R17">
        <f>AVERAGE(R2:R16)</f>
        <v>100.84381238439082</v>
      </c>
      <c r="S17">
        <f>AVERAGE(S2:S16)</f>
        <v>104.18714952042502</v>
      </c>
      <c r="T17">
        <f>AVERAGE(T2:T16)</f>
        <v>3.3433371360342288</v>
      </c>
      <c r="V17">
        <f>AVERAGE(V2:V15)</f>
        <v>89.264318562394735</v>
      </c>
      <c r="W17">
        <f>AVERAGE(W2:W15)</f>
        <v>94.801547082717931</v>
      </c>
      <c r="X17">
        <f>AVERAGE(X2:X15)</f>
        <v>5.537228520323187</v>
      </c>
      <c r="Z17">
        <f>AVERAGE(Z2:Z16)</f>
        <v>86.717264506147473</v>
      </c>
      <c r="AA17">
        <f>AVERAGE(AA2:AA16)</f>
        <v>91.610416658072438</v>
      </c>
      <c r="AB17">
        <f>AVERAGE(AB2:AB16)</f>
        <v>4.8931521519249479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EDC4D-254F-4C5E-8299-F1AD42CE2937}">
  <dimension ref="A1:AB20"/>
  <sheetViews>
    <sheetView tabSelected="1" topLeftCell="A4" workbookViewId="0">
      <selection activeCell="K22" sqref="K22"/>
    </sheetView>
  </sheetViews>
  <sheetFormatPr defaultRowHeight="15"/>
  <sheetData>
    <row r="1" spans="2:28">
      <c r="B1" t="s">
        <v>20</v>
      </c>
      <c r="C1" t="s">
        <v>21</v>
      </c>
      <c r="D1" t="s">
        <v>23</v>
      </c>
      <c r="F1" t="s">
        <v>20</v>
      </c>
      <c r="G1" t="s">
        <v>21</v>
      </c>
      <c r="H1" t="s">
        <v>23</v>
      </c>
      <c r="J1" t="s">
        <v>20</v>
      </c>
      <c r="K1" t="s">
        <v>21</v>
      </c>
      <c r="L1" t="s">
        <v>23</v>
      </c>
      <c r="N1" t="s">
        <v>20</v>
      </c>
      <c r="O1" t="s">
        <v>21</v>
      </c>
      <c r="P1" t="s">
        <v>23</v>
      </c>
      <c r="R1" t="s">
        <v>20</v>
      </c>
      <c r="S1" t="s">
        <v>21</v>
      </c>
      <c r="T1" t="s">
        <v>23</v>
      </c>
      <c r="V1" t="s">
        <v>20</v>
      </c>
      <c r="W1" t="s">
        <v>21</v>
      </c>
      <c r="X1" t="s">
        <v>23</v>
      </c>
      <c r="Z1" t="s">
        <v>20</v>
      </c>
      <c r="AA1" t="s">
        <v>21</v>
      </c>
      <c r="AB1" t="s">
        <v>23</v>
      </c>
    </row>
    <row r="2" spans="2:28">
      <c r="B2">
        <f>35.1/44*100</f>
        <v>79.772727272727266</v>
      </c>
      <c r="C2">
        <f>36.52/44*100</f>
        <v>83</v>
      </c>
      <c r="D2">
        <f xml:space="preserve"> C2-B2</f>
        <v>3.2272727272727337</v>
      </c>
      <c r="F2">
        <f>17.318/44*100</f>
        <v>39.359090909090909</v>
      </c>
      <c r="G2">
        <f>18.823/44*100</f>
        <v>42.779545454545456</v>
      </c>
      <c r="H2">
        <f>G2-F2</f>
        <v>3.4204545454545467</v>
      </c>
      <c r="J2">
        <f>35.878/44*100</f>
        <v>81.540909090909082</v>
      </c>
      <c r="K2">
        <f>37.38/44*100</f>
        <v>84.954545454545467</v>
      </c>
      <c r="L2">
        <f>K2-J2</f>
        <v>3.4136363636363853</v>
      </c>
      <c r="N2">
        <f>35.603/44*100</f>
        <v>80.915909090909096</v>
      </c>
      <c r="O2">
        <f>36.969/44*100</f>
        <v>84.020454545454555</v>
      </c>
      <c r="P2">
        <f>O2-N2</f>
        <v>3.1045454545454589</v>
      </c>
      <c r="R2">
        <f>9.977/44*100</f>
        <v>22.675000000000001</v>
      </c>
      <c r="S2">
        <f>11.749/44*100</f>
        <v>26.702272727272732</v>
      </c>
      <c r="T2">
        <f>S2-R2</f>
        <v>4.0272727272727309</v>
      </c>
      <c r="V2">
        <f>22/42*100</f>
        <v>52.380952380952387</v>
      </c>
      <c r="W2">
        <f>23.624/42*100</f>
        <v>56.247619047619047</v>
      </c>
      <c r="X2">
        <f t="shared" ref="X2:X16" si="0">W2-V2</f>
        <v>3.86666666666666</v>
      </c>
      <c r="Z2">
        <f>29.282/44*100</f>
        <v>66.55</v>
      </c>
      <c r="AA2">
        <f>30.932/44*100</f>
        <v>70.3</v>
      </c>
      <c r="AB2">
        <f>AA2-Z2</f>
        <v>3.75</v>
      </c>
    </row>
    <row r="3" spans="2:28">
      <c r="B3">
        <f>15.95/42*100</f>
        <v>37.976190476190474</v>
      </c>
      <c r="C3">
        <f>16.73/42*100</f>
        <v>39.833333333333329</v>
      </c>
      <c r="D3">
        <f t="shared" ref="D3:D17" si="1" xml:space="preserve"> C3-B3</f>
        <v>1.8571428571428541</v>
      </c>
      <c r="F3">
        <f>14.982/42*100</f>
        <v>35.671428571428571</v>
      </c>
      <c r="G3">
        <f>16.676/42*100</f>
        <v>39.704761904761895</v>
      </c>
      <c r="H3">
        <f t="shared" ref="H3:H19" si="2">G3-F3</f>
        <v>4.0333333333333243</v>
      </c>
      <c r="J3" s="1">
        <f>18.071/42*100</f>
        <v>43.026190476190479</v>
      </c>
      <c r="K3">
        <f>19.139/42*100</f>
        <v>45.569047619047623</v>
      </c>
      <c r="L3">
        <f t="shared" ref="L3:L19" si="3">K3-J3</f>
        <v>2.5428571428571445</v>
      </c>
      <c r="N3">
        <f>24.182/42*100</f>
        <v>57.576190476190469</v>
      </c>
      <c r="O3">
        <f>26.319/42*100</f>
        <v>62.664285714285718</v>
      </c>
      <c r="P3">
        <f t="shared" ref="P3:P18" si="4">O3-N3</f>
        <v>5.0880952380952493</v>
      </c>
      <c r="R3">
        <f>14.326/42*100</f>
        <v>34.109523809523814</v>
      </c>
      <c r="S3">
        <f>15.14/42*100</f>
        <v>36.047619047619051</v>
      </c>
      <c r="T3">
        <f t="shared" ref="T3:T18" si="5">S3-R3</f>
        <v>1.9380952380952365</v>
      </c>
      <c r="V3">
        <f>36.823/37*100</f>
        <v>99.52162162162162</v>
      </c>
      <c r="W3">
        <f>37.422/37*100</f>
        <v>101.14054054054054</v>
      </c>
      <c r="X3">
        <f t="shared" si="0"/>
        <v>1.6189189189189221</v>
      </c>
      <c r="Z3">
        <f>11.477/42*100</f>
        <v>27.326190476190476</v>
      </c>
      <c r="AA3">
        <f>15.927/42*100</f>
        <v>37.921428571428571</v>
      </c>
      <c r="AB3">
        <f t="shared" ref="AB3:AB19" si="6">AA3-Z3</f>
        <v>10.595238095238095</v>
      </c>
    </row>
    <row r="4" spans="2:28">
      <c r="B4">
        <f>16.55/37*100</f>
        <v>44.729729729729733</v>
      </c>
      <c r="C4">
        <f>17.42/37*100</f>
        <v>47.081081081081081</v>
      </c>
      <c r="D4">
        <f t="shared" si="1"/>
        <v>2.3513513513513473</v>
      </c>
      <c r="F4">
        <f>15.29/37*100</f>
        <v>41.324324324324323</v>
      </c>
      <c r="G4">
        <f>16.886/37*100</f>
        <v>45.637837837837836</v>
      </c>
      <c r="H4">
        <f t="shared" si="2"/>
        <v>4.313513513513513</v>
      </c>
      <c r="J4">
        <f>21.375/37*100</f>
        <v>57.770270270270274</v>
      </c>
      <c r="K4">
        <f>22.322/37*100</f>
        <v>60.329729729729728</v>
      </c>
      <c r="L4">
        <f t="shared" si="3"/>
        <v>2.559459459459454</v>
      </c>
      <c r="N4">
        <f>43.619/44*100</f>
        <v>99.134090909090915</v>
      </c>
      <c r="O4">
        <f>46.556/44*100</f>
        <v>105.8090909090909</v>
      </c>
      <c r="P4">
        <f t="shared" si="4"/>
        <v>6.6749999999999829</v>
      </c>
      <c r="R4">
        <f>15.408/37*100</f>
        <v>41.643243243243248</v>
      </c>
      <c r="S4">
        <f>17.702/37*100</f>
        <v>47.843243243243251</v>
      </c>
      <c r="T4">
        <f t="shared" si="5"/>
        <v>6.2000000000000028</v>
      </c>
      <c r="V4">
        <f>35.894/44*100</f>
        <v>81.577272727272714</v>
      </c>
      <c r="W4">
        <f>36.647/44*100</f>
        <v>83.288636363636357</v>
      </c>
      <c r="X4">
        <f t="shared" si="0"/>
        <v>1.7113636363636431</v>
      </c>
      <c r="Z4">
        <f>18.042/37*100</f>
        <v>48.762162162162163</v>
      </c>
      <c r="AA4">
        <f>19.381/37*100</f>
        <v>52.381081081081085</v>
      </c>
      <c r="AB4">
        <f t="shared" si="6"/>
        <v>3.6189189189189221</v>
      </c>
    </row>
    <row r="5" spans="2:28">
      <c r="B5">
        <f>20.6/44*100</f>
        <v>46.81818181818182</v>
      </c>
      <c r="C5">
        <f>21.22/44*100</f>
        <v>48.227272727272727</v>
      </c>
      <c r="D5">
        <f t="shared" si="1"/>
        <v>1.4090909090909065</v>
      </c>
      <c r="F5">
        <f>13.707/44*100</f>
        <v>31.152272727272727</v>
      </c>
      <c r="G5">
        <f>16.744/44*100</f>
        <v>38.054545454545455</v>
      </c>
      <c r="H5">
        <f t="shared" si="2"/>
        <v>6.9022727272727273</v>
      </c>
      <c r="J5">
        <f>39.337/44*100</f>
        <v>89.402272727272731</v>
      </c>
      <c r="K5">
        <f>40.402/44*100</f>
        <v>91.822727272727278</v>
      </c>
      <c r="L5">
        <f t="shared" si="3"/>
        <v>2.4204545454545467</v>
      </c>
      <c r="N5">
        <f>26.241/47*100</f>
        <v>55.831914893617018</v>
      </c>
      <c r="O5">
        <f>28.046/47*100</f>
        <v>59.672340425531914</v>
      </c>
      <c r="P5">
        <f t="shared" si="4"/>
        <v>3.8404255319148959</v>
      </c>
      <c r="R5">
        <f>27.436/44*100</f>
        <v>62.354545454545452</v>
      </c>
      <c r="S5">
        <f>29.995/44*100</f>
        <v>68.170454545454547</v>
      </c>
      <c r="T5">
        <f t="shared" si="5"/>
        <v>5.8159090909090949</v>
      </c>
      <c r="V5">
        <f>30.76/47*100</f>
        <v>65.446808510638306</v>
      </c>
      <c r="W5">
        <f>31.309/47*100</f>
        <v>66.614893617021281</v>
      </c>
      <c r="X5">
        <f t="shared" si="0"/>
        <v>1.1680851063829749</v>
      </c>
      <c r="Z5">
        <f>44.553/44*100</f>
        <v>101.25681818181818</v>
      </c>
      <c r="AA5">
        <f>46.68/44*100</f>
        <v>106.09090909090908</v>
      </c>
      <c r="AB5">
        <f t="shared" si="6"/>
        <v>4.8340909090909037</v>
      </c>
    </row>
    <row r="6" spans="2:28">
      <c r="B6">
        <f>6.55/47*100</f>
        <v>13.936170212765958</v>
      </c>
      <c r="C6">
        <f>7.6/47*100</f>
        <v>16.170212765957444</v>
      </c>
      <c r="D6">
        <f t="shared" si="1"/>
        <v>2.234042553191486</v>
      </c>
      <c r="F6">
        <f>14.823/47*100</f>
        <v>31.538297872340426</v>
      </c>
      <c r="G6">
        <f>16.183/47*100</f>
        <v>34.431914893617019</v>
      </c>
      <c r="H6">
        <f t="shared" si="2"/>
        <v>2.8936170212765937</v>
      </c>
      <c r="J6">
        <f>8.968/47*100</f>
        <v>19.080851063829787</v>
      </c>
      <c r="K6">
        <f>9.846/47*100</f>
        <v>20.948936170212768</v>
      </c>
      <c r="L6">
        <f t="shared" si="3"/>
        <v>1.8680851063829813</v>
      </c>
      <c r="N6">
        <f>22.209/41*100</f>
        <v>54.168292682926833</v>
      </c>
      <c r="O6">
        <f>22.975/41*100</f>
        <v>56.036585365853661</v>
      </c>
      <c r="P6">
        <f t="shared" si="4"/>
        <v>1.8682926829268283</v>
      </c>
      <c r="R6">
        <f>14.066/47*100</f>
        <v>29.927659574468084</v>
      </c>
      <c r="S6">
        <f>16.046/47*100</f>
        <v>34.140425531914893</v>
      </c>
      <c r="T6">
        <f t="shared" si="5"/>
        <v>4.212765957446809</v>
      </c>
      <c r="V6">
        <f>39.804/41*100</f>
        <v>97.082926829268303</v>
      </c>
      <c r="W6">
        <f>40.477/41*100</f>
        <v>98.724390243902434</v>
      </c>
      <c r="X6">
        <f t="shared" si="0"/>
        <v>1.6414634146341314</v>
      </c>
      <c r="Z6">
        <f>32.847/47*100</f>
        <v>69.887234042553189</v>
      </c>
      <c r="AA6">
        <f>33.858/47*100</f>
        <v>72.038297872340422</v>
      </c>
      <c r="AB6">
        <f t="shared" si="6"/>
        <v>2.1510638297872333</v>
      </c>
    </row>
    <row r="7" spans="2:28">
      <c r="B7">
        <f>35.4/41*100</f>
        <v>86.341463414634148</v>
      </c>
      <c r="C7">
        <f>36.61/41*100</f>
        <v>89.292682926829272</v>
      </c>
      <c r="D7">
        <f t="shared" si="1"/>
        <v>2.9512195121951237</v>
      </c>
      <c r="F7">
        <f>18.385/41*100</f>
        <v>44.841463414634156</v>
      </c>
      <c r="G7">
        <f>19.375/41*100</f>
        <v>47.256097560975604</v>
      </c>
      <c r="H7">
        <f t="shared" si="2"/>
        <v>2.4146341463414487</v>
      </c>
      <c r="J7">
        <f>26.411/41*100</f>
        <v>64.417073170731712</v>
      </c>
      <c r="K7">
        <f>27.332/41*100</f>
        <v>66.663414634146349</v>
      </c>
      <c r="L7">
        <f t="shared" si="3"/>
        <v>2.2463414634146375</v>
      </c>
      <c r="N7">
        <f>33.42/44*100</f>
        <v>75.954545454545467</v>
      </c>
      <c r="O7">
        <f>34.354/44*100</f>
        <v>78.077272727272728</v>
      </c>
      <c r="P7">
        <f t="shared" si="4"/>
        <v>2.1227272727272606</v>
      </c>
      <c r="R7">
        <f>19.293/41*100</f>
        <v>47.056097560975608</v>
      </c>
      <c r="S7">
        <f>22.143/41*100</f>
        <v>54.007317073170732</v>
      </c>
      <c r="T7">
        <f t="shared" si="5"/>
        <v>6.9512195121951237</v>
      </c>
      <c r="V7">
        <f>34.3/44*100</f>
        <v>77.954545454545439</v>
      </c>
      <c r="W7">
        <f>34.487/44*100</f>
        <v>78.379545454545465</v>
      </c>
      <c r="X7">
        <f t="shared" si="0"/>
        <v>0.42500000000002558</v>
      </c>
      <c r="Z7">
        <f>30.842/41*100</f>
        <v>75.224390243902434</v>
      </c>
      <c r="AA7">
        <f>31.584/41*100</f>
        <v>77.034146341463412</v>
      </c>
      <c r="AB7">
        <f t="shared" si="6"/>
        <v>1.8097560975609781</v>
      </c>
    </row>
    <row r="8" spans="2:28">
      <c r="B8">
        <f>8.72/44*100</f>
        <v>19.81818181818182</v>
      </c>
      <c r="C8">
        <f>9.34/44*100</f>
        <v>21.227272727272727</v>
      </c>
      <c r="D8">
        <f t="shared" si="1"/>
        <v>1.4090909090909065</v>
      </c>
      <c r="F8">
        <f>32.225/44*100</f>
        <v>73.238636363636374</v>
      </c>
      <c r="G8">
        <f>33.393/44*100</f>
        <v>75.893181818181816</v>
      </c>
      <c r="H8">
        <f t="shared" si="2"/>
        <v>2.6545454545454419</v>
      </c>
      <c r="J8">
        <f>31.394/44*100</f>
        <v>71.349999999999994</v>
      </c>
      <c r="K8">
        <f>32.452/44*100</f>
        <v>73.75454545454545</v>
      </c>
      <c r="L8">
        <f t="shared" si="3"/>
        <v>2.4045454545454561</v>
      </c>
      <c r="N8">
        <f>37.689/51*100</f>
        <v>73.900000000000006</v>
      </c>
      <c r="O8">
        <f>38.635/51*100</f>
        <v>75.754901960784309</v>
      </c>
      <c r="P8">
        <f t="shared" si="4"/>
        <v>1.8549019607843036</v>
      </c>
      <c r="R8">
        <f>20.27/44*100</f>
        <v>46.06818181818182</v>
      </c>
      <c r="S8">
        <f>23.451/44*100</f>
        <v>53.297727272727272</v>
      </c>
      <c r="T8">
        <f t="shared" si="5"/>
        <v>7.2295454545454518</v>
      </c>
      <c r="V8">
        <f>42.384/51*100</f>
        <v>83.10588235294118</v>
      </c>
      <c r="W8">
        <f>43.242/51*100</f>
        <v>84.788235294117641</v>
      </c>
      <c r="X8">
        <f t="shared" si="0"/>
        <v>1.6823529411764611</v>
      </c>
      <c r="Z8">
        <f>27.057/44*100</f>
        <v>61.493181818181817</v>
      </c>
      <c r="AA8">
        <f>28.04/44*100</f>
        <v>63.72727272727272</v>
      </c>
      <c r="AB8">
        <f t="shared" si="6"/>
        <v>2.2340909090909022</v>
      </c>
    </row>
    <row r="9" spans="2:28">
      <c r="B9">
        <f>12.05/51*100</f>
        <v>23.627450980392158</v>
      </c>
      <c r="C9">
        <f>12.51/51*100</f>
        <v>24.529411764705884</v>
      </c>
      <c r="D9">
        <f t="shared" si="1"/>
        <v>0.90196078431372584</v>
      </c>
      <c r="F9">
        <f>19.819/51*100</f>
        <v>38.860784313725489</v>
      </c>
      <c r="G9">
        <f>21.061/51*100</f>
        <v>41.29607843137255</v>
      </c>
      <c r="H9">
        <f t="shared" si="2"/>
        <v>2.4352941176470608</v>
      </c>
      <c r="J9">
        <f>24.017/51*100</f>
        <v>47.092156862745099</v>
      </c>
      <c r="K9">
        <f>25.081/51*100</f>
        <v>49.178431372549021</v>
      </c>
      <c r="L9">
        <f t="shared" si="3"/>
        <v>2.0862745098039213</v>
      </c>
      <c r="N9">
        <f>32.198/49*100</f>
        <v>65.710204081632654</v>
      </c>
      <c r="O9">
        <f>33.083/49*100</f>
        <v>67.516326530612233</v>
      </c>
      <c r="P9">
        <f t="shared" si="4"/>
        <v>1.8061224489795791</v>
      </c>
      <c r="R9">
        <f>27/51*100</f>
        <v>52.941176470588239</v>
      </c>
      <c r="S9">
        <f>29.621/51*100</f>
        <v>58.08039215686275</v>
      </c>
      <c r="T9">
        <f t="shared" si="5"/>
        <v>5.1392156862745111</v>
      </c>
      <c r="V9">
        <f>43.742/49*100</f>
        <v>89.269387755102031</v>
      </c>
      <c r="W9">
        <f>44.297/49*100</f>
        <v>90.402040816326519</v>
      </c>
      <c r="X9">
        <f t="shared" si="0"/>
        <v>1.1326530612244881</v>
      </c>
      <c r="Z9">
        <f>39.41/51*100</f>
        <v>77.274509803921561</v>
      </c>
      <c r="AA9">
        <f>40.602/51*100</f>
        <v>79.611764705882351</v>
      </c>
      <c r="AB9">
        <f t="shared" si="6"/>
        <v>2.3372549019607902</v>
      </c>
    </row>
    <row r="10" spans="2:28">
      <c r="B10">
        <f>16.91/49*100</f>
        <v>34.510204081632658</v>
      </c>
      <c r="C10">
        <f>17.82/49*100</f>
        <v>36.367346938775512</v>
      </c>
      <c r="D10">
        <f t="shared" si="1"/>
        <v>1.8571428571428541</v>
      </c>
      <c r="F10">
        <f>30.543/49*100</f>
        <v>62.332653061224484</v>
      </c>
      <c r="G10">
        <f>32.643/49*100</f>
        <v>66.618367346938783</v>
      </c>
      <c r="H10">
        <f t="shared" si="2"/>
        <v>4.2857142857142989</v>
      </c>
      <c r="J10">
        <f>29.715/49*100</f>
        <v>60.642857142857146</v>
      </c>
      <c r="K10">
        <f>30.761/49*100</f>
        <v>62.777551020408161</v>
      </c>
      <c r="L10">
        <f t="shared" si="3"/>
        <v>2.1346938775510154</v>
      </c>
      <c r="N10">
        <f>29.529/51*100</f>
        <v>57.9</v>
      </c>
      <c r="O10">
        <f>31.954/51*100</f>
        <v>62.654901960784315</v>
      </c>
      <c r="P10">
        <f t="shared" si="4"/>
        <v>4.7549019607843164</v>
      </c>
      <c r="R10">
        <f>20.028/49*100</f>
        <v>40.873469387755101</v>
      </c>
      <c r="S10">
        <f>21.479/49*100</f>
        <v>43.834693877551018</v>
      </c>
      <c r="T10">
        <f t="shared" si="5"/>
        <v>2.9612244897959172</v>
      </c>
      <c r="V10">
        <f>34.973/51*100</f>
        <v>68.574509803921572</v>
      </c>
      <c r="W10">
        <f>35.688/51*100</f>
        <v>69.976470588235301</v>
      </c>
      <c r="X10">
        <f t="shared" si="0"/>
        <v>1.4019607843137294</v>
      </c>
      <c r="Z10">
        <f>29.145/49*100</f>
        <v>59.479591836734691</v>
      </c>
      <c r="AA10">
        <f>31.039/49*100</f>
        <v>63.344897959183676</v>
      </c>
      <c r="AB10">
        <f t="shared" si="6"/>
        <v>3.8653061224489846</v>
      </c>
    </row>
    <row r="11" spans="2:28">
      <c r="B11">
        <f>33.82/51*100</f>
        <v>66.313725490196077</v>
      </c>
      <c r="C11">
        <f>34.7/51*100</f>
        <v>68.039215686274517</v>
      </c>
      <c r="D11">
        <f t="shared" si="1"/>
        <v>1.7254901960784395</v>
      </c>
      <c r="F11">
        <f>30.311/51*100</f>
        <v>59.433333333333337</v>
      </c>
      <c r="G11">
        <f>31.613/51*100</f>
        <v>61.98627450980392</v>
      </c>
      <c r="H11">
        <f t="shared" si="2"/>
        <v>2.5529411764705827</v>
      </c>
      <c r="J11">
        <f>21.019/51*100</f>
        <v>41.213725490196076</v>
      </c>
      <c r="K11">
        <f>26.462/51*100</f>
        <v>51.886274509803918</v>
      </c>
      <c r="L11">
        <f t="shared" si="3"/>
        <v>10.672549019607843</v>
      </c>
      <c r="N11">
        <f>19.32/44*100</f>
        <v>43.909090909090907</v>
      </c>
      <c r="O11">
        <f>20.436/44*100</f>
        <v>46.445454545454545</v>
      </c>
      <c r="P11">
        <f t="shared" si="4"/>
        <v>2.5363636363636388</v>
      </c>
      <c r="R11">
        <f>22.699/51*100</f>
        <v>44.507843137254902</v>
      </c>
      <c r="S11">
        <f>25.783/51*100</f>
        <v>50.554901960784314</v>
      </c>
      <c r="T11">
        <f t="shared" si="5"/>
        <v>6.0470588235294116</v>
      </c>
      <c r="V11">
        <f>18.492/44*100</f>
        <v>42.027272727272731</v>
      </c>
      <c r="W11">
        <f>18.697/44*100</f>
        <v>42.493181818181817</v>
      </c>
      <c r="X11">
        <f t="shared" si="0"/>
        <v>0.46590909090908639</v>
      </c>
      <c r="Z11">
        <f>36.087/51*100</f>
        <v>70.758823529411771</v>
      </c>
      <c r="AA11">
        <f>36.63/51*100</f>
        <v>71.82352941176471</v>
      </c>
      <c r="AB11">
        <f t="shared" si="6"/>
        <v>1.0647058823529392</v>
      </c>
    </row>
    <row r="12" spans="2:28">
      <c r="B12">
        <f>23.55/44*100</f>
        <v>53.52272727272728</v>
      </c>
      <c r="C12">
        <f>24.18/44*100</f>
        <v>54.954545454545453</v>
      </c>
      <c r="D12">
        <f t="shared" si="1"/>
        <v>1.4318181818181728</v>
      </c>
      <c r="F12">
        <f>43.533/44*100</f>
        <v>98.938636363636363</v>
      </c>
      <c r="G12">
        <f>46.032/44*100</f>
        <v>104.61818181818181</v>
      </c>
      <c r="H12">
        <f t="shared" si="2"/>
        <v>5.6795454545454476</v>
      </c>
      <c r="J12">
        <f>13.374/44*100</f>
        <v>30.395454545454548</v>
      </c>
      <c r="K12">
        <f>14.329/44*100</f>
        <v>32.565909090909088</v>
      </c>
      <c r="L12">
        <f t="shared" si="3"/>
        <v>2.1704545454545396</v>
      </c>
      <c r="N12">
        <f>8.378/44*100</f>
        <v>19.040909090909093</v>
      </c>
      <c r="O12">
        <f>9.989/44*100</f>
        <v>22.702272727272728</v>
      </c>
      <c r="P12">
        <f t="shared" si="4"/>
        <v>3.6613636363636353</v>
      </c>
      <c r="R12">
        <f>18.045/44*100</f>
        <v>41.01136363636364</v>
      </c>
      <c r="S12">
        <f>21.953/44*100</f>
        <v>49.893181818181816</v>
      </c>
      <c r="T12">
        <f t="shared" si="5"/>
        <v>8.8818181818181756</v>
      </c>
      <c r="V12">
        <f>30.647/44*100</f>
        <v>69.652272727272731</v>
      </c>
      <c r="W12">
        <f>31.362/44*100</f>
        <v>71.277272727272717</v>
      </c>
      <c r="X12">
        <f t="shared" si="0"/>
        <v>1.6249999999999858</v>
      </c>
      <c r="Z12">
        <f>43.762/44*100</f>
        <v>99.459090909090904</v>
      </c>
      <c r="AA12">
        <f>44.718/44*100</f>
        <v>101.63181818181819</v>
      </c>
      <c r="AB12">
        <f t="shared" si="6"/>
        <v>2.1727272727272862</v>
      </c>
    </row>
    <row r="13" spans="2:28">
      <c r="B13">
        <f>21.86/49*100</f>
        <v>44.612244897959179</v>
      </c>
      <c r="C13">
        <f>22.43/49*100</f>
        <v>45.775510204081634</v>
      </c>
      <c r="D13">
        <f t="shared" si="1"/>
        <v>1.1632653061224545</v>
      </c>
      <c r="F13">
        <f>23.273/44*100</f>
        <v>52.893181818181823</v>
      </c>
      <c r="G13">
        <f>28.529/44*100</f>
        <v>64.838636363636354</v>
      </c>
      <c r="H13">
        <f t="shared" si="2"/>
        <v>11.945454545454531</v>
      </c>
      <c r="J13">
        <f>35.224/44*100</f>
        <v>80.054545454545448</v>
      </c>
      <c r="K13">
        <f>36.11/44*100</f>
        <v>82.068181818181813</v>
      </c>
      <c r="L13">
        <f t="shared" si="3"/>
        <v>2.0136363636363654</v>
      </c>
      <c r="N13">
        <f>46.355/47*100</f>
        <v>98.627659574468069</v>
      </c>
      <c r="O13">
        <f>47.869/47*100</f>
        <v>101.84893617021275</v>
      </c>
      <c r="P13">
        <f t="shared" si="4"/>
        <v>3.2212765957446834</v>
      </c>
      <c r="R13">
        <f>16.978/47*100</f>
        <v>36.123404255319151</v>
      </c>
      <c r="S13">
        <f>17.985/47*100</f>
        <v>38.265957446808507</v>
      </c>
      <c r="T13">
        <f t="shared" si="5"/>
        <v>2.1425531914893554</v>
      </c>
      <c r="V13">
        <f>41.772/49*100</f>
        <v>85.248979591836729</v>
      </c>
      <c r="W13">
        <f>42.505/49*100</f>
        <v>86.744897959183675</v>
      </c>
      <c r="X13">
        <f t="shared" si="0"/>
        <v>1.4959183673469454</v>
      </c>
      <c r="Z13">
        <f>18.614/44*100</f>
        <v>42.304545454545455</v>
      </c>
      <c r="AA13">
        <f>19.955/44*100</f>
        <v>45.352272727272727</v>
      </c>
      <c r="AB13">
        <f t="shared" si="6"/>
        <v>3.047727272727272</v>
      </c>
    </row>
    <row r="14" spans="2:28">
      <c r="B14">
        <f>32.83/47*100</f>
        <v>69.851063829787236</v>
      </c>
      <c r="C14">
        <f>33.72/47*100</f>
        <v>71.744680851063819</v>
      </c>
      <c r="D14">
        <f t="shared" si="1"/>
        <v>1.893617021276583</v>
      </c>
      <c r="F14">
        <f>14.809/47*100</f>
        <v>31.508510638297871</v>
      </c>
      <c r="G14">
        <f>16.798/47*100</f>
        <v>35.740425531914887</v>
      </c>
      <c r="H14">
        <f t="shared" si="2"/>
        <v>4.2319148936170166</v>
      </c>
      <c r="J14">
        <f>30.606/47*100</f>
        <v>65.119148936170205</v>
      </c>
      <c r="K14">
        <f>31.859/47*100</f>
        <v>67.785106382978739</v>
      </c>
      <c r="L14">
        <f t="shared" si="3"/>
        <v>2.6659574468085339</v>
      </c>
      <c r="N14">
        <f>47.887/49*100</f>
        <v>97.728571428571428</v>
      </c>
      <c r="O14">
        <f>50.269/49*100</f>
        <v>102.58979591836734</v>
      </c>
      <c r="P14">
        <f t="shared" si="4"/>
        <v>4.8612244897959158</v>
      </c>
      <c r="R14">
        <f>22.79/49*100</f>
        <v>46.510204081632651</v>
      </c>
      <c r="S14">
        <f>25.584/49*100</f>
        <v>52.212244897959181</v>
      </c>
      <c r="T14">
        <f t="shared" si="5"/>
        <v>5.7020408163265301</v>
      </c>
      <c r="V14">
        <f>27.021/47*100</f>
        <v>57.491489361702129</v>
      </c>
      <c r="W14">
        <f>28.023/47*100</f>
        <v>59.623404255319144</v>
      </c>
      <c r="X14">
        <f t="shared" si="0"/>
        <v>2.1319148936170151</v>
      </c>
      <c r="Z14">
        <f>17.541/47*100</f>
        <v>37.321276595744678</v>
      </c>
      <c r="AA14">
        <f>19.522/47*100</f>
        <v>41.536170212765953</v>
      </c>
      <c r="AB14">
        <f t="shared" si="6"/>
        <v>4.214893617021275</v>
      </c>
    </row>
    <row r="15" spans="2:28">
      <c r="B15">
        <f>23.04/48*100</f>
        <v>48</v>
      </c>
      <c r="C15">
        <f>23.72/48*100</f>
        <v>49.416666666666664</v>
      </c>
      <c r="D15">
        <f t="shared" si="1"/>
        <v>1.4166666666666643</v>
      </c>
      <c r="F15">
        <f>6.534/49*100</f>
        <v>13.334693877551022</v>
      </c>
      <c r="G15">
        <f>7.466/49*100</f>
        <v>15.236734693877551</v>
      </c>
      <c r="H15">
        <f t="shared" si="2"/>
        <v>1.9020408163265294</v>
      </c>
      <c r="J15">
        <f>26.705/49*100</f>
        <v>54.499999999999993</v>
      </c>
      <c r="K15">
        <f>28.16/49*100</f>
        <v>57.469387755102041</v>
      </c>
      <c r="L15">
        <f t="shared" si="3"/>
        <v>2.9693877551020478</v>
      </c>
      <c r="N15">
        <f>26.366/47*100</f>
        <v>56.097872340425539</v>
      </c>
      <c r="O15">
        <f>27.687/47*100</f>
        <v>58.908510638297869</v>
      </c>
      <c r="P15">
        <f t="shared" si="4"/>
        <v>2.8106382978723303</v>
      </c>
      <c r="R15">
        <f>12.976/47*100</f>
        <v>27.608510638297872</v>
      </c>
      <c r="S15">
        <f>15.494/47*100</f>
        <v>32.96595744680851</v>
      </c>
      <c r="T15">
        <f t="shared" si="5"/>
        <v>5.3574468085106375</v>
      </c>
      <c r="V15">
        <f>31.154/48*100</f>
        <v>64.904166666666669</v>
      </c>
      <c r="W15">
        <f>31.731/48*100</f>
        <v>66.106250000000003</v>
      </c>
      <c r="X15">
        <f t="shared" si="0"/>
        <v>1.2020833333333343</v>
      </c>
      <c r="Z15">
        <f>47.559/49*100</f>
        <v>97.059183673469391</v>
      </c>
      <c r="AA15">
        <f>49.376/49*100</f>
        <v>100.76734693877552</v>
      </c>
      <c r="AB15">
        <f t="shared" si="6"/>
        <v>3.7081632653061263</v>
      </c>
    </row>
    <row r="16" spans="2:28">
      <c r="B16">
        <f>7.55/45*100</f>
        <v>16.777777777777779</v>
      </c>
      <c r="C16">
        <f>8.36/45*100</f>
        <v>18.577777777777776</v>
      </c>
      <c r="D16">
        <f t="shared" si="1"/>
        <v>1.7999999999999972</v>
      </c>
      <c r="F16">
        <f>21.64/47*100</f>
        <v>46.042553191489361</v>
      </c>
      <c r="G16">
        <f>24.234/47*100</f>
        <v>51.561702127659579</v>
      </c>
      <c r="H16">
        <f t="shared" si="2"/>
        <v>5.5191489361702182</v>
      </c>
      <c r="J16">
        <f>30.676/47*100</f>
        <v>65.268085106382983</v>
      </c>
      <c r="K16">
        <f>32.449/47*100</f>
        <v>69.040425531914877</v>
      </c>
      <c r="L16">
        <f t="shared" si="3"/>
        <v>3.772340425531894</v>
      </c>
      <c r="N16">
        <f>37.022/48*100</f>
        <v>77.129166666666663</v>
      </c>
      <c r="O16">
        <f>38.164/48*100</f>
        <v>79.50833333333334</v>
      </c>
      <c r="P16">
        <f t="shared" si="4"/>
        <v>2.3791666666666771</v>
      </c>
      <c r="R16">
        <f>20.227/48*100</f>
        <v>42.139583333333334</v>
      </c>
      <c r="S16">
        <f>22.458/48*100</f>
        <v>46.787500000000001</v>
      </c>
      <c r="T16">
        <f t="shared" si="5"/>
        <v>4.6479166666666671</v>
      </c>
      <c r="V16">
        <f>40.972/52*100</f>
        <v>78.792307692307702</v>
      </c>
      <c r="W16">
        <f>41.876/52*100</f>
        <v>80.530769230769224</v>
      </c>
      <c r="X16">
        <f t="shared" si="0"/>
        <v>1.7384615384615216</v>
      </c>
      <c r="Z16">
        <f>25.649/47*100</f>
        <v>54.57234042553192</v>
      </c>
      <c r="AA16">
        <f>26.665/47*100</f>
        <v>56.734042553191486</v>
      </c>
      <c r="AB16">
        <f t="shared" si="6"/>
        <v>2.1617021276595665</v>
      </c>
    </row>
    <row r="17" spans="1:28">
      <c r="B17">
        <f>31.61/52*100</f>
        <v>60.788461538461533</v>
      </c>
      <c r="C17">
        <f>35.86/52*100</f>
        <v>68.961538461538467</v>
      </c>
      <c r="D17">
        <f t="shared" si="1"/>
        <v>8.173076923076934</v>
      </c>
      <c r="F17">
        <f>15.963/48*100</f>
        <v>33.256250000000001</v>
      </c>
      <c r="G17">
        <f>17.501/48*100</f>
        <v>36.460416666666667</v>
      </c>
      <c r="H17">
        <f t="shared" si="2"/>
        <v>3.2041666666666657</v>
      </c>
      <c r="J17">
        <f>20.77/48*100</f>
        <v>43.270833333333329</v>
      </c>
      <c r="K17">
        <f>22.038/48*100</f>
        <v>45.912500000000001</v>
      </c>
      <c r="L17">
        <f t="shared" si="3"/>
        <v>2.6416666666666728</v>
      </c>
      <c r="N17">
        <f>26.858/45*100</f>
        <v>59.684444444444452</v>
      </c>
      <c r="O17">
        <f>29.505/45*100</f>
        <v>65.566666666666663</v>
      </c>
      <c r="P17">
        <f t="shared" si="4"/>
        <v>5.8822222222222109</v>
      </c>
      <c r="R17">
        <f>25.86/45*100</f>
        <v>57.466666666666669</v>
      </c>
      <c r="S17">
        <f>27.383/45*100</f>
        <v>60.851111111111109</v>
      </c>
      <c r="T17">
        <f t="shared" si="5"/>
        <v>3.3844444444444406</v>
      </c>
      <c r="Z17">
        <f>23.196/48*100</f>
        <v>48.325000000000003</v>
      </c>
      <c r="AA17">
        <f>24.166/48*100</f>
        <v>50.345833333333331</v>
      </c>
      <c r="AB17">
        <f t="shared" si="6"/>
        <v>2.0208333333333286</v>
      </c>
    </row>
    <row r="18" spans="1:28">
      <c r="F18">
        <f>22.288/45*100</f>
        <v>49.528888888888886</v>
      </c>
      <c r="G18">
        <f>24.009/45*100</f>
        <v>53.353333333333332</v>
      </c>
      <c r="H18">
        <f t="shared" si="2"/>
        <v>3.8244444444444454</v>
      </c>
      <c r="J18">
        <f>32.39/45*100</f>
        <v>71.977777777777774</v>
      </c>
      <c r="K18">
        <f>33.391/45*100</f>
        <v>74.202222222222218</v>
      </c>
      <c r="L18">
        <f t="shared" si="3"/>
        <v>2.224444444444444</v>
      </c>
      <c r="N18">
        <f>36.24/52*100</f>
        <v>69.692307692307693</v>
      </c>
      <c r="O18">
        <f>37.365/52*100</f>
        <v>71.855769230769241</v>
      </c>
      <c r="P18">
        <f t="shared" si="4"/>
        <v>2.1634615384615472</v>
      </c>
      <c r="R18">
        <f>30.311/52*100</f>
        <v>58.290384615384617</v>
      </c>
      <c r="S18">
        <f>33.11/52*100</f>
        <v>63.67307692307692</v>
      </c>
      <c r="T18">
        <f t="shared" si="5"/>
        <v>5.3826923076923023</v>
      </c>
      <c r="Z18">
        <f>25.37/45*100</f>
        <v>56.37777777777778</v>
      </c>
      <c r="AA18">
        <f>26.272/45*100</f>
        <v>58.382222222222225</v>
      </c>
      <c r="AB18">
        <f t="shared" si="6"/>
        <v>2.0044444444444451</v>
      </c>
    </row>
    <row r="19" spans="1:28">
      <c r="F19">
        <f>25.164/52*100</f>
        <v>48.392307692307696</v>
      </c>
      <c r="G19">
        <f>26.479/52*100</f>
        <v>50.921153846153842</v>
      </c>
      <c r="H19">
        <f t="shared" si="2"/>
        <v>2.5288461538461462</v>
      </c>
      <c r="J19">
        <f>36.285/52*100</f>
        <v>69.778846153846146</v>
      </c>
      <c r="K19">
        <f>37.099/52*100</f>
        <v>71.344230769230762</v>
      </c>
      <c r="L19">
        <f t="shared" si="3"/>
        <v>1.565384615384616</v>
      </c>
      <c r="Z19">
        <f>35.648/52*100</f>
        <v>68.553846153846166</v>
      </c>
      <c r="AA19">
        <f>36.445/52*100</f>
        <v>70.086538461538467</v>
      </c>
      <c r="AB19">
        <f t="shared" si="6"/>
        <v>1.5326923076923009</v>
      </c>
    </row>
    <row r="20" spans="1:28">
      <c r="A20" t="s">
        <v>24</v>
      </c>
      <c r="B20">
        <f>AVERAGE(B2:B19)</f>
        <v>46.712268788209066</v>
      </c>
      <c r="C20">
        <f>AVERAGE(C2:C19)</f>
        <v>48.949909335448517</v>
      </c>
      <c r="D20">
        <f>AVERAGE(D2:D17)</f>
        <v>2.2376405472394492</v>
      </c>
      <c r="F20">
        <f>AVERAGE(F2:F19)</f>
        <v>46.20262818674243</v>
      </c>
      <c r="G20">
        <f>AVERAGE(G2:G19)</f>
        <v>50.354954977444692</v>
      </c>
      <c r="H20">
        <f>AVERAGE(H2:H19)</f>
        <v>4.1523267907022507</v>
      </c>
      <c r="J20">
        <f>AVERAGE(J2:J19)</f>
        <v>58.66116653347293</v>
      </c>
      <c r="K20">
        <f>AVERAGE(K2:K19)</f>
        <v>61.570731489347523</v>
      </c>
      <c r="L20">
        <f>AVERAGE(L2:L19)</f>
        <v>2.9095649558745831</v>
      </c>
      <c r="N20">
        <f>AVERAGE(N2:N18)</f>
        <v>67.235362925635059</v>
      </c>
      <c r="O20">
        <f>AVERAGE(O2:O18)</f>
        <v>70.684229374708522</v>
      </c>
      <c r="P20">
        <f>AVERAGE(P2:P18)</f>
        <v>3.4488664490734418</v>
      </c>
      <c r="R20">
        <f>AVERAGE(R2:R18)</f>
        <v>43.018050451972599</v>
      </c>
      <c r="S20">
        <f>AVERAGE(S2:S18)</f>
        <v>48.078122181208627</v>
      </c>
      <c r="T20">
        <f>AVERAGE(T2:T18)</f>
        <v>5.0600717292360233</v>
      </c>
      <c r="V20">
        <f>AVERAGE(V2:V19)</f>
        <v>74.202026413554819</v>
      </c>
      <c r="W20">
        <f>AVERAGE(W2:W19)</f>
        <v>75.755876530444752</v>
      </c>
      <c r="X20">
        <f>AVERAGE(X2:X19)</f>
        <v>1.5538501168899284</v>
      </c>
      <c r="Z20">
        <f>AVERAGE(Z2:Z19)</f>
        <v>64.554775726937933</v>
      </c>
      <c r="AA20">
        <f>AVERAGE(AA2:AA19)</f>
        <v>67.728309577346892</v>
      </c>
      <c r="AB20">
        <f>AVERAGE(AB2:AB19)</f>
        <v>3.1735338504089636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topLeftCell="K1" workbookViewId="0">
      <selection activeCell="M1" sqref="M1:O14"/>
    </sheetView>
  </sheetViews>
  <sheetFormatPr defaultRowHeight="15"/>
  <cols>
    <col min="1" max="2" width="12.85546875" bestFit="1" customWidth="1"/>
  </cols>
  <sheetData>
    <row r="1" spans="1:15">
      <c r="A1" t="s">
        <v>20</v>
      </c>
      <c r="B1" t="s">
        <v>21</v>
      </c>
      <c r="C1" t="s">
        <v>22</v>
      </c>
      <c r="E1" t="s">
        <v>20</v>
      </c>
      <c r="F1" t="s">
        <v>21</v>
      </c>
      <c r="G1" t="s">
        <v>23</v>
      </c>
      <c r="I1" t="s">
        <v>20</v>
      </c>
      <c r="J1" t="s">
        <v>21</v>
      </c>
      <c r="K1" t="s">
        <v>23</v>
      </c>
      <c r="M1" t="s">
        <v>20</v>
      </c>
      <c r="N1" t="s">
        <v>21</v>
      </c>
      <c r="O1" t="s">
        <v>23</v>
      </c>
    </row>
    <row r="2" spans="1:15">
      <c r="A2">
        <f>38.86/44*100</f>
        <v>88.318181818181813</v>
      </c>
      <c r="B2">
        <f>41.81/44*100</f>
        <v>95.02272727272728</v>
      </c>
      <c r="C2">
        <f xml:space="preserve"> B2-A2</f>
        <v>6.7045454545454675</v>
      </c>
      <c r="E2">
        <f>41.138/42*100</f>
        <v>97.947619047619042</v>
      </c>
      <c r="F2">
        <f>42.302/42*100</f>
        <v>100.71904761904761</v>
      </c>
      <c r="G2">
        <f t="shared" ref="G2:G17" si="0">F2-E2</f>
        <v>2.7714285714285722</v>
      </c>
      <c r="I2">
        <f>37.698/44*100</f>
        <v>85.677272727272722</v>
      </c>
      <c r="J2">
        <f>40.409/44*100</f>
        <v>91.838636363636368</v>
      </c>
      <c r="K2">
        <f>J2-I2</f>
        <v>6.1613636363636459</v>
      </c>
      <c r="M2">
        <f>25.711/44*100</f>
        <v>58.434090909090905</v>
      </c>
      <c r="N2">
        <f>27.697/44*100</f>
        <v>62.947727272727271</v>
      </c>
      <c r="O2">
        <f>N2-M2</f>
        <v>4.5136363636363654</v>
      </c>
    </row>
    <row r="3" spans="1:15">
      <c r="A3">
        <f>17.11/42*100</f>
        <v>40.738095238095234</v>
      </c>
      <c r="B3">
        <f>18.02/42*100</f>
        <v>42.904761904761898</v>
      </c>
      <c r="C3">
        <f xml:space="preserve"> B3-A3</f>
        <v>2.1666666666666643</v>
      </c>
      <c r="E3">
        <f>30.39/37*100</f>
        <v>82.135135135135144</v>
      </c>
      <c r="F3">
        <f>31.673/37*100</f>
        <v>85.602702702702686</v>
      </c>
      <c r="G3">
        <f t="shared" si="0"/>
        <v>3.4675675675675421</v>
      </c>
      <c r="I3">
        <f>18.025/37*100</f>
        <v>48.71621621621621</v>
      </c>
      <c r="J3">
        <f>18.946/37*100</f>
        <v>51.205405405405415</v>
      </c>
      <c r="K3">
        <f t="shared" ref="K3:K18" si="1">J3-I3</f>
        <v>2.4891891891892044</v>
      </c>
      <c r="M3">
        <f>40.749/42*100</f>
        <v>97.021428571428586</v>
      </c>
      <c r="N3">
        <f>43.315/42*100</f>
        <v>103.13095238095238</v>
      </c>
      <c r="O3">
        <f t="shared" ref="O3:O14" si="2">N3-M3</f>
        <v>6.1095238095237931</v>
      </c>
    </row>
    <row r="4" spans="1:15">
      <c r="A4">
        <f>5.44/37*100</f>
        <v>14.702702702702702</v>
      </c>
      <c r="B4">
        <f>5.93/37*100</f>
        <v>16.027027027027028</v>
      </c>
      <c r="C4">
        <f xml:space="preserve"> B4-A4</f>
        <v>1.3243243243243263</v>
      </c>
      <c r="E4">
        <f>40.708/44*100</f>
        <v>92.518181818181816</v>
      </c>
      <c r="F4">
        <f>41.726/44*100</f>
        <v>94.831818181818178</v>
      </c>
      <c r="G4">
        <f t="shared" si="0"/>
        <v>2.3136363636363626</v>
      </c>
      <c r="I4">
        <f>15.924/47*100</f>
        <v>33.880851063829788</v>
      </c>
      <c r="J4">
        <f>17.291/47*100</f>
        <v>36.789361702127657</v>
      </c>
      <c r="K4">
        <f t="shared" si="1"/>
        <v>2.9085106382978694</v>
      </c>
      <c r="M4">
        <f>26.687/37*100</f>
        <v>72.12702702702704</v>
      </c>
      <c r="N4">
        <f>27.799/37*100</f>
        <v>75.132432432432424</v>
      </c>
      <c r="O4">
        <f t="shared" si="2"/>
        <v>3.0054054054053836</v>
      </c>
    </row>
    <row r="5" spans="1:15">
      <c r="A5">
        <f>39.66/44*100</f>
        <v>90.136363636363626</v>
      </c>
      <c r="B5">
        <f>40.47/44*100</f>
        <v>91.977272727272734</v>
      </c>
      <c r="C5">
        <f xml:space="preserve"> B5-A5</f>
        <v>1.8409090909091077</v>
      </c>
      <c r="E5">
        <f>46.873/47*100</f>
        <v>99.729787234042547</v>
      </c>
      <c r="F5">
        <f>47.655/47*100</f>
        <v>101.39361702127661</v>
      </c>
      <c r="G5">
        <f t="shared" si="0"/>
        <v>1.6638297872340644</v>
      </c>
      <c r="I5">
        <f>18.852/41*100</f>
        <v>45.980487804878052</v>
      </c>
      <c r="J5">
        <f>19.823/41*100</f>
        <v>48.348780487804873</v>
      </c>
      <c r="K5">
        <f t="shared" si="1"/>
        <v>2.3682926829268212</v>
      </c>
      <c r="M5">
        <f>44.704/41*100</f>
        <v>109.03414634146343</v>
      </c>
      <c r="N5">
        <f>46.442/41*100</f>
        <v>113.27317073170731</v>
      </c>
      <c r="O5">
        <f t="shared" si="2"/>
        <v>4.239024390243884</v>
      </c>
    </row>
    <row r="6" spans="1:15">
      <c r="A6">
        <f>26.97/47*100</f>
        <v>57.382978723404257</v>
      </c>
      <c r="B6">
        <f>28.12/47*100</f>
        <v>59.829787234042556</v>
      </c>
      <c r="C6">
        <f xml:space="preserve"> B6-A6</f>
        <v>2.4468085106382986</v>
      </c>
      <c r="E6">
        <f>29.046/44*100</f>
        <v>66.013636363636365</v>
      </c>
      <c r="F6">
        <f>30.079/44*100</f>
        <v>68.361363636363635</v>
      </c>
      <c r="G6">
        <f t="shared" si="0"/>
        <v>2.3477272727272691</v>
      </c>
      <c r="I6">
        <f>31.975/44*100</f>
        <v>72.670454545454547</v>
      </c>
      <c r="J6">
        <f>33.367/44*100</f>
        <v>75.834090909090904</v>
      </c>
      <c r="K6">
        <f t="shared" si="1"/>
        <v>3.1636363636363569</v>
      </c>
      <c r="M6">
        <f>22.751/44*100</f>
        <v>51.706818181818178</v>
      </c>
      <c r="N6">
        <f>27.748/44*100</f>
        <v>63.063636363636363</v>
      </c>
      <c r="O6">
        <f t="shared" si="2"/>
        <v>11.356818181818184</v>
      </c>
    </row>
    <row r="7" spans="1:15">
      <c r="A7">
        <f>40.76/41*100</f>
        <v>99.414634146341456</v>
      </c>
      <c r="B7">
        <f>42.61/41*100</f>
        <v>103.92682926829269</v>
      </c>
      <c r="C7">
        <f xml:space="preserve"> B7-A7</f>
        <v>4.5121951219512368</v>
      </c>
      <c r="E7">
        <f>35.444/51*100</f>
        <v>69.498039215686276</v>
      </c>
      <c r="F7">
        <f>37.177/51*100</f>
        <v>72.896078431372544</v>
      </c>
      <c r="G7">
        <f t="shared" si="0"/>
        <v>3.3980392156862678</v>
      </c>
      <c r="I7">
        <f>39.058/51*100</f>
        <v>76.58431372549019</v>
      </c>
      <c r="J7">
        <f>39.993/51*100</f>
        <v>78.417647058823533</v>
      </c>
      <c r="K7">
        <f t="shared" si="1"/>
        <v>1.8333333333333428</v>
      </c>
      <c r="M7">
        <f>33.087/49*100</f>
        <v>67.52448979591837</v>
      </c>
      <c r="N7">
        <f>33.865/49*100</f>
        <v>69.112244897959187</v>
      </c>
      <c r="O7">
        <f t="shared" si="2"/>
        <v>1.5877551020408163</v>
      </c>
    </row>
    <row r="8" spans="1:15">
      <c r="A8">
        <f>27.26/44*100</f>
        <v>61.95454545454546</v>
      </c>
      <c r="B8">
        <f>28.57/44*100</f>
        <v>64.931818181818173</v>
      </c>
      <c r="C8">
        <f xml:space="preserve"> B8-A8</f>
        <v>2.9772727272727124</v>
      </c>
      <c r="E8">
        <f>23.349/49*100</f>
        <v>47.651020408163262</v>
      </c>
      <c r="F8">
        <f>25.321/49*100</f>
        <v>51.675510204081633</v>
      </c>
      <c r="G8">
        <f t="shared" si="0"/>
        <v>4.0244897959183703</v>
      </c>
      <c r="I8">
        <f>50.246/49*100</f>
        <v>102.54285714285716</v>
      </c>
      <c r="J8">
        <f>52.618/49*100</f>
        <v>107.38367346938776</v>
      </c>
      <c r="K8">
        <f t="shared" si="1"/>
        <v>4.8408163265306001</v>
      </c>
      <c r="M8">
        <f>44.846/44*100</f>
        <v>101.92272727272726</v>
      </c>
      <c r="N8">
        <f>45.847/44*100</f>
        <v>104.19772727272726</v>
      </c>
      <c r="O8">
        <f t="shared" si="2"/>
        <v>2.2750000000000057</v>
      </c>
    </row>
    <row r="9" spans="1:15">
      <c r="A9">
        <f>29.01/51*100</f>
        <v>56.882352941176471</v>
      </c>
      <c r="B9">
        <f>29.62/51*100</f>
        <v>58.078431372549019</v>
      </c>
      <c r="C9">
        <f xml:space="preserve"> B9-A9</f>
        <v>1.1960784313725483</v>
      </c>
      <c r="E9">
        <f>51.731/51*100</f>
        <v>101.43333333333334</v>
      </c>
      <c r="F9">
        <f>53.279/51*100</f>
        <v>104.46862745098041</v>
      </c>
      <c r="G9">
        <f t="shared" si="0"/>
        <v>3.0352941176470694</v>
      </c>
      <c r="I9">
        <f>20.702/51*100</f>
        <v>40.592156862745099</v>
      </c>
      <c r="J9">
        <f>32.274/51*100</f>
        <v>63.28235294117647</v>
      </c>
      <c r="K9">
        <f t="shared" si="1"/>
        <v>22.69019607843137</v>
      </c>
      <c r="M9">
        <f>39.416/44*100</f>
        <v>89.581818181818178</v>
      </c>
      <c r="N9">
        <f>40.546/44*100</f>
        <v>92.15</v>
      </c>
      <c r="O9">
        <f t="shared" si="2"/>
        <v>2.5681818181818272</v>
      </c>
    </row>
    <row r="10" spans="1:15">
      <c r="A10">
        <f>49.83/49*100</f>
        <v>101.69387755102039</v>
      </c>
      <c r="B10">
        <f>53.22/49*100</f>
        <v>108.61224489795917</v>
      </c>
      <c r="C10">
        <f xml:space="preserve"> B10-A10</f>
        <v>6.9183673469387799</v>
      </c>
      <c r="E10">
        <f>27.964/44*100</f>
        <v>63.554545454545455</v>
      </c>
      <c r="F10">
        <f>30.054/44*100</f>
        <v>68.304545454545448</v>
      </c>
      <c r="G10">
        <f t="shared" si="0"/>
        <v>4.7499999999999929</v>
      </c>
      <c r="I10">
        <f>12.603/44*100</f>
        <v>28.643181818181816</v>
      </c>
      <c r="J10">
        <f>15.829/44*100</f>
        <v>35.975000000000001</v>
      </c>
      <c r="K10">
        <f t="shared" si="1"/>
        <v>7.3318181818181856</v>
      </c>
      <c r="M10">
        <f>17.156/47*100</f>
        <v>36.502127659574469</v>
      </c>
      <c r="N10">
        <f>18.845/47*100</f>
        <v>40.095744680851055</v>
      </c>
      <c r="O10">
        <f t="shared" si="2"/>
        <v>3.5936170212765859</v>
      </c>
    </row>
    <row r="11" spans="1:15">
      <c r="A11">
        <f>28.82/51*100</f>
        <v>56.509803921568626</v>
      </c>
      <c r="B11">
        <f>28.82/51*100</f>
        <v>56.509803921568626</v>
      </c>
      <c r="C11">
        <f xml:space="preserve"> B11-A11</f>
        <v>0</v>
      </c>
      <c r="E11">
        <f>34.56/44*100</f>
        <v>78.545454545454547</v>
      </c>
      <c r="F11">
        <f>35.314/44*100</f>
        <v>80.259090909090915</v>
      </c>
      <c r="G11">
        <f t="shared" si="0"/>
        <v>1.7136363636363683</v>
      </c>
      <c r="I11">
        <f>31.332/47*100</f>
        <v>66.663829787234036</v>
      </c>
      <c r="J11">
        <f>32.496/47*100</f>
        <v>69.1404255319149</v>
      </c>
      <c r="K11">
        <f t="shared" si="1"/>
        <v>2.4765957446808642</v>
      </c>
      <c r="M11">
        <f>47.389/49*100</f>
        <v>96.712244897959181</v>
      </c>
      <c r="N11">
        <f>48.865/49*100</f>
        <v>99.724489795918373</v>
      </c>
      <c r="O11">
        <f t="shared" si="2"/>
        <v>3.0122448979591923</v>
      </c>
    </row>
    <row r="12" spans="1:15">
      <c r="A12">
        <f>39.43/44*100</f>
        <v>89.61363636363636</v>
      </c>
      <c r="B12">
        <f>41.66/44*100</f>
        <v>94.681818181818173</v>
      </c>
      <c r="C12">
        <f xml:space="preserve"> B12-A12</f>
        <v>5.068181818181813</v>
      </c>
      <c r="E12">
        <f>38.856/47*100</f>
        <v>82.672340425531914</v>
      </c>
      <c r="F12">
        <f>40.739/47*100</f>
        <v>86.678723404255308</v>
      </c>
      <c r="G12">
        <f t="shared" si="0"/>
        <v>4.0063829787233942</v>
      </c>
      <c r="I12">
        <f>38.58/44*100</f>
        <v>87.681818181818187</v>
      </c>
      <c r="J12">
        <f>39.723/44*100</f>
        <v>90.279545454545456</v>
      </c>
      <c r="K12">
        <f t="shared" si="1"/>
        <v>2.5977272727272691</v>
      </c>
      <c r="M12">
        <f>26.732/47*100</f>
        <v>56.876595744680849</v>
      </c>
      <c r="N12">
        <f>29.055/47*100</f>
        <v>61.819148936170208</v>
      </c>
      <c r="O12">
        <f t="shared" si="2"/>
        <v>4.9425531914893597</v>
      </c>
    </row>
    <row r="13" spans="1:15">
      <c r="A13">
        <f>30.47/47*100</f>
        <v>64.829787234042541</v>
      </c>
      <c r="B13">
        <f>31.43/47*100</f>
        <v>66.872340425531917</v>
      </c>
      <c r="C13">
        <f xml:space="preserve"> B13-A13</f>
        <v>2.0425531914893753</v>
      </c>
      <c r="E13">
        <f>46.735/49*100</f>
        <v>95.377551020408163</v>
      </c>
      <c r="F13">
        <f>47.669/49*100</f>
        <v>97.28367346938775</v>
      </c>
      <c r="G13">
        <f t="shared" si="0"/>
        <v>1.9061224489795876</v>
      </c>
      <c r="I13">
        <f>30.056/47*100</f>
        <v>63.948936170212768</v>
      </c>
      <c r="J13">
        <f>31.221/47*100</f>
        <v>66.427659574468095</v>
      </c>
      <c r="K13">
        <f t="shared" si="1"/>
        <v>2.4787234042553266</v>
      </c>
      <c r="M13">
        <f>44.094/45*100</f>
        <v>97.986666666666665</v>
      </c>
      <c r="N13">
        <f>45.841/45*100</f>
        <v>101.8688888888889</v>
      </c>
      <c r="O13">
        <f t="shared" si="2"/>
        <v>3.8822222222222393</v>
      </c>
    </row>
    <row r="14" spans="1:15">
      <c r="A14">
        <f>23.06/49*100</f>
        <v>47.061224489795919</v>
      </c>
      <c r="B14">
        <f>23.83/49*100</f>
        <v>48.632653061224488</v>
      </c>
      <c r="C14">
        <f xml:space="preserve"> B14-A14</f>
        <v>1.5714285714285694</v>
      </c>
      <c r="E14">
        <f>21.286/47*100</f>
        <v>45.289361702127664</v>
      </c>
      <c r="F14">
        <f>22.341/47*100</f>
        <v>47.53404255319149</v>
      </c>
      <c r="G14">
        <f t="shared" si="0"/>
        <v>2.2446808510638263</v>
      </c>
      <c r="I14">
        <f>41.05/49*100</f>
        <v>83.775510204081627</v>
      </c>
      <c r="J14">
        <f>42.14/49*100</f>
        <v>86</v>
      </c>
      <c r="K14">
        <f t="shared" si="1"/>
        <v>2.2244897959183731</v>
      </c>
      <c r="M14">
        <f>37.822/52*100</f>
        <v>72.734615384615381</v>
      </c>
      <c r="N14">
        <f>38.838/52*100</f>
        <v>74.688461538461539</v>
      </c>
      <c r="O14">
        <f t="shared" si="2"/>
        <v>1.9538461538461576</v>
      </c>
    </row>
    <row r="15" spans="1:15">
      <c r="A15">
        <f>46.77/47*100</f>
        <v>99.510638297872347</v>
      </c>
      <c r="B15">
        <f>47.5/47*100</f>
        <v>101.06382978723406</v>
      </c>
      <c r="C15">
        <f xml:space="preserve"> B15-A15</f>
        <v>1.5531914893617085</v>
      </c>
      <c r="E15">
        <f>17.914/48*100</f>
        <v>37.32083333333334</v>
      </c>
      <c r="F15">
        <f>19.213/48*100</f>
        <v>40.027083333333337</v>
      </c>
      <c r="G15">
        <f t="shared" si="0"/>
        <v>2.7062499999999972</v>
      </c>
      <c r="I15">
        <f>47.528/47*100</f>
        <v>101.12340425531914</v>
      </c>
      <c r="J15">
        <f>50.018/47*100</f>
        <v>106.42127659574467</v>
      </c>
      <c r="K15">
        <f t="shared" si="1"/>
        <v>5.2978723404255277</v>
      </c>
    </row>
    <row r="16" spans="1:15">
      <c r="A16">
        <f>40.94/48*100</f>
        <v>85.291666666666671</v>
      </c>
      <c r="B16">
        <f>42.09/48*100</f>
        <v>87.6875</v>
      </c>
      <c r="C16">
        <f t="shared" ref="C16:C18" si="3" xml:space="preserve"> B16-A16</f>
        <v>2.3958333333333286</v>
      </c>
      <c r="E16">
        <f>28.416/45*100</f>
        <v>63.146666666666661</v>
      </c>
      <c r="F16">
        <f>29.512/45*100</f>
        <v>65.582222222222214</v>
      </c>
      <c r="G16">
        <f t="shared" si="0"/>
        <v>2.4355555555555526</v>
      </c>
      <c r="I16">
        <f>20.358/48*100</f>
        <v>42.412500000000001</v>
      </c>
      <c r="J16">
        <f>21.397/48*100</f>
        <v>44.577083333333327</v>
      </c>
      <c r="K16">
        <f t="shared" si="1"/>
        <v>2.1645833333333258</v>
      </c>
    </row>
    <row r="17" spans="1:11">
      <c r="A17">
        <f>27.6/45*100</f>
        <v>61.333333333333343</v>
      </c>
      <c r="B17">
        <f>28.44/45*100</f>
        <v>63.2</v>
      </c>
      <c r="C17">
        <f t="shared" si="3"/>
        <v>1.86666666666666</v>
      </c>
      <c r="E17">
        <f>35.667/52*100</f>
        <v>68.590384615384608</v>
      </c>
      <c r="F17">
        <f>36.805/52*100</f>
        <v>70.77884615384616</v>
      </c>
      <c r="G17">
        <f t="shared" si="0"/>
        <v>2.1884615384615529</v>
      </c>
      <c r="I17">
        <f>27.383/45*100</f>
        <v>60.851111111111109</v>
      </c>
      <c r="J17">
        <f>28.354/45*100</f>
        <v>63.00888888888889</v>
      </c>
      <c r="K17">
        <f t="shared" si="1"/>
        <v>2.1577777777777811</v>
      </c>
    </row>
    <row r="18" spans="1:11">
      <c r="A18">
        <f>25.75/52*100</f>
        <v>49.519230769230774</v>
      </c>
      <c r="B18">
        <f>26.83/52*100</f>
        <v>51.596153846153847</v>
      </c>
      <c r="C18">
        <f t="shared" si="3"/>
        <v>2.0769230769230731</v>
      </c>
      <c r="I18">
        <f>26.635/52*100</f>
        <v>51.221153846153847</v>
      </c>
      <c r="J18">
        <f>27.57/52*100</f>
        <v>53.019230769230774</v>
      </c>
      <c r="K18">
        <f t="shared" si="1"/>
        <v>1.7980769230769269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16917-4B6B-48F1-9489-56E59DEA3AA9}">
  <dimension ref="A1:AA18"/>
  <sheetViews>
    <sheetView topLeftCell="O1" workbookViewId="0">
      <selection activeCell="AA12" sqref="Y1:AA12"/>
    </sheetView>
  </sheetViews>
  <sheetFormatPr defaultRowHeight="15"/>
  <cols>
    <col min="1" max="1" width="12.85546875" bestFit="1" customWidth="1"/>
  </cols>
  <sheetData>
    <row r="1" spans="1:27">
      <c r="A1" t="s">
        <v>20</v>
      </c>
      <c r="B1" t="s">
        <v>21</v>
      </c>
      <c r="C1" t="s">
        <v>23</v>
      </c>
      <c r="E1" t="s">
        <v>20</v>
      </c>
      <c r="F1" t="s">
        <v>21</v>
      </c>
      <c r="G1" t="s">
        <v>23</v>
      </c>
      <c r="I1" t="s">
        <v>20</v>
      </c>
      <c r="J1" t="s">
        <v>21</v>
      </c>
      <c r="K1" t="s">
        <v>23</v>
      </c>
      <c r="M1" t="s">
        <v>20</v>
      </c>
      <c r="N1" t="s">
        <v>21</v>
      </c>
      <c r="O1" t="s">
        <v>23</v>
      </c>
      <c r="Q1" t="s">
        <v>20</v>
      </c>
      <c r="R1" t="s">
        <v>21</v>
      </c>
      <c r="S1" t="s">
        <v>23</v>
      </c>
      <c r="U1" t="s">
        <v>20</v>
      </c>
      <c r="V1" t="s">
        <v>21</v>
      </c>
      <c r="W1" t="s">
        <v>23</v>
      </c>
      <c r="Y1" t="s">
        <v>20</v>
      </c>
      <c r="Z1" t="s">
        <v>21</v>
      </c>
      <c r="AA1" t="s">
        <v>23</v>
      </c>
    </row>
    <row r="2" spans="1:27">
      <c r="A2">
        <f>38.36/44*100</f>
        <v>87.181818181818187</v>
      </c>
      <c r="B2">
        <f>41.55/44*100</f>
        <v>94.431818181818173</v>
      </c>
      <c r="C2">
        <f>B2-A2</f>
        <v>7.2499999999999858</v>
      </c>
      <c r="E2">
        <f>25.549/44*100</f>
        <v>58.065909090909088</v>
      </c>
      <c r="F2">
        <f>27.524/44*100</f>
        <v>62.554545454545455</v>
      </c>
      <c r="G2">
        <f>F2-E2</f>
        <v>4.4886363636363669</v>
      </c>
      <c r="I2">
        <f>35.088/44*100</f>
        <v>79.74545454545455</v>
      </c>
      <c r="J2">
        <f>36.398/44*100</f>
        <v>82.722727272727283</v>
      </c>
      <c r="K2">
        <f>J2-I2</f>
        <v>2.9772727272727337</v>
      </c>
      <c r="M2">
        <f>35.459/44*100</f>
        <v>80.588636363636368</v>
      </c>
      <c r="N2">
        <f>38.184/44*100</f>
        <v>86.781818181818167</v>
      </c>
      <c r="O2">
        <f>N2-M2</f>
        <v>6.1931818181817988</v>
      </c>
      <c r="Q2">
        <f>26.865/37*100</f>
        <v>72.608108108108098</v>
      </c>
      <c r="R2">
        <f>28.098/37*100</f>
        <v>75.940540540540539</v>
      </c>
      <c r="S2">
        <f t="shared" ref="S2:S15" si="0">R2-Q2</f>
        <v>3.3324324324324408</v>
      </c>
      <c r="U2">
        <f>35.107/44*100</f>
        <v>79.788636363636371</v>
      </c>
      <c r="V2">
        <f>37.581/44*100</f>
        <v>85.411363636363646</v>
      </c>
      <c r="W2">
        <f>V2-U2</f>
        <v>5.6227272727272748</v>
      </c>
      <c r="Y2">
        <f>45.091/44*100</f>
        <v>102.47954545454544</v>
      </c>
      <c r="Z2">
        <f>47.43/44*100</f>
        <v>107.79545454545453</v>
      </c>
      <c r="AA2">
        <f>Z2-Y2</f>
        <v>5.3159090909090878</v>
      </c>
    </row>
    <row r="3" spans="1:27">
      <c r="A3">
        <f>17.28 /42*100</f>
        <v>41.142857142857146</v>
      </c>
      <c r="B3">
        <f>18.31/42*100</f>
        <v>43.595238095238095</v>
      </c>
      <c r="C3">
        <f t="shared" ref="C3:C15" si="1">B3-A3</f>
        <v>2.452380952380949</v>
      </c>
      <c r="E3">
        <f>33.112/42*100</f>
        <v>78.838095238095235</v>
      </c>
      <c r="F3">
        <f>34.429/42*100</f>
        <v>81.973809523809521</v>
      </c>
      <c r="G3">
        <f t="shared" ref="G3:G15" si="2">F3-E3</f>
        <v>3.1357142857142861</v>
      </c>
      <c r="I3">
        <f>41.714/42*100</f>
        <v>99.319047619047623</v>
      </c>
      <c r="J3">
        <f>42.756/42*100</f>
        <v>101.8</v>
      </c>
      <c r="K3">
        <f t="shared" ref="K3:K14" si="3">J3-I3</f>
        <v>2.4809523809523739</v>
      </c>
      <c r="M3">
        <f>28.382/42*100</f>
        <v>67.576190476190476</v>
      </c>
      <c r="N3">
        <f>28.689/42*100</f>
        <v>68.30714285714285</v>
      </c>
      <c r="O3">
        <f t="shared" ref="O3:O14" si="4">N3-M3</f>
        <v>0.73095238095237391</v>
      </c>
      <c r="Q3">
        <f>35.219/44*100</f>
        <v>80.043181818181822</v>
      </c>
      <c r="R3">
        <f>36.139/44*100</f>
        <v>82.134090909090915</v>
      </c>
      <c r="S3">
        <f t="shared" si="0"/>
        <v>2.0909090909090935</v>
      </c>
      <c r="U3">
        <f>20.957/42*100</f>
        <v>49.897619047619052</v>
      </c>
      <c r="V3">
        <f>24.134/42*100</f>
        <v>57.461904761904762</v>
      </c>
      <c r="W3">
        <f t="shared" ref="W3:W18" si="5">V3-U3</f>
        <v>7.5642857142857096</v>
      </c>
      <c r="Y3">
        <f>42.932/42*100</f>
        <v>102.21904761904763</v>
      </c>
      <c r="Z3">
        <f>44.189/42*100</f>
        <v>105.21190476190476</v>
      </c>
      <c r="AA3">
        <f t="shared" ref="AA3:AA12" si="6">Z3-Y3</f>
        <v>2.9928571428571331</v>
      </c>
    </row>
    <row r="4" spans="1:27">
      <c r="A4">
        <f>16.67/37*100</f>
        <v>45.054054054054063</v>
      </c>
      <c r="B4">
        <f>17.85/37*100</f>
        <v>48.243243243243242</v>
      </c>
      <c r="C4">
        <f t="shared" si="1"/>
        <v>3.1891891891891788</v>
      </c>
      <c r="E4">
        <f>46.234/44*100</f>
        <v>105.07727272727274</v>
      </c>
      <c r="F4">
        <f>49.794/44*100</f>
        <v>113.16818181818181</v>
      </c>
      <c r="G4">
        <f t="shared" si="2"/>
        <v>8.0909090909090651</v>
      </c>
      <c r="I4">
        <f>16.479/37*100</f>
        <v>44.537837837837834</v>
      </c>
      <c r="J4">
        <f>17.715/37*100</f>
        <v>47.878378378378379</v>
      </c>
      <c r="K4">
        <f t="shared" si="3"/>
        <v>3.3405405405405446</v>
      </c>
      <c r="M4">
        <f>26.335/37*100</f>
        <v>71.175675675675677</v>
      </c>
      <c r="N4">
        <f>26.686/37*100</f>
        <v>72.124324324324334</v>
      </c>
      <c r="O4">
        <f t="shared" si="4"/>
        <v>0.94864864864865694</v>
      </c>
      <c r="Q4">
        <f>33.587/47*100</f>
        <v>71.461702127659578</v>
      </c>
      <c r="R4">
        <f>34.94/47*100</f>
        <v>74.340425531914889</v>
      </c>
      <c r="S4">
        <f t="shared" si="0"/>
        <v>2.8787234042553109</v>
      </c>
      <c r="U4">
        <f>22.005/37*100</f>
        <v>59.472972972972968</v>
      </c>
      <c r="V4">
        <f>23.668/37*100</f>
        <v>63.967567567567563</v>
      </c>
      <c r="W4">
        <f t="shared" si="5"/>
        <v>4.4945945945945951</v>
      </c>
      <c r="Y4">
        <f>26.728/37*100</f>
        <v>72.237837837837844</v>
      </c>
      <c r="Z4">
        <f>27.871/37*100</f>
        <v>75.327027027027029</v>
      </c>
      <c r="AA4">
        <f t="shared" si="6"/>
        <v>3.0891891891891845</v>
      </c>
    </row>
    <row r="5" spans="1:27">
      <c r="A5">
        <f>38.96/44*100</f>
        <v>88.545454545454547</v>
      </c>
      <c r="B5">
        <f>39.74/44*100</f>
        <v>90.318181818181813</v>
      </c>
      <c r="C5">
        <f t="shared" si="1"/>
        <v>1.7727272727272663</v>
      </c>
      <c r="E5">
        <f>26.167/41*100</f>
        <v>63.821951219512194</v>
      </c>
      <c r="F5">
        <f>27.36/41*100</f>
        <v>66.731707317073173</v>
      </c>
      <c r="G5">
        <f t="shared" si="2"/>
        <v>2.9097560975609795</v>
      </c>
      <c r="I5">
        <f>40.459/44*100</f>
        <v>91.952272727272728</v>
      </c>
      <c r="J5">
        <f>41.622/44*100</f>
        <v>94.595454545454544</v>
      </c>
      <c r="K5">
        <f t="shared" si="3"/>
        <v>2.6431818181818159</v>
      </c>
      <c r="M5">
        <f>42.787/44*100</f>
        <v>97.24318181818181</v>
      </c>
      <c r="N5">
        <f>43.331/44*100</f>
        <v>98.479545454545459</v>
      </c>
      <c r="O5">
        <f t="shared" si="4"/>
        <v>1.2363636363636488</v>
      </c>
      <c r="Q5">
        <f>42.008/41*100</f>
        <v>102.45853658536586</v>
      </c>
      <c r="R5">
        <f>43.838/41*100</f>
        <v>106.9219512195122</v>
      </c>
      <c r="S5">
        <f t="shared" si="0"/>
        <v>4.4634146341463321</v>
      </c>
      <c r="U5">
        <f>44.197/44*100</f>
        <v>100.44772727272728</v>
      </c>
      <c r="V5">
        <f>46.666/44*100</f>
        <v>106.0590909090909</v>
      </c>
      <c r="W5">
        <f t="shared" si="5"/>
        <v>5.6113636363636203</v>
      </c>
      <c r="Y5">
        <f>42.882/44*100</f>
        <v>97.459090909090904</v>
      </c>
      <c r="Z5">
        <f>44.088/44*100</f>
        <v>100.2</v>
      </c>
      <c r="AA5">
        <f t="shared" si="6"/>
        <v>2.7409090909090992</v>
      </c>
    </row>
    <row r="6" spans="1:27">
      <c r="A6">
        <f>35.88/41*100</f>
        <v>87.512195121951237</v>
      </c>
      <c r="B6">
        <f>36.78/41*100</f>
        <v>89.707317073170728</v>
      </c>
      <c r="C6">
        <f t="shared" si="1"/>
        <v>2.1951219512194911</v>
      </c>
      <c r="E6">
        <f>8.848/44*100</f>
        <v>20.109090909090909</v>
      </c>
      <c r="F6">
        <f>10.085/44*100</f>
        <v>22.920454545454547</v>
      </c>
      <c r="G6">
        <f t="shared" si="2"/>
        <v>2.8113636363636374</v>
      </c>
      <c r="I6">
        <f>28.904/47*100</f>
        <v>61.497872340425531</v>
      </c>
      <c r="J6">
        <f>30.345/47*100</f>
        <v>64.563829787234042</v>
      </c>
      <c r="K6">
        <f t="shared" si="3"/>
        <v>3.0659574468085111</v>
      </c>
      <c r="M6">
        <f>50.348/47*100</f>
        <v>107.12340425531914</v>
      </c>
      <c r="N6">
        <f>50.869/47*100</f>
        <v>108.23191489361703</v>
      </c>
      <c r="O6">
        <f t="shared" si="4"/>
        <v>1.1085106382978864</v>
      </c>
      <c r="Q6">
        <f>43.468/44*100</f>
        <v>98.790909090909096</v>
      </c>
      <c r="R6">
        <f>45.173/44*100</f>
        <v>102.6659090909091</v>
      </c>
      <c r="S6">
        <f t="shared" si="0"/>
        <v>3.875</v>
      </c>
      <c r="U6">
        <f>26.247/41*100</f>
        <v>64.017073170731706</v>
      </c>
      <c r="V6">
        <f>27.954/41*100</f>
        <v>68.180487804878055</v>
      </c>
      <c r="W6">
        <f t="shared" si="5"/>
        <v>4.1634146341463492</v>
      </c>
      <c r="Y6">
        <f>42.507/47*100</f>
        <v>90.440425531914897</v>
      </c>
      <c r="Z6">
        <f>43.495/47*100</f>
        <v>92.542553191489347</v>
      </c>
      <c r="AA6">
        <f t="shared" si="6"/>
        <v>2.1021276595744496</v>
      </c>
    </row>
    <row r="7" spans="1:27">
      <c r="A7">
        <f>29.17/51*100</f>
        <v>57.196078431372555</v>
      </c>
      <c r="B7">
        <f>29.93/51*100</f>
        <v>58.686274509803923</v>
      </c>
      <c r="C7">
        <f t="shared" si="1"/>
        <v>1.4901960784313673</v>
      </c>
      <c r="E7">
        <f>48.881/51*100</f>
        <v>95.845098039215685</v>
      </c>
      <c r="F7">
        <f>50.856/51*100</f>
        <v>99.71764705882353</v>
      </c>
      <c r="G7">
        <f t="shared" si="2"/>
        <v>3.8725490196078454</v>
      </c>
      <c r="I7">
        <f>23.96/41*100</f>
        <v>58.439024390243908</v>
      </c>
      <c r="J7">
        <f>24.701/41*100</f>
        <v>60.24634146341463</v>
      </c>
      <c r="K7">
        <f t="shared" si="3"/>
        <v>1.8073170731707222</v>
      </c>
      <c r="M7">
        <f>17.649/41*100</f>
        <v>43.046341463414642</v>
      </c>
      <c r="N7">
        <f>18.221/41*100</f>
        <v>44.44146341463415</v>
      </c>
      <c r="O7">
        <f t="shared" si="4"/>
        <v>1.3951219512195081</v>
      </c>
      <c r="Q7">
        <f>32.862/49*100</f>
        <v>67.065306122448987</v>
      </c>
      <c r="R7">
        <f>33.934/49*100</f>
        <v>69.253061224489784</v>
      </c>
      <c r="S7">
        <f t="shared" si="0"/>
        <v>2.1877551020407964</v>
      </c>
      <c r="U7">
        <f>28.338/44*100</f>
        <v>64.404545454545456</v>
      </c>
      <c r="V7">
        <f>30.134/44*100</f>
        <v>68.486363636363635</v>
      </c>
      <c r="W7">
        <f t="shared" si="5"/>
        <v>4.0818181818181785</v>
      </c>
      <c r="Y7">
        <f>40.648/41*100</f>
        <v>99.14146341463416</v>
      </c>
      <c r="Z7">
        <f>41.533/41*100</f>
        <v>101.30000000000001</v>
      </c>
      <c r="AA7">
        <f t="shared" si="6"/>
        <v>2.1585365853658516</v>
      </c>
    </row>
    <row r="8" spans="1:27">
      <c r="A8">
        <f>49.83/49*100</f>
        <v>101.69387755102039</v>
      </c>
      <c r="B8">
        <f>50.45/49*100</f>
        <v>102.9591836734694</v>
      </c>
      <c r="C8">
        <f t="shared" si="1"/>
        <v>1.2653061224490045</v>
      </c>
      <c r="E8">
        <f>32.624/44*100</f>
        <v>74.145454545454541</v>
      </c>
      <c r="F8">
        <f>34.466/44*100</f>
        <v>78.331818181818178</v>
      </c>
      <c r="G8">
        <f t="shared" si="2"/>
        <v>4.1863636363636374</v>
      </c>
      <c r="I8">
        <f>19.926/44*100</f>
        <v>45.286363636363632</v>
      </c>
      <c r="J8" s="1">
        <f>20.967/44*100</f>
        <v>47.652272727272724</v>
      </c>
      <c r="K8">
        <f t="shared" si="3"/>
        <v>2.3659090909090921</v>
      </c>
      <c r="M8">
        <f>33.448/44*100</f>
        <v>76.018181818181816</v>
      </c>
      <c r="N8">
        <f>34.032/44*100</f>
        <v>77.345454545454544</v>
      </c>
      <c r="O8">
        <f t="shared" si="4"/>
        <v>1.327272727272728</v>
      </c>
      <c r="Q8">
        <f>42.837/51*100</f>
        <v>83.994117647058829</v>
      </c>
      <c r="R8">
        <f>43.89/51*100</f>
        <v>86.058823529411768</v>
      </c>
      <c r="S8">
        <f t="shared" si="0"/>
        <v>2.0647058823529392</v>
      </c>
      <c r="U8">
        <f>53.321/51*100</f>
        <v>104.55098039215687</v>
      </c>
      <c r="V8">
        <f>55.855/51*100</f>
        <v>109.51960784313725</v>
      </c>
      <c r="W8">
        <f t="shared" si="5"/>
        <v>4.9686274509803781</v>
      </c>
      <c r="Y8">
        <f>30.126/44*100</f>
        <v>68.468181818181819</v>
      </c>
      <c r="Z8">
        <f>31.517/44*100</f>
        <v>71.62954545454545</v>
      </c>
      <c r="AA8">
        <f t="shared" si="6"/>
        <v>3.1613636363636317</v>
      </c>
    </row>
    <row r="9" spans="1:27">
      <c r="A9">
        <f>33.06/51*100</f>
        <v>64.82352941176471</v>
      </c>
      <c r="B9">
        <f>33.99/51*100</f>
        <v>66.64705882352942</v>
      </c>
      <c r="C9">
        <f t="shared" si="1"/>
        <v>1.8235294117647101</v>
      </c>
      <c r="E9">
        <f>27.364/44*100</f>
        <v>62.190909090909095</v>
      </c>
      <c r="F9">
        <f>28.767/44*100</f>
        <v>65.37954545454545</v>
      </c>
      <c r="G9">
        <f t="shared" si="2"/>
        <v>3.1886363636363555</v>
      </c>
      <c r="I9">
        <f>20.513/51*100</f>
        <v>40.221568627450985</v>
      </c>
      <c r="J9">
        <f>21.28/51*100</f>
        <v>41.725490196078432</v>
      </c>
      <c r="K9">
        <f t="shared" si="3"/>
        <v>1.5039215686274474</v>
      </c>
      <c r="M9">
        <f>30.823/51*100</f>
        <v>60.437254901960777</v>
      </c>
      <c r="N9">
        <f>31.38/51*100</f>
        <v>61.529411764705877</v>
      </c>
      <c r="O9">
        <f t="shared" si="4"/>
        <v>1.0921568627450995</v>
      </c>
      <c r="Q9">
        <f>34.894/44*100</f>
        <v>79.304545454545448</v>
      </c>
      <c r="R9">
        <f>35.841/44*100</f>
        <v>81.456818181818178</v>
      </c>
      <c r="S9">
        <f t="shared" si="0"/>
        <v>2.1522727272727309</v>
      </c>
      <c r="U9">
        <f>48.534/49*100</f>
        <v>99.048979591836726</v>
      </c>
      <c r="V9">
        <f>50.217/49*100</f>
        <v>102.48367346938775</v>
      </c>
      <c r="W9">
        <f t="shared" si="5"/>
        <v>3.4346938775510267</v>
      </c>
      <c r="Y9">
        <f>48.462/51*100</f>
        <v>95.023529411764713</v>
      </c>
      <c r="Z9">
        <f>50.919/51*100</f>
        <v>99.841176470588238</v>
      </c>
      <c r="AA9">
        <f t="shared" si="6"/>
        <v>4.8176470588235247</v>
      </c>
    </row>
    <row r="10" spans="1:27">
      <c r="A10">
        <f>43.71/44*100</f>
        <v>99.340909090909093</v>
      </c>
      <c r="B10">
        <f>44.88/44*100</f>
        <v>102</v>
      </c>
      <c r="C10">
        <f t="shared" si="1"/>
        <v>2.6590909090909065</v>
      </c>
      <c r="E10">
        <f>39.113/47*100</f>
        <v>83.2191489361702</v>
      </c>
      <c r="F10">
        <f>40.38/47*100</f>
        <v>85.914893617021278</v>
      </c>
      <c r="G10">
        <f t="shared" si="2"/>
        <v>2.6957446808510781</v>
      </c>
      <c r="I10">
        <f>31.774/49*100</f>
        <v>64.844897959183683</v>
      </c>
      <c r="J10">
        <f>32.734/49*100</f>
        <v>66.804081632653066</v>
      </c>
      <c r="K10">
        <f t="shared" si="3"/>
        <v>1.9591836734693828</v>
      </c>
      <c r="M10">
        <f>19.217/44*100</f>
        <v>43.674999999999997</v>
      </c>
      <c r="N10">
        <f>19.381/44*100</f>
        <v>44.047727272727272</v>
      </c>
      <c r="O10">
        <f t="shared" si="4"/>
        <v>0.37272727272727479</v>
      </c>
      <c r="Q10">
        <f>29.655/44*100</f>
        <v>67.397727272727266</v>
      </c>
      <c r="R10">
        <f>31.905/44*100</f>
        <v>72.51136363636364</v>
      </c>
      <c r="S10">
        <f t="shared" si="0"/>
        <v>5.113636363636374</v>
      </c>
      <c r="U10">
        <f>43.215/51*100</f>
        <v>84.735294117647058</v>
      </c>
      <c r="V10">
        <f>44.631/51*100</f>
        <v>87.511764705882356</v>
      </c>
      <c r="W10">
        <f t="shared" si="5"/>
        <v>2.7764705882352985</v>
      </c>
      <c r="Y10">
        <f>48.036/44*100</f>
        <v>109.17272727272727</v>
      </c>
      <c r="Z10">
        <f>49.137/44*100</f>
        <v>111.675</v>
      </c>
      <c r="AA10">
        <f t="shared" si="6"/>
        <v>2.5022727272727252</v>
      </c>
    </row>
    <row r="11" spans="1:27">
      <c r="A11">
        <f>17.18/47*100</f>
        <v>36.553191489361701</v>
      </c>
      <c r="B11">
        <f>17.95/47*100</f>
        <v>38.191489361702125</v>
      </c>
      <c r="C11">
        <f t="shared" si="1"/>
        <v>1.6382978723404236</v>
      </c>
      <c r="E11">
        <f>40.215/49*100</f>
        <v>82.071428571428569</v>
      </c>
      <c r="F11">
        <f>41.763/49*100</f>
        <v>85.230612244897955</v>
      </c>
      <c r="G11">
        <f t="shared" si="2"/>
        <v>3.1591836734693857</v>
      </c>
      <c r="I11">
        <f>37.117/44*100</f>
        <v>84.35681818181817</v>
      </c>
      <c r="J11">
        <f>38.077/44*100</f>
        <v>86.538636363636357</v>
      </c>
      <c r="K11">
        <f t="shared" si="3"/>
        <v>2.181818181818187</v>
      </c>
      <c r="M11">
        <f>27.791/44*100</f>
        <v>63.161363636363632</v>
      </c>
      <c r="N11">
        <f>28.023/44*100</f>
        <v>63.688636363636363</v>
      </c>
      <c r="O11">
        <f t="shared" si="4"/>
        <v>0.52727272727273089</v>
      </c>
      <c r="Q11">
        <f>43.953/47*100</f>
        <v>93.517021276595742</v>
      </c>
      <c r="R11">
        <f>45.258/47*100</f>
        <v>96.293617021276603</v>
      </c>
      <c r="S11">
        <f t="shared" si="0"/>
        <v>2.7765957446808613</v>
      </c>
      <c r="U11">
        <f>44.24/44*100</f>
        <v>100.54545454545456</v>
      </c>
      <c r="V11">
        <f>46.029/44*100</f>
        <v>104.61136363636365</v>
      </c>
      <c r="W11">
        <f t="shared" si="5"/>
        <v>4.0659090909090878</v>
      </c>
      <c r="Y11">
        <f>47.465/49*100</f>
        <v>96.867346938775526</v>
      </c>
      <c r="Z11">
        <f>48.547/49*100</f>
        <v>99.075510204081624</v>
      </c>
      <c r="AA11">
        <f t="shared" si="6"/>
        <v>2.2081632653060979</v>
      </c>
    </row>
    <row r="12" spans="1:27">
      <c r="A12">
        <f>28.57/49*100</f>
        <v>58.306122448979593</v>
      </c>
      <c r="B12">
        <f>29.77/49*100</f>
        <v>60.755102040816325</v>
      </c>
      <c r="C12">
        <f t="shared" si="1"/>
        <v>2.4489795918367321</v>
      </c>
      <c r="E12">
        <f>26.842/47*100</f>
        <v>57.110638297872342</v>
      </c>
      <c r="F12">
        <f>28.543/47*100</f>
        <v>60.729787234042554</v>
      </c>
      <c r="G12">
        <f t="shared" si="2"/>
        <v>3.6191489361702125</v>
      </c>
      <c r="I12">
        <f>22.394/49*100</f>
        <v>45.70204081632653</v>
      </c>
      <c r="J12">
        <f>24.401/49*100</f>
        <v>49.79795918367347</v>
      </c>
      <c r="K12">
        <f t="shared" si="3"/>
        <v>4.0959183673469397</v>
      </c>
      <c r="M12">
        <f>32.685/47*100</f>
        <v>69.542553191489361</v>
      </c>
      <c r="N12">
        <f>33.301/47*100</f>
        <v>70.853191489361706</v>
      </c>
      <c r="O12">
        <f t="shared" si="4"/>
        <v>1.3106382978723445</v>
      </c>
      <c r="Q12">
        <f>48.77/49*100</f>
        <v>99.530612244897966</v>
      </c>
      <c r="R12">
        <f>50.117/49*100</f>
        <v>102.2795918367347</v>
      </c>
      <c r="S12">
        <f t="shared" si="0"/>
        <v>2.7489795918367292</v>
      </c>
      <c r="U12">
        <f>35.563/44*100</f>
        <v>80.825000000000003</v>
      </c>
      <c r="V12">
        <f>37.134/44*100</f>
        <v>84.395454545454555</v>
      </c>
      <c r="W12">
        <f t="shared" si="5"/>
        <v>3.5704545454545524</v>
      </c>
      <c r="Y12">
        <f>26.633/45*100</f>
        <v>59.184444444444438</v>
      </c>
      <c r="Z12">
        <f>27.871/45*100</f>
        <v>61.935555555555553</v>
      </c>
      <c r="AA12">
        <f t="shared" si="6"/>
        <v>2.7511111111111148</v>
      </c>
    </row>
    <row r="13" spans="1:27">
      <c r="A13">
        <f>48.14/48*100</f>
        <v>100.29166666666667</v>
      </c>
      <c r="B13">
        <f>49.1/48*100</f>
        <v>102.29166666666667</v>
      </c>
      <c r="C13">
        <f t="shared" si="1"/>
        <v>2</v>
      </c>
      <c r="E13">
        <f>35.323/48*100</f>
        <v>73.589583333333337</v>
      </c>
      <c r="F13">
        <f>36.639/48*100</f>
        <v>76.331250000000011</v>
      </c>
      <c r="G13">
        <f t="shared" si="2"/>
        <v>2.7416666666666742</v>
      </c>
      <c r="I13">
        <f>16.595/47*100</f>
        <v>35.308510638297868</v>
      </c>
      <c r="J13">
        <f>18.635/47*100</f>
        <v>39.648936170212764</v>
      </c>
      <c r="K13">
        <f t="shared" si="3"/>
        <v>4.3404255319148959</v>
      </c>
      <c r="M13">
        <f>47.247/49*100</f>
        <v>96.422448979591834</v>
      </c>
      <c r="N13">
        <f>47.435/49*100</f>
        <v>96.806122448979593</v>
      </c>
      <c r="O13">
        <f t="shared" si="4"/>
        <v>0.38367346938775881</v>
      </c>
      <c r="Q13">
        <f>26.399/47*100</f>
        <v>56.168085106382982</v>
      </c>
      <c r="R13">
        <f>28.259/47*100</f>
        <v>60.125531914893614</v>
      </c>
      <c r="S13">
        <f t="shared" si="0"/>
        <v>3.9574468085106318</v>
      </c>
      <c r="U13">
        <f>36.945/47*100</f>
        <v>78.606382978723417</v>
      </c>
      <c r="V13">
        <f>38.343/47*100</f>
        <v>81.580851063829797</v>
      </c>
      <c r="W13">
        <f t="shared" si="5"/>
        <v>2.9744680851063805</v>
      </c>
    </row>
    <row r="14" spans="1:27">
      <c r="A14">
        <f>25.66/52*100</f>
        <v>49.346153846153847</v>
      </c>
      <c r="B14">
        <f>26.86/52*100</f>
        <v>51.653846153846153</v>
      </c>
      <c r="C14">
        <f t="shared" si="1"/>
        <v>2.3076923076923066</v>
      </c>
      <c r="E14">
        <f>36.926/45*100</f>
        <v>82.057777777777787</v>
      </c>
      <c r="F14">
        <f>38.358/45*100</f>
        <v>85.24</v>
      </c>
      <c r="G14">
        <f t="shared" si="2"/>
        <v>3.1822222222222081</v>
      </c>
      <c r="I14">
        <f>26.352/45*100</f>
        <v>58.56</v>
      </c>
      <c r="J14">
        <f>30.328/45*100</f>
        <v>67.395555555555546</v>
      </c>
      <c r="K14">
        <f t="shared" si="3"/>
        <v>8.8355555555555441</v>
      </c>
      <c r="M14">
        <f>43.595/48*100</f>
        <v>90.822916666666657</v>
      </c>
      <c r="N14">
        <f>45.746/48*100</f>
        <v>95.304166666666674</v>
      </c>
      <c r="O14">
        <f t="shared" si="4"/>
        <v>4.4812500000000171</v>
      </c>
      <c r="Q14">
        <f>48.238/48*100</f>
        <v>100.49583333333334</v>
      </c>
      <c r="R14">
        <f>49.074/48*100</f>
        <v>102.2375</v>
      </c>
      <c r="S14">
        <f t="shared" si="0"/>
        <v>1.74166666666666</v>
      </c>
      <c r="U14">
        <f>32.824/49*100</f>
        <v>66.987755102040808</v>
      </c>
      <c r="V14">
        <f>34.469/49*100</f>
        <v>70.344897959183669</v>
      </c>
      <c r="W14">
        <f t="shared" si="5"/>
        <v>3.3571428571428612</v>
      </c>
    </row>
    <row r="15" spans="1:27">
      <c r="E15">
        <f>37.013/52*100</f>
        <v>71.178846153846152</v>
      </c>
      <c r="F15">
        <f>38.729/52*100</f>
        <v>74.478846153846163</v>
      </c>
      <c r="G15">
        <f t="shared" si="2"/>
        <v>3.3000000000000114</v>
      </c>
      <c r="Q15">
        <f>46.551/45*100</f>
        <v>103.44666666666666</v>
      </c>
      <c r="R15">
        <f>47.762/45*100</f>
        <v>106.13777777777777</v>
      </c>
      <c r="S15">
        <f t="shared" si="0"/>
        <v>2.6911111111111126</v>
      </c>
      <c r="U15">
        <f>26.582/47*100</f>
        <v>56.557446808510633</v>
      </c>
      <c r="V15">
        <f>28.896/47*100</f>
        <v>61.480851063829789</v>
      </c>
      <c r="W15">
        <f t="shared" si="5"/>
        <v>4.9234042553191557</v>
      </c>
    </row>
    <row r="16" spans="1:27">
      <c r="U16">
        <f>40.689/46*100</f>
        <v>88.454347826086959</v>
      </c>
      <c r="V16">
        <f>42.103/46*100</f>
        <v>91.52826086956523</v>
      </c>
      <c r="W16">
        <f t="shared" si="5"/>
        <v>3.0739130434782709</v>
      </c>
    </row>
    <row r="17" spans="21:23">
      <c r="U17">
        <f>25.278/45*100</f>
        <v>56.173333333333332</v>
      </c>
      <c r="V17">
        <f>26.749/45*100</f>
        <v>59.44222222222222</v>
      </c>
      <c r="W17">
        <f t="shared" si="5"/>
        <v>3.2688888888888883</v>
      </c>
    </row>
    <row r="18" spans="21:23">
      <c r="U18">
        <f>54.855/52*100</f>
        <v>105.4903846153846</v>
      </c>
      <c r="V18">
        <f>56.671/52*100</f>
        <v>108.9826923076923</v>
      </c>
      <c r="W18">
        <f t="shared" si="5"/>
        <v>3.4923076923077048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AA66-D73C-4AD0-AA68-EF4FADCCDE85}">
  <dimension ref="A1:AA16"/>
  <sheetViews>
    <sheetView workbookViewId="0">
      <selection activeCell="H14" sqref="H14"/>
    </sheetView>
  </sheetViews>
  <sheetFormatPr defaultRowHeight="15"/>
  <sheetData>
    <row r="1" spans="1:27">
      <c r="A1" t="s">
        <v>20</v>
      </c>
      <c r="B1" t="s">
        <v>21</v>
      </c>
      <c r="C1" t="s">
        <v>23</v>
      </c>
      <c r="E1" t="s">
        <v>20</v>
      </c>
      <c r="F1" t="s">
        <v>21</v>
      </c>
      <c r="G1" t="s">
        <v>23</v>
      </c>
      <c r="I1" t="s">
        <v>20</v>
      </c>
      <c r="J1" t="s">
        <v>21</v>
      </c>
      <c r="K1" t="s">
        <v>23</v>
      </c>
      <c r="M1" t="s">
        <v>20</v>
      </c>
      <c r="N1" t="s">
        <v>21</v>
      </c>
      <c r="O1" t="s">
        <v>23</v>
      </c>
      <c r="Q1" t="s">
        <v>20</v>
      </c>
      <c r="R1" t="s">
        <v>21</v>
      </c>
      <c r="S1" t="s">
        <v>23</v>
      </c>
      <c r="U1" t="s">
        <v>20</v>
      </c>
      <c r="V1" t="s">
        <v>21</v>
      </c>
      <c r="W1" t="s">
        <v>23</v>
      </c>
      <c r="Y1" t="s">
        <v>20</v>
      </c>
      <c r="Z1" t="s">
        <v>21</v>
      </c>
      <c r="AA1" t="s">
        <v>23</v>
      </c>
    </row>
    <row r="2" spans="1:27">
      <c r="A2">
        <f>36.08/44*100</f>
        <v>82</v>
      </c>
      <c r="B2">
        <f>38.55/44*100</f>
        <v>87.61363636363636</v>
      </c>
      <c r="C2">
        <f>B2-A2</f>
        <v>5.6136363636363598</v>
      </c>
      <c r="E2">
        <f>42.516/44*100</f>
        <v>96.627272727272725</v>
      </c>
      <c r="F2">
        <f>44.015/44*100</f>
        <v>100.03409090909091</v>
      </c>
      <c r="G2">
        <f>F2-E2</f>
        <v>3.4068181818181813</v>
      </c>
      <c r="I2">
        <f>38.514/44*100</f>
        <v>87.531818181818181</v>
      </c>
      <c r="J2">
        <f>39.905/44*100</f>
        <v>90.693181818181827</v>
      </c>
      <c r="K2">
        <f>J2-I2</f>
        <v>3.1613636363636459</v>
      </c>
      <c r="M2">
        <f>36.883/37*100</f>
        <v>99.683783783783781</v>
      </c>
      <c r="N2">
        <f>38.083/37*100</f>
        <v>102.92702702702702</v>
      </c>
      <c r="O2">
        <f t="shared" ref="O2:O9" si="0">N2-M2</f>
        <v>3.2432432432432421</v>
      </c>
      <c r="Q2">
        <f>57.03/37*100</f>
        <v>154.13513513513516</v>
      </c>
      <c r="R2">
        <f>57.803/37*100</f>
        <v>156.22432432432433</v>
      </c>
      <c r="S2">
        <f t="shared" ref="S2:S8" si="1">R2-Q2</f>
        <v>2.0891891891891703</v>
      </c>
      <c r="U2" s="1">
        <f>31.903/42*100</f>
        <v>75.959523809523816</v>
      </c>
      <c r="V2" s="1">
        <f>33.422/42*100</f>
        <v>79.576190476190462</v>
      </c>
      <c r="W2">
        <f t="shared" ref="W2:W9" si="2">V2-U2</f>
        <v>3.6166666666666458</v>
      </c>
      <c r="Y2">
        <f>47.4/44*100</f>
        <v>107.72727272727272</v>
      </c>
      <c r="Z2">
        <f>48.6/44*100</f>
        <v>110.45454545454545</v>
      </c>
      <c r="AA2">
        <f>Z2-Y2</f>
        <v>2.7272727272727337</v>
      </c>
    </row>
    <row r="3" spans="1:27">
      <c r="A3">
        <f>41.84/42*100</f>
        <v>99.619047619047635</v>
      </c>
      <c r="B3">
        <f>42.9/42*100</f>
        <v>102.14285714285714</v>
      </c>
      <c r="C3">
        <f t="shared" ref="C3:C15" si="3">B3-A3</f>
        <v>2.5238095238095042</v>
      </c>
      <c r="E3">
        <f>21.869/42*100</f>
        <v>52.069047619047616</v>
      </c>
      <c r="F3">
        <f>23.606/42*100</f>
        <v>56.204761904761909</v>
      </c>
      <c r="G3">
        <f t="shared" ref="G3:G15" si="4">F3-E3</f>
        <v>4.1357142857142932</v>
      </c>
      <c r="I3">
        <f>35.444/42*100</f>
        <v>84.390476190476193</v>
      </c>
      <c r="J3">
        <f>36.37/42*100</f>
        <v>86.595238095238088</v>
      </c>
      <c r="K3">
        <f t="shared" ref="K3:K16" si="5">J3-I3</f>
        <v>2.2047619047618952</v>
      </c>
      <c r="M3">
        <f>26.835/41*100</f>
        <v>65.451219512195124</v>
      </c>
      <c r="N3">
        <f>28.174/41*100</f>
        <v>68.717073170731709</v>
      </c>
      <c r="O3">
        <f t="shared" si="0"/>
        <v>3.2658536585365852</v>
      </c>
      <c r="Q3">
        <f>44.44/41*100</f>
        <v>108.39024390243901</v>
      </c>
      <c r="R3">
        <f>46.247/41*100</f>
        <v>112.79756097560976</v>
      </c>
      <c r="S3">
        <f t="shared" si="1"/>
        <v>4.4073170731707449</v>
      </c>
      <c r="U3" s="1">
        <f>27.4/37*100</f>
        <v>74.054054054054049</v>
      </c>
      <c r="V3" s="1">
        <f>29.792/37*100</f>
        <v>80.518918918918928</v>
      </c>
      <c r="W3">
        <f t="shared" si="2"/>
        <v>6.4648648648648788</v>
      </c>
      <c r="Y3">
        <f>43.128/37*100</f>
        <v>116.56216216216215</v>
      </c>
      <c r="Z3">
        <f>44.175/37*100</f>
        <v>119.39189189189187</v>
      </c>
      <c r="AA3">
        <f t="shared" ref="AA3:AA12" si="6">Z3-Y3</f>
        <v>2.8297297297297206</v>
      </c>
    </row>
    <row r="4" spans="1:27">
      <c r="A4">
        <f>37.66/37*100</f>
        <v>101.78378378378376</v>
      </c>
      <c r="B4">
        <f>38.93/37*100</f>
        <v>105.21621621621622</v>
      </c>
      <c r="C4">
        <f t="shared" si="3"/>
        <v>3.4324324324324635</v>
      </c>
      <c r="E4">
        <f>16.832/37*100</f>
        <v>45.491891891891896</v>
      </c>
      <c r="F4">
        <f>18.036/37*100</f>
        <v>48.745945945945948</v>
      </c>
      <c r="G4">
        <f t="shared" si="4"/>
        <v>3.2540540540540519</v>
      </c>
      <c r="I4" s="1">
        <f>36.267/37*100</f>
        <v>98.018918918918928</v>
      </c>
      <c r="J4">
        <f>37.188/37*100</f>
        <v>100.5081081081081</v>
      </c>
      <c r="K4">
        <f t="shared" si="5"/>
        <v>2.489189189189176</v>
      </c>
      <c r="M4">
        <f>50.45/49*100</f>
        <v>102.9591836734694</v>
      </c>
      <c r="N4">
        <f>51.768/49*100</f>
        <v>105.64897959183675</v>
      </c>
      <c r="O4">
        <f t="shared" si="0"/>
        <v>2.6897959183673521</v>
      </c>
      <c r="Q4">
        <f>36.986/49*100</f>
        <v>75.481632653061212</v>
      </c>
      <c r="R4">
        <f>38.464/49*100</f>
        <v>78.497959183673473</v>
      </c>
      <c r="S4">
        <f t="shared" si="1"/>
        <v>3.0163265306122611</v>
      </c>
      <c r="U4" s="1">
        <f>31.767/41*100</f>
        <v>77.480487804878052</v>
      </c>
      <c r="V4" s="1">
        <f>32.758/41*100</f>
        <v>79.897560975609764</v>
      </c>
      <c r="W4">
        <f t="shared" si="2"/>
        <v>2.4170731707317117</v>
      </c>
      <c r="Y4">
        <f>48.555/41*100</f>
        <v>118.42682926829269</v>
      </c>
      <c r="Z4">
        <f>50.41/41*100</f>
        <v>122.95121951219512</v>
      </c>
      <c r="AA4">
        <f t="shared" si="6"/>
        <v>4.5243902439024311</v>
      </c>
    </row>
    <row r="5" spans="1:27">
      <c r="A5">
        <f>42.98/44*100</f>
        <v>97.681818181818173</v>
      </c>
      <c r="B5">
        <f>43.86/44*100</f>
        <v>99.681818181818187</v>
      </c>
      <c r="C5">
        <f t="shared" si="3"/>
        <v>2.0000000000000142</v>
      </c>
      <c r="E5">
        <f>14.568/44*100</f>
        <v>33.109090909090909</v>
      </c>
      <c r="F5">
        <f>15.633/44*100</f>
        <v>35.529545454545456</v>
      </c>
      <c r="G5">
        <f t="shared" si="4"/>
        <v>2.4204545454545467</v>
      </c>
      <c r="I5">
        <f>43.94/44*100</f>
        <v>99.86363636363636</v>
      </c>
      <c r="J5">
        <f>44.888/44*100</f>
        <v>102.0181818181818</v>
      </c>
      <c r="K5">
        <f t="shared" si="5"/>
        <v>2.1545454545454419</v>
      </c>
      <c r="M5">
        <f>32.759/51*100</f>
        <v>64.233333333333334</v>
      </c>
      <c r="N5">
        <f>33.842/51*100</f>
        <v>66.356862745098027</v>
      </c>
      <c r="O5">
        <f t="shared" si="0"/>
        <v>2.123529411764693</v>
      </c>
      <c r="Q5">
        <f>35.529/44*100</f>
        <v>80.747727272727275</v>
      </c>
      <c r="R5">
        <f>36.858/44*100</f>
        <v>83.768181818181802</v>
      </c>
      <c r="S5">
        <f t="shared" si="1"/>
        <v>3.0204545454545269</v>
      </c>
      <c r="U5" s="1">
        <f>16.459/44*100</f>
        <v>37.406818181818181</v>
      </c>
      <c r="V5" s="1">
        <f>17.513/44*100</f>
        <v>39.802272727272729</v>
      </c>
      <c r="W5">
        <f t="shared" si="2"/>
        <v>2.3954545454545482</v>
      </c>
      <c r="Y5">
        <f>74.692/51*100</f>
        <v>146.4549019607843</v>
      </c>
      <c r="Z5">
        <f>76.525/51*100</f>
        <v>150.04901960784315</v>
      </c>
      <c r="AA5">
        <f t="shared" si="6"/>
        <v>3.5941176470588516</v>
      </c>
    </row>
    <row r="6" spans="1:27">
      <c r="A6">
        <f>48.23/47*100</f>
        <v>102.61702127659574</v>
      </c>
      <c r="B6">
        <f>49.26/47*100</f>
        <v>104.80851063829786</v>
      </c>
      <c r="C6">
        <f t="shared" si="3"/>
        <v>2.1914893617021249</v>
      </c>
      <c r="E6">
        <f>28.738/47*100</f>
        <v>61.144680851063825</v>
      </c>
      <c r="F6">
        <f>33.541/47*100</f>
        <v>71.363829787234039</v>
      </c>
      <c r="G6">
        <f t="shared" si="4"/>
        <v>10.219148936170214</v>
      </c>
      <c r="I6">
        <f>48.375/47*100</f>
        <v>102.92553191489363</v>
      </c>
      <c r="J6">
        <f>49.826/47*100</f>
        <v>106.01276595744682</v>
      </c>
      <c r="K6">
        <f t="shared" si="5"/>
        <v>3.0872340425531917</v>
      </c>
      <c r="M6">
        <f>47.612/44*100</f>
        <v>108.20909090909092</v>
      </c>
      <c r="N6" s="1">
        <f>48.426/44*100</f>
        <v>110.05909090909091</v>
      </c>
      <c r="O6">
        <f t="shared" si="0"/>
        <v>1.8499999999999943</v>
      </c>
      <c r="Q6">
        <f>37.372/47*100</f>
        <v>79.514893617021272</v>
      </c>
      <c r="R6">
        <f>41.132/47*100</f>
        <v>87.514893617021272</v>
      </c>
      <c r="S6">
        <f t="shared" si="1"/>
        <v>8</v>
      </c>
      <c r="U6" s="1">
        <f>49.892/51*100</f>
        <v>97.827450980392157</v>
      </c>
      <c r="V6" s="1">
        <f>51.843/51*100</f>
        <v>101.65294117647059</v>
      </c>
      <c r="W6">
        <f t="shared" si="2"/>
        <v>3.8254901960784338</v>
      </c>
      <c r="Y6">
        <f>54.789/49*100</f>
        <v>111.81428571428572</v>
      </c>
      <c r="Z6">
        <f>55.603/49*100</f>
        <v>113.47551020408164</v>
      </c>
      <c r="AA6">
        <f t="shared" si="6"/>
        <v>1.6612244897959272</v>
      </c>
    </row>
    <row r="7" spans="1:27">
      <c r="A7">
        <f>27.75/41*100</f>
        <v>67.682926829268297</v>
      </c>
      <c r="B7">
        <f>28.48/41*100</f>
        <v>69.463414634146346</v>
      </c>
      <c r="C7">
        <f t="shared" si="3"/>
        <v>1.7804878048780495</v>
      </c>
      <c r="E7">
        <f>41.674/41*100</f>
        <v>101.64390243902439</v>
      </c>
      <c r="F7">
        <f>42.56/41*100</f>
        <v>103.80487804878049</v>
      </c>
      <c r="G7">
        <f t="shared" si="4"/>
        <v>2.1609756097561075</v>
      </c>
      <c r="I7">
        <f>22.279/41*100</f>
        <v>54.339024390243907</v>
      </c>
      <c r="J7">
        <f>23.142/41*100</f>
        <v>56.443902439024384</v>
      </c>
      <c r="K7">
        <f t="shared" si="5"/>
        <v>2.1048780487804777</v>
      </c>
      <c r="M7">
        <f>41.306/49*100</f>
        <v>84.29795918367347</v>
      </c>
      <c r="N7">
        <f>42.507/49*100</f>
        <v>86.748979591836729</v>
      </c>
      <c r="O7">
        <f t="shared" si="0"/>
        <v>2.4510204081632594</v>
      </c>
      <c r="Q7">
        <f>35.14/48*100</f>
        <v>73.208333333333329</v>
      </c>
      <c r="R7">
        <f>36.327/48*100</f>
        <v>75.681250000000006</v>
      </c>
      <c r="S7">
        <f t="shared" si="1"/>
        <v>2.4729166666666771</v>
      </c>
      <c r="U7" s="1">
        <f>40.368/49*100</f>
        <v>82.383673469387759</v>
      </c>
      <c r="V7" s="1">
        <f>41.779/49*100</f>
        <v>85.263265306122463</v>
      </c>
      <c r="W7">
        <f t="shared" si="2"/>
        <v>2.8795918367347042</v>
      </c>
      <c r="Y7">
        <f>70.719/51*100</f>
        <v>138.66470588235293</v>
      </c>
      <c r="Z7">
        <f>72.852/51*100</f>
        <v>142.84705882352941</v>
      </c>
      <c r="AA7">
        <f t="shared" si="6"/>
        <v>4.1823529411764753</v>
      </c>
    </row>
    <row r="8" spans="1:27">
      <c r="A8">
        <f>31.05/44*100</f>
        <v>70.568181818181813</v>
      </c>
      <c r="B8">
        <f>33/44*100</f>
        <v>75</v>
      </c>
      <c r="C8">
        <f t="shared" si="3"/>
        <v>4.431818181818187</v>
      </c>
      <c r="E8">
        <f>38.09/44*100</f>
        <v>86.568181818181827</v>
      </c>
      <c r="F8">
        <f>39.382/44*100</f>
        <v>89.50454545454545</v>
      </c>
      <c r="G8">
        <f t="shared" si="4"/>
        <v>2.9363636363636232</v>
      </c>
      <c r="I8">
        <f>45.592/49*100</f>
        <v>93.044897959183672</v>
      </c>
      <c r="J8">
        <f>46.731/49*100</f>
        <v>95.369387755102039</v>
      </c>
      <c r="K8">
        <f t="shared" si="5"/>
        <v>2.3244897959183675</v>
      </c>
      <c r="M8">
        <f>27.492/46*100</f>
        <v>59.765217391304347</v>
      </c>
      <c r="N8">
        <f>28.809/46*100</f>
        <v>62.628260869565224</v>
      </c>
      <c r="O8">
        <f t="shared" si="0"/>
        <v>2.8630434782608774</v>
      </c>
      <c r="Q8">
        <f>45.82/45*100</f>
        <v>101.82222222222221</v>
      </c>
      <c r="R8">
        <f>46.769/45*100</f>
        <v>103.93111111111111</v>
      </c>
      <c r="S8">
        <f t="shared" si="1"/>
        <v>2.1088888888888988</v>
      </c>
      <c r="U8" s="1">
        <f>18.285/47*100</f>
        <v>38.90425531914893</v>
      </c>
      <c r="V8" s="1">
        <f>19.66/47*100</f>
        <v>41.829787234042556</v>
      </c>
      <c r="W8">
        <f t="shared" si="2"/>
        <v>2.9255319148936252</v>
      </c>
      <c r="Y8">
        <f>59.17/44*100</f>
        <v>134.47727272727272</v>
      </c>
      <c r="Z8">
        <f>59.816/44*100</f>
        <v>135.94545454545454</v>
      </c>
      <c r="AA8">
        <f t="shared" si="6"/>
        <v>1.4681818181818187</v>
      </c>
    </row>
    <row r="9" spans="1:27">
      <c r="A9">
        <f>44.21/44*100</f>
        <v>100.47727272727273</v>
      </c>
      <c r="B9">
        <f>45.76/44*100</f>
        <v>104</v>
      </c>
      <c r="C9">
        <f t="shared" si="3"/>
        <v>3.5227272727272663</v>
      </c>
      <c r="E9">
        <f>40.778/51*100</f>
        <v>79.956862745098036</v>
      </c>
      <c r="F9">
        <f>41.837/51*100</f>
        <v>82.033333333333331</v>
      </c>
      <c r="G9">
        <f t="shared" si="4"/>
        <v>2.0764705882352956</v>
      </c>
      <c r="I9">
        <f>35.215/51*100</f>
        <v>69.04901960784315</v>
      </c>
      <c r="J9">
        <f>36.241/51*100</f>
        <v>71.060784313725492</v>
      </c>
      <c r="K9">
        <f t="shared" si="5"/>
        <v>2.0117647058823422</v>
      </c>
      <c r="M9">
        <f>46.04/45*100</f>
        <v>102.3111111111111</v>
      </c>
      <c r="N9">
        <f>47.165/45*100</f>
        <v>104.8111111111111</v>
      </c>
      <c r="O9">
        <f t="shared" si="0"/>
        <v>2.5</v>
      </c>
      <c r="U9" s="1">
        <f>47.706/45*100</f>
        <v>106.01333333333334</v>
      </c>
      <c r="V9" s="1">
        <f>48.879/45*100</f>
        <v>108.62</v>
      </c>
      <c r="W9">
        <f t="shared" si="2"/>
        <v>2.6066666666666691</v>
      </c>
      <c r="Y9">
        <f>45.505/44*100</f>
        <v>103.42045454545455</v>
      </c>
      <c r="Z9">
        <f>46.453/44*100</f>
        <v>105.575</v>
      </c>
      <c r="AA9">
        <f t="shared" si="6"/>
        <v>2.1545454545454561</v>
      </c>
    </row>
    <row r="10" spans="1:27">
      <c r="A10">
        <f>36.4/44*100</f>
        <v>82.727272727272734</v>
      </c>
      <c r="B10">
        <f>37.71/44*100</f>
        <v>85.704545454545453</v>
      </c>
      <c r="C10">
        <f t="shared" si="3"/>
        <v>2.9772727272727195</v>
      </c>
      <c r="E10" s="1">
        <f>45.299/49*100</f>
        <v>92.446938775510205</v>
      </c>
      <c r="F10">
        <f>46.801/49*100</f>
        <v>95.512244897959192</v>
      </c>
      <c r="G10">
        <f t="shared" si="4"/>
        <v>3.0653061224489875</v>
      </c>
      <c r="I10">
        <f>39.541/44*100</f>
        <v>89.865909090909085</v>
      </c>
      <c r="J10">
        <f>40.504/44*100</f>
        <v>92.054545454545448</v>
      </c>
      <c r="K10">
        <f t="shared" si="5"/>
        <v>2.1886363636363626</v>
      </c>
      <c r="Y10">
        <f>49.772/49*100</f>
        <v>101.57551020408162</v>
      </c>
      <c r="Z10">
        <f>51.377/49*100</f>
        <v>104.85102040816328</v>
      </c>
      <c r="AA10">
        <f t="shared" si="6"/>
        <v>3.2755102040816553</v>
      </c>
    </row>
    <row r="11" spans="1:27">
      <c r="A11">
        <f>43.57/47*100</f>
        <v>92.702127659574472</v>
      </c>
      <c r="B11">
        <f>45.5/47*100</f>
        <v>96.808510638297875</v>
      </c>
      <c r="C11">
        <f t="shared" si="3"/>
        <v>4.1063829787234027</v>
      </c>
      <c r="E11">
        <f>37.859/51*100</f>
        <v>74.233333333333334</v>
      </c>
      <c r="F11">
        <f>40.066/51*100</f>
        <v>78.560784313725492</v>
      </c>
      <c r="G11">
        <f t="shared" si="4"/>
        <v>4.3274509803921575</v>
      </c>
      <c r="I11">
        <f>31.551/47*100</f>
        <v>67.129787234042553</v>
      </c>
      <c r="J11">
        <f>32.456/47*100</f>
        <v>69.055319148936178</v>
      </c>
      <c r="K11">
        <f t="shared" si="5"/>
        <v>1.9255319148936252</v>
      </c>
      <c r="Y11">
        <f>48.396/47*100</f>
        <v>102.97021276595746</v>
      </c>
      <c r="Z11">
        <f>50.028/47*100</f>
        <v>106.44255319148937</v>
      </c>
      <c r="AA11">
        <f t="shared" si="6"/>
        <v>3.472340425531911</v>
      </c>
    </row>
    <row r="12" spans="1:27">
      <c r="A12">
        <f>46.13/49*100</f>
        <v>94.142857142857153</v>
      </c>
      <c r="B12">
        <f>47.25/49*100</f>
        <v>96.428571428571431</v>
      </c>
      <c r="C12">
        <f t="shared" si="3"/>
        <v>2.2857142857142776</v>
      </c>
      <c r="E12">
        <f>42.466/44*100</f>
        <v>96.513636363636365</v>
      </c>
      <c r="F12">
        <f>43.643/44*100</f>
        <v>99.188636363636363</v>
      </c>
      <c r="G12">
        <f t="shared" si="4"/>
        <v>2.6749999999999972</v>
      </c>
      <c r="I12" s="1">
        <f>35.569/44*100</f>
        <v>80.838636363636368</v>
      </c>
      <c r="J12">
        <f>36.516/44*100</f>
        <v>82.990909090909085</v>
      </c>
      <c r="K12">
        <f t="shared" si="5"/>
        <v>2.1522727272727167</v>
      </c>
      <c r="Y12">
        <f>49.475/45*100</f>
        <v>109.94444444444444</v>
      </c>
      <c r="Z12">
        <f>49.875/45*100</f>
        <v>110.83333333333334</v>
      </c>
      <c r="AA12">
        <f t="shared" si="6"/>
        <v>0.88888888888889994</v>
      </c>
    </row>
    <row r="13" spans="1:27">
      <c r="A13">
        <f>27.81/47*100</f>
        <v>59.170212765957444</v>
      </c>
      <c r="B13">
        <f>29.96/47*100</f>
        <v>63.744680851063826</v>
      </c>
      <c r="C13">
        <f t="shared" si="3"/>
        <v>4.5744680851063819</v>
      </c>
      <c r="E13">
        <f>33.167/49*100</f>
        <v>67.687755102040811</v>
      </c>
      <c r="F13">
        <f>34.455/49*100</f>
        <v>70.316326530612244</v>
      </c>
      <c r="G13">
        <f t="shared" si="4"/>
        <v>2.6285714285714334</v>
      </c>
      <c r="I13">
        <f>39.252/47*100</f>
        <v>83.514893617021286</v>
      </c>
      <c r="J13">
        <f>40.148/47*100</f>
        <v>85.421276595744686</v>
      </c>
      <c r="K13">
        <f t="shared" si="5"/>
        <v>1.9063829787233999</v>
      </c>
    </row>
    <row r="14" spans="1:27">
      <c r="A14">
        <f>47.38/48*100</f>
        <v>98.708333333333343</v>
      </c>
      <c r="B14">
        <f>48.6/48*100</f>
        <v>101.25</v>
      </c>
      <c r="C14">
        <f t="shared" si="3"/>
        <v>2.5416666666666572</v>
      </c>
      <c r="E14">
        <f>29.694/45*100</f>
        <v>65.986666666666665</v>
      </c>
      <c r="F14">
        <f>30.943/45*100</f>
        <v>68.762222222222221</v>
      </c>
      <c r="G14">
        <f t="shared" si="4"/>
        <v>2.775555555555556</v>
      </c>
      <c r="I14">
        <f>40.294/49*100</f>
        <v>82.232653061224482</v>
      </c>
      <c r="J14">
        <f>41.462/49*100</f>
        <v>84.616326530612255</v>
      </c>
      <c r="K14">
        <f t="shared" si="5"/>
        <v>2.383673469387773</v>
      </c>
    </row>
    <row r="15" spans="1:27">
      <c r="A15">
        <f>46.33/45*100</f>
        <v>102.95555555555555</v>
      </c>
      <c r="B15">
        <f>47.84/45*100</f>
        <v>106.31111111111112</v>
      </c>
      <c r="C15">
        <f t="shared" si="3"/>
        <v>3.3555555555555685</v>
      </c>
      <c r="E15">
        <f>35.855/52*100</f>
        <v>68.951923076923066</v>
      </c>
      <c r="F15">
        <f>36.874/52*100</f>
        <v>70.91153846153847</v>
      </c>
      <c r="G15">
        <f t="shared" si="4"/>
        <v>1.9596153846154039</v>
      </c>
      <c r="I15">
        <f>38.054/48*100</f>
        <v>79.279166666666669</v>
      </c>
      <c r="J15">
        <f>38.896/48*100</f>
        <v>81.033333333333331</v>
      </c>
      <c r="K15">
        <f t="shared" si="5"/>
        <v>1.7541666666666629</v>
      </c>
    </row>
    <row r="16" spans="1:27">
      <c r="I16">
        <f>26.893/45*100</f>
        <v>59.762222222222228</v>
      </c>
      <c r="J16">
        <f>27.694/45*100</f>
        <v>61.542222222222222</v>
      </c>
      <c r="K16">
        <f t="shared" si="5"/>
        <v>1.779999999999994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360EE-0C82-4FBA-A795-1CF5EBE230F3}">
  <dimension ref="A1:AA20"/>
  <sheetViews>
    <sheetView topLeftCell="N5" workbookViewId="0">
      <selection activeCell="Y1" sqref="Y1:AA20"/>
    </sheetView>
  </sheetViews>
  <sheetFormatPr defaultRowHeight="15"/>
  <cols>
    <col min="1" max="1" width="12.85546875" bestFit="1" customWidth="1"/>
    <col min="2" max="2" width="11.85546875" bestFit="1" customWidth="1"/>
    <col min="9" max="9" width="12.85546875" bestFit="1" customWidth="1"/>
    <col min="10" max="10" width="14" bestFit="1" customWidth="1"/>
  </cols>
  <sheetData>
    <row r="1" spans="1:27">
      <c r="A1" t="s">
        <v>20</v>
      </c>
      <c r="B1" t="s">
        <v>21</v>
      </c>
      <c r="C1" t="s">
        <v>23</v>
      </c>
      <c r="E1" t="s">
        <v>20</v>
      </c>
      <c r="F1" t="s">
        <v>21</v>
      </c>
      <c r="G1" t="s">
        <v>23</v>
      </c>
      <c r="I1" t="s">
        <v>20</v>
      </c>
      <c r="J1" t="s">
        <v>21</v>
      </c>
      <c r="K1" t="s">
        <v>23</v>
      </c>
      <c r="M1" t="s">
        <v>20</v>
      </c>
      <c r="N1" t="s">
        <v>21</v>
      </c>
      <c r="O1" t="s">
        <v>23</v>
      </c>
      <c r="Q1" t="s">
        <v>20</v>
      </c>
      <c r="R1" t="s">
        <v>21</v>
      </c>
      <c r="S1" t="s">
        <v>23</v>
      </c>
      <c r="U1" t="s">
        <v>20</v>
      </c>
      <c r="V1" t="s">
        <v>21</v>
      </c>
      <c r="W1" t="s">
        <v>23</v>
      </c>
      <c r="Y1" t="s">
        <v>20</v>
      </c>
      <c r="Z1" t="s">
        <v>21</v>
      </c>
      <c r="AA1" t="s">
        <v>23</v>
      </c>
    </row>
    <row r="2" spans="1:27">
      <c r="A2">
        <f>35.1/44*100</f>
        <v>79.772727272727266</v>
      </c>
      <c r="B2">
        <f>36.52/44*100</f>
        <v>83</v>
      </c>
      <c r="C2">
        <f xml:space="preserve"> B2-A2</f>
        <v>3.2272727272727337</v>
      </c>
      <c r="E2">
        <f>17.318/44*100</f>
        <v>39.359090909090909</v>
      </c>
      <c r="F2">
        <f>18.823/44*100</f>
        <v>42.779545454545456</v>
      </c>
      <c r="G2">
        <f>F2-E2</f>
        <v>3.4204545454545467</v>
      </c>
      <c r="I2">
        <f>35.878/44*100</f>
        <v>81.540909090909082</v>
      </c>
      <c r="J2">
        <f>37.38/44*100</f>
        <v>84.954545454545467</v>
      </c>
      <c r="K2">
        <f>J2-I2</f>
        <v>3.4136363636363853</v>
      </c>
      <c r="M2">
        <f>35.603/44*100</f>
        <v>80.915909090909096</v>
      </c>
      <c r="N2">
        <f>36.969/44*100</f>
        <v>84.020454545454555</v>
      </c>
      <c r="O2">
        <f>N2-M2</f>
        <v>3.1045454545454589</v>
      </c>
      <c r="Q2">
        <f>9.977/44*100</f>
        <v>22.675000000000001</v>
      </c>
      <c r="R2">
        <f>11.749/44*100</f>
        <v>26.702272727272732</v>
      </c>
      <c r="S2">
        <f>R2-Q2</f>
        <v>4.0272727272727309</v>
      </c>
      <c r="U2">
        <f>22/42*100</f>
        <v>52.380952380952387</v>
      </c>
      <c r="V2">
        <f>23.624/42*100</f>
        <v>56.247619047619047</v>
      </c>
      <c r="W2">
        <f t="shared" ref="W2:W16" si="0">V2-U2</f>
        <v>3.86666666666666</v>
      </c>
      <c r="Y2">
        <f>29.282/44*100</f>
        <v>66.55</v>
      </c>
      <c r="Z2">
        <f>30.932/44*100</f>
        <v>70.3</v>
      </c>
      <c r="AA2">
        <f>Z2-Y2</f>
        <v>3.75</v>
      </c>
    </row>
    <row r="3" spans="1:27">
      <c r="A3">
        <f>15.95/42*100</f>
        <v>37.976190476190474</v>
      </c>
      <c r="B3">
        <f>16.73/42*100</f>
        <v>39.833333333333329</v>
      </c>
      <c r="C3">
        <f t="shared" ref="C3:C18" si="1" xml:space="preserve"> B3-A3</f>
        <v>1.8571428571428541</v>
      </c>
      <c r="E3">
        <f>14.982/42*100</f>
        <v>35.671428571428571</v>
      </c>
      <c r="F3">
        <f>16.676/42*100</f>
        <v>39.704761904761895</v>
      </c>
      <c r="G3">
        <f t="shared" ref="G3:G19" si="2">F3-E3</f>
        <v>4.0333333333333243</v>
      </c>
      <c r="I3" s="1">
        <f>18.071/42*100</f>
        <v>43.026190476190479</v>
      </c>
      <c r="J3">
        <f>19.139/42*100</f>
        <v>45.569047619047623</v>
      </c>
      <c r="K3">
        <f t="shared" ref="K3:K20" si="3">J3-I3</f>
        <v>2.5428571428571445</v>
      </c>
      <c r="M3">
        <f>24.182/42*100</f>
        <v>57.576190476190469</v>
      </c>
      <c r="N3">
        <f>26.319/42*100</f>
        <v>62.664285714285718</v>
      </c>
      <c r="O3">
        <f t="shared" ref="O3:O19" si="4">N3-M3</f>
        <v>5.0880952380952493</v>
      </c>
      <c r="Q3">
        <f>14.326/42*100</f>
        <v>34.109523809523814</v>
      </c>
      <c r="R3">
        <f>15.14/42*100</f>
        <v>36.047619047619051</v>
      </c>
      <c r="S3">
        <f t="shared" ref="S3:S18" si="5">R3-Q3</f>
        <v>1.9380952380952365</v>
      </c>
      <c r="U3">
        <f>36.823/37*100</f>
        <v>99.52162162162162</v>
      </c>
      <c r="V3">
        <f>37.422/37*100</f>
        <v>101.14054054054054</v>
      </c>
      <c r="W3">
        <f t="shared" si="0"/>
        <v>1.6189189189189221</v>
      </c>
      <c r="Y3">
        <f>11.477/42*100</f>
        <v>27.326190476190476</v>
      </c>
      <c r="Z3">
        <f>15.927/42*100</f>
        <v>37.921428571428571</v>
      </c>
      <c r="AA3">
        <f t="shared" ref="AA3:AA20" si="6">Z3-Y3</f>
        <v>10.595238095238095</v>
      </c>
    </row>
    <row r="4" spans="1:27">
      <c r="A4">
        <f>16.55/37*100</f>
        <v>44.729729729729733</v>
      </c>
      <c r="B4">
        <f>17.42/37*100</f>
        <v>47.081081081081081</v>
      </c>
      <c r="C4">
        <f t="shared" si="1"/>
        <v>2.3513513513513473</v>
      </c>
      <c r="E4">
        <f>15.29/37*100</f>
        <v>41.324324324324323</v>
      </c>
      <c r="F4">
        <f>16.886/37*100</f>
        <v>45.637837837837836</v>
      </c>
      <c r="G4">
        <f t="shared" si="2"/>
        <v>4.313513513513513</v>
      </c>
      <c r="I4">
        <f>21.375/37*100</f>
        <v>57.770270270270274</v>
      </c>
      <c r="J4">
        <f>22.322/37*100</f>
        <v>60.329729729729728</v>
      </c>
      <c r="K4">
        <f t="shared" si="3"/>
        <v>2.559459459459454</v>
      </c>
      <c r="M4">
        <f>43.619/44*100</f>
        <v>99.134090909090915</v>
      </c>
      <c r="N4">
        <f>46.556/44*100</f>
        <v>105.8090909090909</v>
      </c>
      <c r="O4">
        <f t="shared" si="4"/>
        <v>6.6749999999999829</v>
      </c>
      <c r="Q4">
        <f>15.408/37*100</f>
        <v>41.643243243243248</v>
      </c>
      <c r="R4">
        <f>17.702/37*100</f>
        <v>47.843243243243251</v>
      </c>
      <c r="S4">
        <f t="shared" si="5"/>
        <v>6.2000000000000028</v>
      </c>
      <c r="U4">
        <f>35.894/44*100</f>
        <v>81.577272727272714</v>
      </c>
      <c r="V4">
        <f>36.647/44*100</f>
        <v>83.288636363636357</v>
      </c>
      <c r="W4">
        <f t="shared" si="0"/>
        <v>1.7113636363636431</v>
      </c>
      <c r="Y4">
        <f>18.042/37*100</f>
        <v>48.762162162162163</v>
      </c>
      <c r="Z4">
        <f>19.381/37*100</f>
        <v>52.381081081081085</v>
      </c>
      <c r="AA4">
        <f t="shared" si="6"/>
        <v>3.6189189189189221</v>
      </c>
    </row>
    <row r="5" spans="1:27">
      <c r="A5">
        <f>20.6/44*100</f>
        <v>46.81818181818182</v>
      </c>
      <c r="B5">
        <f>21.22/44*100</f>
        <v>48.227272727272727</v>
      </c>
      <c r="C5">
        <f t="shared" si="1"/>
        <v>1.4090909090909065</v>
      </c>
      <c r="E5">
        <f>13.707/44*100</f>
        <v>31.152272727272727</v>
      </c>
      <c r="F5">
        <f>16.744/44*100</f>
        <v>38.054545454545455</v>
      </c>
      <c r="G5">
        <f t="shared" si="2"/>
        <v>6.9022727272727273</v>
      </c>
      <c r="I5">
        <f>39.337/44*100</f>
        <v>89.402272727272731</v>
      </c>
      <c r="J5">
        <f>40.402/44*100</f>
        <v>91.822727272727278</v>
      </c>
      <c r="K5">
        <f t="shared" si="3"/>
        <v>2.4204545454545467</v>
      </c>
      <c r="M5">
        <f>26.241/47*100</f>
        <v>55.831914893617018</v>
      </c>
      <c r="N5">
        <f>28.046/47*100</f>
        <v>59.672340425531914</v>
      </c>
      <c r="O5">
        <f t="shared" si="4"/>
        <v>3.8404255319148959</v>
      </c>
      <c r="Q5">
        <f>27.436/44*100</f>
        <v>62.354545454545452</v>
      </c>
      <c r="R5">
        <f>29.995/44*100</f>
        <v>68.170454545454547</v>
      </c>
      <c r="S5">
        <f t="shared" si="5"/>
        <v>5.8159090909090949</v>
      </c>
      <c r="U5">
        <f>30.76/47*100</f>
        <v>65.446808510638306</v>
      </c>
      <c r="V5">
        <f>31.309/47*100</f>
        <v>66.614893617021281</v>
      </c>
      <c r="W5">
        <f t="shared" si="0"/>
        <v>1.1680851063829749</v>
      </c>
      <c r="Y5">
        <f>44.553/44*100</f>
        <v>101.25681818181818</v>
      </c>
      <c r="Z5">
        <f>46.68/44*100</f>
        <v>106.09090909090908</v>
      </c>
      <c r="AA5">
        <f t="shared" si="6"/>
        <v>4.8340909090909037</v>
      </c>
    </row>
    <row r="6" spans="1:27">
      <c r="A6">
        <f>6.55/47*100</f>
        <v>13.936170212765958</v>
      </c>
      <c r="B6">
        <f>7.6/47*100</f>
        <v>16.170212765957444</v>
      </c>
      <c r="C6">
        <f t="shared" si="1"/>
        <v>2.234042553191486</v>
      </c>
      <c r="E6">
        <f>14.823/47*100</f>
        <v>31.538297872340426</v>
      </c>
      <c r="F6">
        <f>16.183/47*100</f>
        <v>34.431914893617019</v>
      </c>
      <c r="G6">
        <f t="shared" si="2"/>
        <v>2.8936170212765937</v>
      </c>
      <c r="I6">
        <f>8.968/47*100</f>
        <v>19.080851063829787</v>
      </c>
      <c r="J6">
        <f>9.846/47*100</f>
        <v>20.948936170212768</v>
      </c>
      <c r="K6">
        <f t="shared" si="3"/>
        <v>1.8680851063829813</v>
      </c>
      <c r="M6">
        <f>22.209/41*100</f>
        <v>54.168292682926833</v>
      </c>
      <c r="N6">
        <f>22.975/41*100</f>
        <v>56.036585365853661</v>
      </c>
      <c r="O6">
        <f t="shared" si="4"/>
        <v>1.8682926829268283</v>
      </c>
      <c r="Q6">
        <f>14.066/47*100</f>
        <v>29.927659574468084</v>
      </c>
      <c r="R6">
        <f>16.046/47*100</f>
        <v>34.140425531914893</v>
      </c>
      <c r="S6">
        <f t="shared" si="5"/>
        <v>4.212765957446809</v>
      </c>
      <c r="U6">
        <f>39.804/41*100</f>
        <v>97.082926829268303</v>
      </c>
      <c r="V6">
        <f>40.477/41*100</f>
        <v>98.724390243902434</v>
      </c>
      <c r="W6">
        <f t="shared" si="0"/>
        <v>1.6414634146341314</v>
      </c>
      <c r="Y6">
        <f>32.847/47*100</f>
        <v>69.887234042553189</v>
      </c>
      <c r="Z6">
        <f>33.858/47*100</f>
        <v>72.038297872340422</v>
      </c>
      <c r="AA6">
        <f t="shared" si="6"/>
        <v>2.1510638297872333</v>
      </c>
    </row>
    <row r="7" spans="1:27">
      <c r="A7">
        <f>35.4/41*100</f>
        <v>86.341463414634148</v>
      </c>
      <c r="B7">
        <f>36.61/41*100</f>
        <v>89.292682926829272</v>
      </c>
      <c r="C7">
        <f t="shared" si="1"/>
        <v>2.9512195121951237</v>
      </c>
      <c r="E7">
        <f>18.385/41*100</f>
        <v>44.841463414634156</v>
      </c>
      <c r="F7">
        <f>19.375/41*100</f>
        <v>47.256097560975604</v>
      </c>
      <c r="G7">
        <f t="shared" si="2"/>
        <v>2.4146341463414487</v>
      </c>
      <c r="I7">
        <f>26.411/41*100</f>
        <v>64.417073170731712</v>
      </c>
      <c r="J7">
        <f>27.332/41*100</f>
        <v>66.663414634146349</v>
      </c>
      <c r="K7">
        <f t="shared" si="3"/>
        <v>2.2463414634146375</v>
      </c>
      <c r="M7">
        <f>33.42/44*100</f>
        <v>75.954545454545467</v>
      </c>
      <c r="N7">
        <f>34.354/44*100</f>
        <v>78.077272727272728</v>
      </c>
      <c r="O7">
        <f t="shared" si="4"/>
        <v>2.1227272727272606</v>
      </c>
      <c r="Q7">
        <f>19.293/41*100</f>
        <v>47.056097560975608</v>
      </c>
      <c r="R7">
        <f>22.143/41*100</f>
        <v>54.007317073170732</v>
      </c>
      <c r="S7">
        <f t="shared" si="5"/>
        <v>6.9512195121951237</v>
      </c>
      <c r="U7">
        <f>34.3/44*100</f>
        <v>77.954545454545439</v>
      </c>
      <c r="V7">
        <f>34.487/44*100</f>
        <v>78.379545454545465</v>
      </c>
      <c r="W7">
        <f t="shared" si="0"/>
        <v>0.42500000000002558</v>
      </c>
      <c r="Y7">
        <f>30.842/41*100</f>
        <v>75.224390243902434</v>
      </c>
      <c r="Z7">
        <f>31.584/41*100</f>
        <v>77.034146341463412</v>
      </c>
      <c r="AA7">
        <f t="shared" si="6"/>
        <v>1.8097560975609781</v>
      </c>
    </row>
    <row r="8" spans="1:27">
      <c r="A8">
        <f>8.72/44*100</f>
        <v>19.81818181818182</v>
      </c>
      <c r="B8">
        <f>9.34/44*100</f>
        <v>21.227272727272727</v>
      </c>
      <c r="C8">
        <f t="shared" si="1"/>
        <v>1.4090909090909065</v>
      </c>
      <c r="E8">
        <f>32.225/44*100</f>
        <v>73.238636363636374</v>
      </c>
      <c r="F8">
        <f>33.393/44*100</f>
        <v>75.893181818181816</v>
      </c>
      <c r="G8">
        <f t="shared" si="2"/>
        <v>2.6545454545454419</v>
      </c>
      <c r="I8">
        <f>31.394/44*100</f>
        <v>71.349999999999994</v>
      </c>
      <c r="J8">
        <f>32.452/44*100</f>
        <v>73.75454545454545</v>
      </c>
      <c r="K8">
        <f t="shared" si="3"/>
        <v>2.4045454545454561</v>
      </c>
      <c r="M8">
        <f>37.689/51*100</f>
        <v>73.900000000000006</v>
      </c>
      <c r="N8">
        <f>38.635/51*100</f>
        <v>75.754901960784309</v>
      </c>
      <c r="O8">
        <f t="shared" si="4"/>
        <v>1.8549019607843036</v>
      </c>
      <c r="Q8">
        <f>20.27/44*100</f>
        <v>46.06818181818182</v>
      </c>
      <c r="R8">
        <f>23.451/44*100</f>
        <v>53.297727272727272</v>
      </c>
      <c r="S8">
        <f t="shared" si="5"/>
        <v>7.2295454545454518</v>
      </c>
      <c r="U8">
        <f>42.384/51*100</f>
        <v>83.10588235294118</v>
      </c>
      <c r="V8">
        <f>43.242/51*100</f>
        <v>84.788235294117641</v>
      </c>
      <c r="W8">
        <f t="shared" si="0"/>
        <v>1.6823529411764611</v>
      </c>
      <c r="Y8">
        <f>27.057/44*100</f>
        <v>61.493181818181817</v>
      </c>
      <c r="Z8">
        <f>28.04/44*100</f>
        <v>63.72727272727272</v>
      </c>
      <c r="AA8">
        <f t="shared" si="6"/>
        <v>2.2340909090909022</v>
      </c>
    </row>
    <row r="9" spans="1:27">
      <c r="A9">
        <f>12.05/51*100</f>
        <v>23.627450980392158</v>
      </c>
      <c r="B9">
        <f>12.51/51*100</f>
        <v>24.529411764705884</v>
      </c>
      <c r="C9">
        <f t="shared" si="1"/>
        <v>0.90196078431372584</v>
      </c>
      <c r="E9">
        <f>19.819/51*100</f>
        <v>38.860784313725489</v>
      </c>
      <c r="F9">
        <f>21.061/51*100</f>
        <v>41.29607843137255</v>
      </c>
      <c r="G9">
        <f t="shared" si="2"/>
        <v>2.4352941176470608</v>
      </c>
      <c r="I9">
        <f>24.017/51*100</f>
        <v>47.092156862745099</v>
      </c>
      <c r="J9">
        <f>25.081/51*100</f>
        <v>49.178431372549021</v>
      </c>
      <c r="K9">
        <f t="shared" si="3"/>
        <v>2.0862745098039213</v>
      </c>
      <c r="M9">
        <f>32.198/49*100</f>
        <v>65.710204081632654</v>
      </c>
      <c r="N9">
        <f>33.083/49*100</f>
        <v>67.516326530612233</v>
      </c>
      <c r="O9">
        <f t="shared" si="4"/>
        <v>1.8061224489795791</v>
      </c>
      <c r="Q9">
        <f>27/51*100</f>
        <v>52.941176470588239</v>
      </c>
      <c r="R9">
        <f>29.621/51*100</f>
        <v>58.08039215686275</v>
      </c>
      <c r="S9">
        <f t="shared" si="5"/>
        <v>5.1392156862745111</v>
      </c>
      <c r="U9">
        <f>43.742/49*100</f>
        <v>89.269387755102031</v>
      </c>
      <c r="V9">
        <f>44.297/49*100</f>
        <v>90.402040816326519</v>
      </c>
      <c r="W9">
        <f t="shared" si="0"/>
        <v>1.1326530612244881</v>
      </c>
      <c r="Y9">
        <f>39.41/51*100</f>
        <v>77.274509803921561</v>
      </c>
      <c r="Z9">
        <f>40.602/51*100</f>
        <v>79.611764705882351</v>
      </c>
      <c r="AA9">
        <f t="shared" si="6"/>
        <v>2.3372549019607902</v>
      </c>
    </row>
    <row r="10" spans="1:27">
      <c r="A10">
        <f>16.91/49*100</f>
        <v>34.510204081632658</v>
      </c>
      <c r="B10">
        <f>17.82/49*100</f>
        <v>36.367346938775512</v>
      </c>
      <c r="C10">
        <f t="shared" si="1"/>
        <v>1.8571428571428541</v>
      </c>
      <c r="E10">
        <f>30.543/49*100</f>
        <v>62.332653061224484</v>
      </c>
      <c r="F10">
        <f>32.643/49*100</f>
        <v>66.618367346938783</v>
      </c>
      <c r="G10">
        <f t="shared" si="2"/>
        <v>4.2857142857142989</v>
      </c>
      <c r="I10">
        <f>29.715/49*100</f>
        <v>60.642857142857146</v>
      </c>
      <c r="J10">
        <f>30.761/49*100</f>
        <v>62.777551020408161</v>
      </c>
      <c r="K10">
        <f t="shared" si="3"/>
        <v>2.1346938775510154</v>
      </c>
      <c r="M10">
        <f>29.529/51*100</f>
        <v>57.9</v>
      </c>
      <c r="N10">
        <f>31.954/51*100</f>
        <v>62.654901960784315</v>
      </c>
      <c r="O10">
        <f t="shared" si="4"/>
        <v>4.7549019607843164</v>
      </c>
      <c r="Q10">
        <f>20.028/49*100</f>
        <v>40.873469387755101</v>
      </c>
      <c r="R10">
        <f>21.479/49*100</f>
        <v>43.834693877551018</v>
      </c>
      <c r="S10">
        <f t="shared" si="5"/>
        <v>2.9612244897959172</v>
      </c>
      <c r="U10">
        <f>34.973/51*100</f>
        <v>68.574509803921572</v>
      </c>
      <c r="V10">
        <f>35.688/51*100</f>
        <v>69.976470588235301</v>
      </c>
      <c r="W10">
        <f t="shared" si="0"/>
        <v>1.4019607843137294</v>
      </c>
      <c r="Y10">
        <f>29.145/49*100</f>
        <v>59.479591836734691</v>
      </c>
      <c r="Z10">
        <f>31.039/49*100</f>
        <v>63.344897959183676</v>
      </c>
      <c r="AA10">
        <f t="shared" si="6"/>
        <v>3.8653061224489846</v>
      </c>
    </row>
    <row r="11" spans="1:27">
      <c r="A11">
        <f>33.82/51*100</f>
        <v>66.313725490196077</v>
      </c>
      <c r="B11">
        <f>34.7/51*100</f>
        <v>68.039215686274517</v>
      </c>
      <c r="C11">
        <f t="shared" si="1"/>
        <v>1.7254901960784395</v>
      </c>
      <c r="E11">
        <f>30.311/51*100</f>
        <v>59.433333333333337</v>
      </c>
      <c r="F11">
        <f>31.613/51*100</f>
        <v>61.98627450980392</v>
      </c>
      <c r="G11">
        <f t="shared" si="2"/>
        <v>2.5529411764705827</v>
      </c>
      <c r="I11">
        <f>21.019/51*100</f>
        <v>41.213725490196076</v>
      </c>
      <c r="J11">
        <f>26.462/51*100</f>
        <v>51.886274509803918</v>
      </c>
      <c r="K11">
        <f t="shared" si="3"/>
        <v>10.672549019607843</v>
      </c>
      <c r="M11">
        <f>19.32/44*100</f>
        <v>43.909090909090907</v>
      </c>
      <c r="N11">
        <f>20.436/44*100</f>
        <v>46.445454545454545</v>
      </c>
      <c r="O11">
        <f t="shared" si="4"/>
        <v>2.5363636363636388</v>
      </c>
      <c r="Q11">
        <f>22.699/51*100</f>
        <v>44.507843137254902</v>
      </c>
      <c r="R11">
        <f>25.783/51*100</f>
        <v>50.554901960784314</v>
      </c>
      <c r="S11">
        <f t="shared" si="5"/>
        <v>6.0470588235294116</v>
      </c>
      <c r="U11">
        <f>18.492/44*100</f>
        <v>42.027272727272731</v>
      </c>
      <c r="V11">
        <f>18.697/44*100</f>
        <v>42.493181818181817</v>
      </c>
      <c r="W11">
        <f t="shared" si="0"/>
        <v>0.46590909090908639</v>
      </c>
      <c r="Y11">
        <f>36.087/51*100</f>
        <v>70.758823529411771</v>
      </c>
      <c r="Z11">
        <f>36.63/51*100</f>
        <v>71.82352941176471</v>
      </c>
      <c r="AA11">
        <f t="shared" si="6"/>
        <v>1.0647058823529392</v>
      </c>
    </row>
    <row r="12" spans="1:27">
      <c r="A12">
        <f>23.55/44*100</f>
        <v>53.52272727272728</v>
      </c>
      <c r="B12">
        <f>24.18/44*100</f>
        <v>54.954545454545453</v>
      </c>
      <c r="C12">
        <f t="shared" si="1"/>
        <v>1.4318181818181728</v>
      </c>
      <c r="E12">
        <f>43.533/44*100</f>
        <v>98.938636363636363</v>
      </c>
      <c r="F12">
        <f>46.032/44*100</f>
        <v>104.61818181818181</v>
      </c>
      <c r="G12">
        <f t="shared" si="2"/>
        <v>5.6795454545454476</v>
      </c>
      <c r="I12">
        <f>13.374/44*100</f>
        <v>30.395454545454548</v>
      </c>
      <c r="J12">
        <f>14.329/44*100</f>
        <v>32.565909090909088</v>
      </c>
      <c r="K12">
        <f t="shared" si="3"/>
        <v>2.1704545454545396</v>
      </c>
      <c r="M12">
        <f>8.378/44*100</f>
        <v>19.040909090909093</v>
      </c>
      <c r="N12">
        <f>9.989/44*100</f>
        <v>22.702272727272728</v>
      </c>
      <c r="O12">
        <f t="shared" si="4"/>
        <v>3.6613636363636353</v>
      </c>
      <c r="Q12">
        <f>18.045/44*100</f>
        <v>41.01136363636364</v>
      </c>
      <c r="R12">
        <f>21.953/44*100</f>
        <v>49.893181818181816</v>
      </c>
      <c r="S12">
        <f t="shared" si="5"/>
        <v>8.8818181818181756</v>
      </c>
      <c r="U12">
        <f>30.647/44*100</f>
        <v>69.652272727272731</v>
      </c>
      <c r="V12">
        <f>31.362/44*100</f>
        <v>71.277272727272717</v>
      </c>
      <c r="W12">
        <f t="shared" si="0"/>
        <v>1.6249999999999858</v>
      </c>
      <c r="Y12">
        <f>43.762/44*100</f>
        <v>99.459090909090904</v>
      </c>
      <c r="Z12">
        <f>44.718/44*100</f>
        <v>101.63181818181819</v>
      </c>
      <c r="AA12">
        <f t="shared" si="6"/>
        <v>2.1727272727272862</v>
      </c>
    </row>
    <row r="13" spans="1:27">
      <c r="A13">
        <f>21.86/49*100</f>
        <v>44.612244897959179</v>
      </c>
      <c r="B13">
        <f>22.43/49*100</f>
        <v>45.775510204081634</v>
      </c>
      <c r="C13">
        <f t="shared" si="1"/>
        <v>1.1632653061224545</v>
      </c>
      <c r="E13">
        <f>23.273/44*100</f>
        <v>52.893181818181823</v>
      </c>
      <c r="F13">
        <f>28.529/44*100</f>
        <v>64.838636363636354</v>
      </c>
      <c r="G13">
        <f t="shared" si="2"/>
        <v>11.945454545454531</v>
      </c>
      <c r="I13">
        <f>35.224/44*100</f>
        <v>80.054545454545448</v>
      </c>
      <c r="J13">
        <f>36.11/44*100</f>
        <v>82.068181818181813</v>
      </c>
      <c r="K13">
        <f t="shared" si="3"/>
        <v>2.0136363636363654</v>
      </c>
      <c r="M13">
        <f>46.355/47*100</f>
        <v>98.627659574468069</v>
      </c>
      <c r="N13">
        <f>47.869/47*100</f>
        <v>101.84893617021275</v>
      </c>
      <c r="O13">
        <f t="shared" si="4"/>
        <v>3.2212765957446834</v>
      </c>
      <c r="Q13">
        <f>16.978/47*100</f>
        <v>36.123404255319151</v>
      </c>
      <c r="R13">
        <f>17.985/47*100</f>
        <v>38.265957446808507</v>
      </c>
      <c r="S13">
        <f t="shared" si="5"/>
        <v>2.1425531914893554</v>
      </c>
      <c r="U13">
        <f>41.772/49*100</f>
        <v>85.248979591836729</v>
      </c>
      <c r="V13">
        <f>42.505/49*100</f>
        <v>86.744897959183675</v>
      </c>
      <c r="W13">
        <f t="shared" si="0"/>
        <v>1.4959183673469454</v>
      </c>
      <c r="Y13">
        <f>18.614/44*100</f>
        <v>42.304545454545455</v>
      </c>
      <c r="Z13">
        <f>19.955/44*100</f>
        <v>45.352272727272727</v>
      </c>
      <c r="AA13">
        <f t="shared" si="6"/>
        <v>3.047727272727272</v>
      </c>
    </row>
    <row r="14" spans="1:27">
      <c r="A14">
        <f>32.83/47*100</f>
        <v>69.851063829787236</v>
      </c>
      <c r="B14">
        <f>33.72/47*100</f>
        <v>71.744680851063819</v>
      </c>
      <c r="C14">
        <f t="shared" si="1"/>
        <v>1.893617021276583</v>
      </c>
      <c r="E14">
        <f>14.809/47*100</f>
        <v>31.508510638297871</v>
      </c>
      <c r="F14">
        <f>16.798/47*100</f>
        <v>35.740425531914887</v>
      </c>
      <c r="G14">
        <f t="shared" si="2"/>
        <v>4.2319148936170166</v>
      </c>
      <c r="I14">
        <f>30.606/47*100</f>
        <v>65.119148936170205</v>
      </c>
      <c r="J14">
        <f>31.859/47*100</f>
        <v>67.785106382978739</v>
      </c>
      <c r="K14">
        <f t="shared" si="3"/>
        <v>2.6659574468085339</v>
      </c>
      <c r="M14">
        <f>47.887/49*100</f>
        <v>97.728571428571428</v>
      </c>
      <c r="N14">
        <f>50.269/49*100</f>
        <v>102.58979591836734</v>
      </c>
      <c r="O14">
        <f t="shared" si="4"/>
        <v>4.8612244897959158</v>
      </c>
      <c r="Q14">
        <f>22.79/49*100</f>
        <v>46.510204081632651</v>
      </c>
      <c r="R14">
        <f>25.584/49*100</f>
        <v>52.212244897959181</v>
      </c>
      <c r="S14">
        <f t="shared" si="5"/>
        <v>5.7020408163265301</v>
      </c>
      <c r="U14">
        <f>27.021/47*100</f>
        <v>57.491489361702129</v>
      </c>
      <c r="V14">
        <f>28.023/47*100</f>
        <v>59.623404255319144</v>
      </c>
      <c r="W14">
        <f t="shared" si="0"/>
        <v>2.1319148936170151</v>
      </c>
      <c r="Y14">
        <f>17.541/47*100</f>
        <v>37.321276595744678</v>
      </c>
      <c r="Z14">
        <f>19.522/47*100</f>
        <v>41.536170212765953</v>
      </c>
      <c r="AA14">
        <f t="shared" si="6"/>
        <v>4.214893617021275</v>
      </c>
    </row>
    <row r="15" spans="1:27">
      <c r="A15">
        <f>21.98/46*100</f>
        <v>47.782608695652172</v>
      </c>
      <c r="B15">
        <f>23.42/46*100</f>
        <v>50.913043478260875</v>
      </c>
      <c r="C15">
        <f t="shared" si="1"/>
        <v>3.1304347826087024</v>
      </c>
      <c r="E15">
        <f>6.534/49*100</f>
        <v>13.334693877551022</v>
      </c>
      <c r="F15">
        <f>7.466/49*100</f>
        <v>15.236734693877551</v>
      </c>
      <c r="G15">
        <f t="shared" si="2"/>
        <v>1.9020408163265294</v>
      </c>
      <c r="I15">
        <f>26.705/49*100</f>
        <v>54.499999999999993</v>
      </c>
      <c r="J15">
        <f>28.16/49*100</f>
        <v>57.469387755102041</v>
      </c>
      <c r="K15">
        <f t="shared" si="3"/>
        <v>2.9693877551020478</v>
      </c>
      <c r="M15">
        <f>26.366/47*100</f>
        <v>56.097872340425539</v>
      </c>
      <c r="N15">
        <f>27.687/47*100</f>
        <v>58.908510638297869</v>
      </c>
      <c r="O15">
        <f t="shared" si="4"/>
        <v>2.8106382978723303</v>
      </c>
      <c r="Q15">
        <f>12.976/47*100</f>
        <v>27.608510638297872</v>
      </c>
      <c r="R15">
        <f>15.494/47*100</f>
        <v>32.96595744680851</v>
      </c>
      <c r="S15">
        <f t="shared" si="5"/>
        <v>5.3574468085106375</v>
      </c>
      <c r="U15">
        <f>31.154/48*100</f>
        <v>64.904166666666669</v>
      </c>
      <c r="V15">
        <f>31.731/48*100</f>
        <v>66.106250000000003</v>
      </c>
      <c r="W15">
        <f t="shared" si="0"/>
        <v>1.2020833333333343</v>
      </c>
      <c r="Y15">
        <f>47.559/49*100</f>
        <v>97.059183673469391</v>
      </c>
      <c r="Z15">
        <f>49.376/49*100</f>
        <v>100.76734693877552</v>
      </c>
      <c r="AA15">
        <f t="shared" si="6"/>
        <v>3.7081632653061263</v>
      </c>
    </row>
    <row r="16" spans="1:27">
      <c r="A16">
        <f>23.04/48*100</f>
        <v>48</v>
      </c>
      <c r="B16">
        <f>23.72/48*100</f>
        <v>49.416666666666664</v>
      </c>
      <c r="C16">
        <f t="shared" si="1"/>
        <v>1.4166666666666643</v>
      </c>
      <c r="E16">
        <f>21.64/47*100</f>
        <v>46.042553191489361</v>
      </c>
      <c r="F16">
        <f>24.234/47*100</f>
        <v>51.561702127659579</v>
      </c>
      <c r="G16">
        <f t="shared" si="2"/>
        <v>5.5191489361702182</v>
      </c>
      <c r="I16">
        <f>30.676/47*100</f>
        <v>65.268085106382983</v>
      </c>
      <c r="J16">
        <f>32.449/47*100</f>
        <v>69.040425531914877</v>
      </c>
      <c r="K16">
        <f t="shared" si="3"/>
        <v>3.772340425531894</v>
      </c>
      <c r="M16">
        <f>45.813/46*100</f>
        <v>99.593478260869574</v>
      </c>
      <c r="N16">
        <f>47.497/46*100</f>
        <v>103.25434782608696</v>
      </c>
      <c r="O16">
        <f t="shared" si="4"/>
        <v>3.6608695652173822</v>
      </c>
      <c r="Q16">
        <f>20.227/48*100</f>
        <v>42.139583333333334</v>
      </c>
      <c r="R16">
        <f>22.458/48*100</f>
        <v>46.787500000000001</v>
      </c>
      <c r="S16">
        <f t="shared" si="5"/>
        <v>4.6479166666666671</v>
      </c>
      <c r="U16">
        <f>40.972/52*100</f>
        <v>78.792307692307702</v>
      </c>
      <c r="V16">
        <f>41.876/52*100</f>
        <v>80.530769230769224</v>
      </c>
      <c r="W16">
        <f t="shared" si="0"/>
        <v>1.7384615384615216</v>
      </c>
      <c r="Y16">
        <f>25.649/47*100</f>
        <v>54.57234042553192</v>
      </c>
      <c r="Z16">
        <f>26.665/47*100</f>
        <v>56.734042553191486</v>
      </c>
      <c r="AA16">
        <f t="shared" si="6"/>
        <v>2.1617021276595665</v>
      </c>
    </row>
    <row r="17" spans="1:27">
      <c r="A17">
        <f>7.55/45*100</f>
        <v>16.777777777777779</v>
      </c>
      <c r="B17">
        <f>8.36/45*100</f>
        <v>18.577777777777776</v>
      </c>
      <c r="C17">
        <f t="shared" si="1"/>
        <v>1.7999999999999972</v>
      </c>
      <c r="E17">
        <f>15.963/48*100</f>
        <v>33.256250000000001</v>
      </c>
      <c r="F17">
        <f>17.501/48*100</f>
        <v>36.460416666666667</v>
      </c>
      <c r="G17">
        <f t="shared" si="2"/>
        <v>3.2041666666666657</v>
      </c>
      <c r="I17">
        <f>40.067/46*100</f>
        <v>87.102173913043472</v>
      </c>
      <c r="J17">
        <f>41.304/46*100</f>
        <v>89.791304347826099</v>
      </c>
      <c r="K17">
        <f t="shared" si="3"/>
        <v>2.6891304347826264</v>
      </c>
      <c r="M17">
        <f>37.022/48*100</f>
        <v>77.129166666666663</v>
      </c>
      <c r="N17">
        <f>38.164/48*100</f>
        <v>79.50833333333334</v>
      </c>
      <c r="O17">
        <f t="shared" si="4"/>
        <v>2.3791666666666771</v>
      </c>
      <c r="Q17">
        <f>25.86/45*100</f>
        <v>57.466666666666669</v>
      </c>
      <c r="R17">
        <f>27.383/45*100</f>
        <v>60.851111111111109</v>
      </c>
      <c r="S17">
        <f t="shared" si="5"/>
        <v>3.3844444444444406</v>
      </c>
      <c r="Y17">
        <f>35.077/46*100</f>
        <v>76.254347826086956</v>
      </c>
      <c r="Z17">
        <f>35.984/46*100</f>
        <v>78.22608695652174</v>
      </c>
      <c r="AA17">
        <f t="shared" si="6"/>
        <v>1.9717391304347842</v>
      </c>
    </row>
    <row r="18" spans="1:27">
      <c r="A18">
        <f>31.61/52*100</f>
        <v>60.788461538461533</v>
      </c>
      <c r="B18">
        <f>35.86/52*100</f>
        <v>68.961538461538467</v>
      </c>
      <c r="C18">
        <f t="shared" si="1"/>
        <v>8.173076923076934</v>
      </c>
      <c r="E18">
        <f>22.288/45*100</f>
        <v>49.528888888888886</v>
      </c>
      <c r="F18">
        <f>24.009/45*100</f>
        <v>53.353333333333332</v>
      </c>
      <c r="G18">
        <f t="shared" si="2"/>
        <v>3.8244444444444454</v>
      </c>
      <c r="I18">
        <f>20.77/48*100</f>
        <v>43.270833333333329</v>
      </c>
      <c r="J18">
        <f>22.038/48*100</f>
        <v>45.912500000000001</v>
      </c>
      <c r="K18">
        <f t="shared" si="3"/>
        <v>2.6416666666666728</v>
      </c>
      <c r="M18">
        <f>26.858/45*100</f>
        <v>59.684444444444452</v>
      </c>
      <c r="N18">
        <f>29.505/45*100</f>
        <v>65.566666666666663</v>
      </c>
      <c r="O18">
        <f t="shared" si="4"/>
        <v>5.8822222222222109</v>
      </c>
      <c r="Q18">
        <f>30.311/52*100</f>
        <v>58.290384615384617</v>
      </c>
      <c r="R18">
        <f>33.11/52*100</f>
        <v>63.67307692307692</v>
      </c>
      <c r="S18">
        <f t="shared" si="5"/>
        <v>5.3826923076923023</v>
      </c>
      <c r="Y18">
        <f>23.196/48*100</f>
        <v>48.325000000000003</v>
      </c>
      <c r="Z18">
        <f>24.166/48*100</f>
        <v>50.345833333333331</v>
      </c>
      <c r="AA18">
        <f t="shared" si="6"/>
        <v>2.0208333333333286</v>
      </c>
    </row>
    <row r="19" spans="1:27">
      <c r="E19">
        <f>25.164/52*100</f>
        <v>48.392307692307696</v>
      </c>
      <c r="F19">
        <f>26.479/52*100</f>
        <v>50.921153846153842</v>
      </c>
      <c r="G19">
        <f t="shared" si="2"/>
        <v>2.5288461538461462</v>
      </c>
      <c r="I19">
        <f>32.39/45*100</f>
        <v>71.977777777777774</v>
      </c>
      <c r="J19">
        <f>33.391/45*100</f>
        <v>74.202222222222218</v>
      </c>
      <c r="K19">
        <f t="shared" si="3"/>
        <v>2.224444444444444</v>
      </c>
      <c r="M19">
        <f>36.24/52*100</f>
        <v>69.692307692307693</v>
      </c>
      <c r="N19">
        <f>37.365/52*100</f>
        <v>71.855769230769241</v>
      </c>
      <c r="O19">
        <f t="shared" si="4"/>
        <v>2.1634615384615472</v>
      </c>
      <c r="Y19">
        <f>25.37/45*100</f>
        <v>56.37777777777778</v>
      </c>
      <c r="Z19">
        <f>26.272/45*100</f>
        <v>58.382222222222225</v>
      </c>
      <c r="AA19">
        <f t="shared" si="6"/>
        <v>2.0044444444444451</v>
      </c>
    </row>
    <row r="20" spans="1:27">
      <c r="I20">
        <f>36.285/52*100</f>
        <v>69.778846153846146</v>
      </c>
      <c r="J20">
        <f>37.099/52*100</f>
        <v>71.344230769230762</v>
      </c>
      <c r="K20">
        <f t="shared" si="3"/>
        <v>1.565384615384616</v>
      </c>
      <c r="Y20">
        <f>35.648/52*100</f>
        <v>68.553846153846166</v>
      </c>
      <c r="Z20">
        <f>36.445/52*100</f>
        <v>70.086538461538467</v>
      </c>
      <c r="AA20">
        <f t="shared" si="6"/>
        <v>1.5326923076923009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2E57-FACC-48D0-B3C2-C2D2F4644E16}">
  <dimension ref="A1:W15"/>
  <sheetViews>
    <sheetView topLeftCell="K1" workbookViewId="0">
      <selection activeCell="U1" sqref="U1:W9"/>
    </sheetView>
  </sheetViews>
  <sheetFormatPr defaultRowHeight="15"/>
  <cols>
    <col min="4" max="10" width="9.140625" customWidth="1"/>
  </cols>
  <sheetData>
    <row r="1" spans="1:23">
      <c r="A1" t="s">
        <v>20</v>
      </c>
      <c r="B1" t="s">
        <v>21</v>
      </c>
      <c r="C1" t="s">
        <v>23</v>
      </c>
      <c r="E1" t="s">
        <v>20</v>
      </c>
      <c r="F1" t="s">
        <v>21</v>
      </c>
      <c r="G1" t="s">
        <v>23</v>
      </c>
      <c r="I1" t="s">
        <v>20</v>
      </c>
      <c r="J1" t="s">
        <v>21</v>
      </c>
      <c r="K1" t="s">
        <v>23</v>
      </c>
      <c r="M1" t="s">
        <v>20</v>
      </c>
      <c r="N1" t="s">
        <v>21</v>
      </c>
      <c r="O1" t="s">
        <v>23</v>
      </c>
      <c r="Q1" t="s">
        <v>20</v>
      </c>
      <c r="R1" t="s">
        <v>21</v>
      </c>
      <c r="S1" t="s">
        <v>23</v>
      </c>
      <c r="U1" t="s">
        <v>20</v>
      </c>
      <c r="V1" t="s">
        <v>21</v>
      </c>
      <c r="W1" t="s">
        <v>23</v>
      </c>
    </row>
    <row r="2" spans="1:23">
      <c r="A2">
        <f>20.45/42*100</f>
        <v>48.69047619047619</v>
      </c>
      <c r="B2">
        <f>22.13/42*100</f>
        <v>52.69047619047619</v>
      </c>
      <c r="C2">
        <f t="shared" ref="C2:C15" si="0">B2-A2</f>
        <v>4</v>
      </c>
      <c r="E2">
        <f>37.45/44*100</f>
        <v>85.113636363636374</v>
      </c>
      <c r="F2">
        <f>39.06/44*100</f>
        <v>88.77272727272728</v>
      </c>
      <c r="G2">
        <f>F2-E2</f>
        <v>3.6590909090909065</v>
      </c>
      <c r="I2">
        <f>16.495/37*100</f>
        <v>44.581081081081088</v>
      </c>
      <c r="J2">
        <f>17.611/37*100</f>
        <v>47.597297297297295</v>
      </c>
      <c r="K2">
        <f t="shared" ref="K2:K12" si="1">J2-I2</f>
        <v>3.0162162162162076</v>
      </c>
      <c r="M2">
        <f>50.386/44*100</f>
        <v>114.51363636363637</v>
      </c>
      <c r="N2">
        <f>51.545/44*100</f>
        <v>117.14772727272728</v>
      </c>
      <c r="O2">
        <f>N2-M2</f>
        <v>2.634090909090915</v>
      </c>
      <c r="Q2">
        <f>34.368/44*100</f>
        <v>78.109090909090924</v>
      </c>
      <c r="R2">
        <f>36.076/44*100</f>
        <v>81.990909090909099</v>
      </c>
      <c r="S2">
        <f>R2-Q2</f>
        <v>3.8818181818181756</v>
      </c>
      <c r="U2">
        <f>38.032/44*100</f>
        <v>86.436363636363637</v>
      </c>
      <c r="V2">
        <f>40.249/44*100</f>
        <v>91.475000000000009</v>
      </c>
      <c r="W2">
        <f>V2-U2</f>
        <v>5.0386363636363711</v>
      </c>
    </row>
    <row r="3" spans="1:23">
      <c r="A3">
        <f>16.35/37*100</f>
        <v>44.189189189189193</v>
      </c>
      <c r="B3">
        <f>17.91/37*100</f>
        <v>48.405405405405403</v>
      </c>
      <c r="C3">
        <f t="shared" si="0"/>
        <v>4.2162162162162105</v>
      </c>
      <c r="E3">
        <f>23.3/42*100</f>
        <v>55.476190476190482</v>
      </c>
      <c r="F3">
        <f>27.02/42*100</f>
        <v>64.333333333333329</v>
      </c>
      <c r="G3">
        <f t="shared" ref="G3:G13" si="2">F3-E3</f>
        <v>8.857142857142847</v>
      </c>
      <c r="I3">
        <f>43.284/44*100</f>
        <v>98.372727272727261</v>
      </c>
      <c r="J3">
        <f>44.418/44*100</f>
        <v>100.95</v>
      </c>
      <c r="K3">
        <f t="shared" si="1"/>
        <v>2.5772727272727423</v>
      </c>
      <c r="M3">
        <f>34.942/42*100</f>
        <v>83.195238095238096</v>
      </c>
      <c r="N3">
        <f>38.335/42*100</f>
        <v>91.273809523809518</v>
      </c>
      <c r="O3">
        <f t="shared" ref="O3:O12" si="3">N3-M3</f>
        <v>8.0785714285714221</v>
      </c>
      <c r="Q3">
        <f>43.042/42*100</f>
        <v>102.48095238095239</v>
      </c>
      <c r="R3">
        <f>45.427/42*100</f>
        <v>108.1595238095238</v>
      </c>
      <c r="S3">
        <f t="shared" ref="S3:S13" si="4">R3-Q3</f>
        <v>5.6785714285714164</v>
      </c>
      <c r="U3">
        <f>22.356/37*100</f>
        <v>60.421621621621625</v>
      </c>
      <c r="V3">
        <f>23.387/37*100</f>
        <v>63.208108108108107</v>
      </c>
      <c r="W3">
        <f t="shared" ref="W3:W9" si="5">V3-U3</f>
        <v>2.7864864864864813</v>
      </c>
    </row>
    <row r="4" spans="1:23">
      <c r="A4">
        <f>38.11/44*100</f>
        <v>86.61363636363636</v>
      </c>
      <c r="B4">
        <f>39.7/44*100</f>
        <v>90.227272727272734</v>
      </c>
      <c r="C4">
        <f t="shared" si="0"/>
        <v>3.613636363636374</v>
      </c>
      <c r="E4">
        <f>16.11/37*100</f>
        <v>43.54054054054054</v>
      </c>
      <c r="F4">
        <f>18.04/37*100</f>
        <v>48.756756756756751</v>
      </c>
      <c r="G4">
        <f t="shared" si="2"/>
        <v>5.2162162162162105</v>
      </c>
      <c r="I4">
        <f>16.197/41*100</f>
        <v>39.504878048780483</v>
      </c>
      <c r="J4">
        <f>18.322/41*100</f>
        <v>44.687804878048773</v>
      </c>
      <c r="K4">
        <f t="shared" si="1"/>
        <v>5.1829268292682897</v>
      </c>
      <c r="M4">
        <f>37.113/37*100</f>
        <v>100.30540540540539</v>
      </c>
      <c r="N4">
        <f>37.781/37*100</f>
        <v>102.11081081081082</v>
      </c>
      <c r="O4">
        <f t="shared" si="3"/>
        <v>1.8054054054054234</v>
      </c>
      <c r="Q4">
        <f>37.734/37*100</f>
        <v>101.98378378378379</v>
      </c>
      <c r="R4">
        <f>40.942/37*100</f>
        <v>110.65405405405406</v>
      </c>
      <c r="S4">
        <f t="shared" si="4"/>
        <v>8.6702702702702652</v>
      </c>
      <c r="U4">
        <f>38.743/44*100</f>
        <v>88.052272727272722</v>
      </c>
      <c r="V4">
        <f>41.097/44*100</f>
        <v>93.402272727272731</v>
      </c>
      <c r="W4">
        <f t="shared" si="5"/>
        <v>5.3500000000000085</v>
      </c>
    </row>
    <row r="5" spans="1:23">
      <c r="A5">
        <f>39.84/41*100</f>
        <v>97.170731707317088</v>
      </c>
      <c r="B5">
        <f>41.53/41*100</f>
        <v>101.29268292682927</v>
      </c>
      <c r="C5">
        <f t="shared" si="0"/>
        <v>4.1219512195121837</v>
      </c>
      <c r="E5">
        <f>39.49/44*100</f>
        <v>89.750000000000014</v>
      </c>
      <c r="F5">
        <f>45.02/44*100</f>
        <v>102.31818181818181</v>
      </c>
      <c r="G5">
        <f t="shared" si="2"/>
        <v>12.568181818181799</v>
      </c>
      <c r="I5">
        <f>25.822/44*100</f>
        <v>58.686363636363637</v>
      </c>
      <c r="J5">
        <f>26.81/44*100</f>
        <v>60.931818181818173</v>
      </c>
      <c r="K5">
        <f t="shared" si="1"/>
        <v>2.2454545454545354</v>
      </c>
      <c r="M5">
        <f>45.681/44*100</f>
        <v>103.82045454545454</v>
      </c>
      <c r="N5">
        <f>46.828/44*100</f>
        <v>106.42727272727272</v>
      </c>
      <c r="O5">
        <f t="shared" si="3"/>
        <v>2.6068181818181841</v>
      </c>
      <c r="Q5">
        <f>41.254/41*100</f>
        <v>100.61951219512196</v>
      </c>
      <c r="R5">
        <f>41.805/41*100</f>
        <v>101.96341463414633</v>
      </c>
      <c r="S5">
        <f t="shared" si="4"/>
        <v>1.3439024390243759</v>
      </c>
      <c r="U5">
        <f>47.309/47*100</f>
        <v>100.65744680851063</v>
      </c>
      <c r="V5">
        <f>48.541/47*100</f>
        <v>103.2787234042553</v>
      </c>
      <c r="W5">
        <f t="shared" si="5"/>
        <v>2.6212765957446749</v>
      </c>
    </row>
    <row r="6" spans="1:23">
      <c r="A6">
        <f>16.8/44*100</f>
        <v>38.181818181818187</v>
      </c>
      <c r="B6">
        <f>18.84/44*100</f>
        <v>42.818181818181813</v>
      </c>
      <c r="C6">
        <f t="shared" si="0"/>
        <v>4.636363636363626</v>
      </c>
      <c r="E6">
        <f>32.9/47*100</f>
        <v>70</v>
      </c>
      <c r="F6">
        <f>34.96/47*100</f>
        <v>74.382978723404264</v>
      </c>
      <c r="G6">
        <f t="shared" si="2"/>
        <v>4.3829787234042641</v>
      </c>
      <c r="I6">
        <f>21.224/51*100</f>
        <v>41.615686274509805</v>
      </c>
      <c r="J6">
        <f>21.837/51*100</f>
        <v>42.817647058823525</v>
      </c>
      <c r="K6">
        <f t="shared" si="1"/>
        <v>1.2019607843137194</v>
      </c>
      <c r="M6">
        <f>43.757/41*100</f>
        <v>106.72439024390243</v>
      </c>
      <c r="N6">
        <f>45.111/41*100</f>
        <v>110.02682926829269</v>
      </c>
      <c r="O6">
        <f t="shared" si="3"/>
        <v>3.3024390243902531</v>
      </c>
      <c r="Q6">
        <f>43.083/44*100</f>
        <v>97.915909090909096</v>
      </c>
      <c r="R6">
        <f>44.526/44*100</f>
        <v>101.19545454545455</v>
      </c>
      <c r="S6">
        <f t="shared" si="4"/>
        <v>3.2795454545454561</v>
      </c>
      <c r="U6">
        <f>31.857/44*100</f>
        <v>72.402272727272717</v>
      </c>
      <c r="V6">
        <f>33.181/44*100</f>
        <v>75.411363636363632</v>
      </c>
      <c r="W6">
        <f t="shared" si="5"/>
        <v>3.009090909090915</v>
      </c>
    </row>
    <row r="7" spans="1:23">
      <c r="A7">
        <f>20.39/51*100</f>
        <v>39.980392156862749</v>
      </c>
      <c r="B7">
        <f>21.63/51*100</f>
        <v>42.411764705882348</v>
      </c>
      <c r="C7">
        <f t="shared" si="0"/>
        <v>2.4313725490195992</v>
      </c>
      <c r="E7">
        <f>17.76/41*100</f>
        <v>43.31707317073171</v>
      </c>
      <c r="F7">
        <f>19.05/41*100</f>
        <v>46.463414634146346</v>
      </c>
      <c r="G7">
        <f t="shared" si="2"/>
        <v>3.1463414634146361</v>
      </c>
      <c r="I7">
        <f>39.737/49*100</f>
        <v>81.09591836734694</v>
      </c>
      <c r="J7">
        <f>40.999/49*100</f>
        <v>83.671428571428578</v>
      </c>
      <c r="K7">
        <f t="shared" si="1"/>
        <v>2.5755102040816382</v>
      </c>
      <c r="M7">
        <f>33.362/44*100</f>
        <v>75.822727272727278</v>
      </c>
      <c r="N7">
        <f>34.274/44*100</f>
        <v>77.895454545454541</v>
      </c>
      <c r="O7">
        <f t="shared" si="3"/>
        <v>2.0727272727272634</v>
      </c>
      <c r="Q7">
        <f>44.56/49*100</f>
        <v>90.938775510204081</v>
      </c>
      <c r="R7">
        <f>47.827/49*100</f>
        <v>97.60612244897959</v>
      </c>
      <c r="S7">
        <f t="shared" si="4"/>
        <v>6.6673469387755091</v>
      </c>
      <c r="U7">
        <f>49.434/49*100</f>
        <v>100.88571428571429</v>
      </c>
      <c r="V7">
        <f>51.001/49*100</f>
        <v>104.08367346938776</v>
      </c>
      <c r="W7">
        <f t="shared" si="5"/>
        <v>3.1979591836734755</v>
      </c>
    </row>
    <row r="8" spans="1:23">
      <c r="A8">
        <f>26.76/49*100</f>
        <v>54.612244897959187</v>
      </c>
      <c r="B8">
        <f>31.56/49*100</f>
        <v>64.408163265306115</v>
      </c>
      <c r="C8">
        <f t="shared" si="0"/>
        <v>9.7959183673469283</v>
      </c>
      <c r="E8">
        <f>24.45/44*100</f>
        <v>55.568181818181813</v>
      </c>
      <c r="F8">
        <f>25.88/44*100</f>
        <v>58.818181818181813</v>
      </c>
      <c r="G8">
        <f t="shared" si="2"/>
        <v>3.25</v>
      </c>
      <c r="I8">
        <f>38.312/44*100</f>
        <v>87.072727272727263</v>
      </c>
      <c r="J8">
        <f>41.189/44*100</f>
        <v>93.611363636363635</v>
      </c>
      <c r="K8">
        <f t="shared" si="1"/>
        <v>6.5386363636363711</v>
      </c>
      <c r="M8">
        <f>50.667/51*100</f>
        <v>99.347058823529409</v>
      </c>
      <c r="N8">
        <f>52.034/51*100</f>
        <v>102.02745098039216</v>
      </c>
      <c r="O8">
        <f t="shared" si="3"/>
        <v>2.6803921568627516</v>
      </c>
      <c r="Q8">
        <f>48.961/51*100</f>
        <v>96.001960784313724</v>
      </c>
      <c r="R8" s="1">
        <f>54.67/51*100</f>
        <v>107.19607843137256</v>
      </c>
      <c r="S8">
        <f t="shared" si="4"/>
        <v>11.194117647058832</v>
      </c>
      <c r="U8">
        <f>37.448/44*100</f>
        <v>85.109090909090909</v>
      </c>
      <c r="V8">
        <f>43.731/44*100</f>
        <v>99.388636363636365</v>
      </c>
      <c r="W8">
        <f t="shared" si="5"/>
        <v>14.279545454545456</v>
      </c>
    </row>
    <row r="9" spans="1:23">
      <c r="A9">
        <f>31.81/51*100</f>
        <v>62.372549019607838</v>
      </c>
      <c r="B9">
        <f>33.5/51*100</f>
        <v>65.686274509803923</v>
      </c>
      <c r="C9">
        <f t="shared" si="0"/>
        <v>3.3137254901960844</v>
      </c>
      <c r="E9">
        <f>36.42/51*100</f>
        <v>71.411764705882348</v>
      </c>
      <c r="F9">
        <f>37.44/51*100</f>
        <v>73.411764705882348</v>
      </c>
      <c r="G9">
        <f t="shared" si="2"/>
        <v>2</v>
      </c>
      <c r="I9">
        <f>17.764/47*100</f>
        <v>37.795744680851065</v>
      </c>
      <c r="J9">
        <f>18.554/47*100</f>
        <v>39.47659574468085</v>
      </c>
      <c r="K9">
        <f t="shared" si="1"/>
        <v>1.6808510638297847</v>
      </c>
      <c r="M9">
        <f>44.742/44*100</f>
        <v>101.68636363636364</v>
      </c>
      <c r="N9">
        <f>45.312/44*100</f>
        <v>102.98181818181817</v>
      </c>
      <c r="O9">
        <f t="shared" si="3"/>
        <v>1.2954545454545325</v>
      </c>
      <c r="Q9">
        <f>31.531/44*100</f>
        <v>71.661363636363632</v>
      </c>
      <c r="R9">
        <f>33.047/44*100</f>
        <v>75.106818181818184</v>
      </c>
      <c r="S9">
        <f t="shared" si="4"/>
        <v>3.4454545454545524</v>
      </c>
      <c r="U9">
        <f>44.898/45*100</f>
        <v>99.773333333333341</v>
      </c>
      <c r="V9">
        <f>46.186/45*100</f>
        <v>102.63555555555554</v>
      </c>
      <c r="W9">
        <f t="shared" si="5"/>
        <v>2.8622222222222007</v>
      </c>
    </row>
    <row r="10" spans="1:23">
      <c r="A10">
        <f>28.91/44*100</f>
        <v>65.704545454545453</v>
      </c>
      <c r="B10">
        <f>30.6/44*100</f>
        <v>69.545454545454547</v>
      </c>
      <c r="C10">
        <f t="shared" si="0"/>
        <v>3.8409090909090935</v>
      </c>
      <c r="E10">
        <f>46.95/47*100</f>
        <v>99.893617021276597</v>
      </c>
      <c r="F10">
        <f>48.22/47*100</f>
        <v>102.59574468085107</v>
      </c>
      <c r="G10">
        <f t="shared" si="2"/>
        <v>2.7021276595744723</v>
      </c>
      <c r="I10">
        <f>48.164/49*100</f>
        <v>98.293877551020415</v>
      </c>
      <c r="J10">
        <f>49.425/49*100</f>
        <v>100.8673469387755</v>
      </c>
      <c r="K10">
        <f t="shared" si="1"/>
        <v>2.5734693877550825</v>
      </c>
      <c r="M10">
        <f>49.275/49*100</f>
        <v>100.56122448979592</v>
      </c>
      <c r="N10">
        <f>51.395/49*100</f>
        <v>104.88775510204083</v>
      </c>
      <c r="O10">
        <f t="shared" si="3"/>
        <v>4.326530612244909</v>
      </c>
      <c r="Q10">
        <f>44.753/44*100</f>
        <v>101.71136363636364</v>
      </c>
      <c r="R10">
        <f>46.657/44*100</f>
        <v>106.03863636363636</v>
      </c>
      <c r="S10">
        <f t="shared" si="4"/>
        <v>4.3272727272727138</v>
      </c>
    </row>
    <row r="11" spans="1:23">
      <c r="A11">
        <f>28.92/49*100</f>
        <v>59.020408163265316</v>
      </c>
      <c r="B11">
        <f>31.23/49*100</f>
        <v>63.734693877551017</v>
      </c>
      <c r="C11">
        <f t="shared" si="0"/>
        <v>4.7142857142857011</v>
      </c>
      <c r="E11">
        <f>42.18/49*100</f>
        <v>86.08163265306122</v>
      </c>
      <c r="F11">
        <f>43.43/49*100</f>
        <v>88.632653061224488</v>
      </c>
      <c r="G11">
        <f t="shared" si="2"/>
        <v>2.5510204081632679</v>
      </c>
      <c r="I11">
        <f>47.422/47*100</f>
        <v>100.89787234042554</v>
      </c>
      <c r="J11">
        <f>50.526/47*100</f>
        <v>107.50212765957447</v>
      </c>
      <c r="K11">
        <f t="shared" si="1"/>
        <v>6.6042553191489333</v>
      </c>
      <c r="M11">
        <f>57.118/47*100</f>
        <v>121.52765957446809</v>
      </c>
      <c r="N11">
        <f>59.317/47*100</f>
        <v>126.2063829787234</v>
      </c>
      <c r="O11">
        <f t="shared" si="3"/>
        <v>4.6787234042553081</v>
      </c>
      <c r="Q11">
        <f>47.571/49*100</f>
        <v>97.083673469387747</v>
      </c>
      <c r="R11">
        <f>48.974/49*100</f>
        <v>99.946938775510191</v>
      </c>
      <c r="S11">
        <f t="shared" si="4"/>
        <v>2.8632653061224431</v>
      </c>
    </row>
    <row r="12" spans="1:23">
      <c r="A12">
        <f>30.71/47*100</f>
        <v>65.340425531914889</v>
      </c>
      <c r="B12">
        <f>33.09/47*100</f>
        <v>70.404255319148945</v>
      </c>
      <c r="C12">
        <f t="shared" si="0"/>
        <v>5.0638297872340559</v>
      </c>
      <c r="E12">
        <f>25.43/45*100</f>
        <v>56.511111111111113</v>
      </c>
      <c r="F12">
        <f>26.86/45*100</f>
        <v>59.68888888888889</v>
      </c>
      <c r="G12">
        <f t="shared" si="2"/>
        <v>3.1777777777777771</v>
      </c>
      <c r="I12">
        <f>28.325/45*100</f>
        <v>62.94444444444445</v>
      </c>
      <c r="J12">
        <f>29.718/45*100</f>
        <v>66.039999999999992</v>
      </c>
      <c r="K12">
        <f t="shared" si="1"/>
        <v>3.0955555555555421</v>
      </c>
      <c r="M12">
        <f>45.8/45*100</f>
        <v>101.77777777777777</v>
      </c>
      <c r="N12">
        <f>47.283/45*100</f>
        <v>105.07333333333332</v>
      </c>
      <c r="O12">
        <f t="shared" si="3"/>
        <v>3.295555555555552</v>
      </c>
      <c r="Q12">
        <f>26.897/47*100</f>
        <v>57.227659574468085</v>
      </c>
      <c r="R12">
        <f>30.614/47*100</f>
        <v>65.136170212765947</v>
      </c>
      <c r="S12">
        <f t="shared" si="4"/>
        <v>7.9085106382978623</v>
      </c>
    </row>
    <row r="13" spans="1:23">
      <c r="A13">
        <f>28.3/48*100</f>
        <v>58.958333333333336</v>
      </c>
      <c r="B13">
        <f>31.78/48*100</f>
        <v>66.208333333333343</v>
      </c>
      <c r="C13">
        <f t="shared" si="0"/>
        <v>7.2500000000000071</v>
      </c>
      <c r="E13">
        <f>47.68/52*100</f>
        <v>91.692307692307693</v>
      </c>
      <c r="F13">
        <f>48.92/52*100</f>
        <v>94.07692307692308</v>
      </c>
      <c r="G13">
        <f t="shared" si="2"/>
        <v>2.3846153846153868</v>
      </c>
      <c r="Q13">
        <f>33.947/45*100</f>
        <v>75.437777777777782</v>
      </c>
      <c r="R13">
        <f>37.181/45*100</f>
        <v>82.624444444444435</v>
      </c>
      <c r="S13">
        <f t="shared" si="4"/>
        <v>7.1866666666666532</v>
      </c>
    </row>
    <row r="14" spans="1:23">
      <c r="A14">
        <f>28.03/45*100</f>
        <v>62.288888888888891</v>
      </c>
      <c r="B14">
        <f>30.05/45*100</f>
        <v>66.777777777777786</v>
      </c>
      <c r="C14">
        <f t="shared" si="0"/>
        <v>4.4888888888888943</v>
      </c>
    </row>
    <row r="15" spans="1:23">
      <c r="A15">
        <f>32.31/52*100</f>
        <v>62.134615384615387</v>
      </c>
      <c r="B15">
        <f>35.38/52*100</f>
        <v>68.038461538461547</v>
      </c>
      <c r="C15">
        <f t="shared" si="0"/>
        <v>5.9038461538461604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02F40-41BC-4F01-BA44-CFEF40AF4A06}">
  <dimension ref="A1:S14"/>
  <sheetViews>
    <sheetView workbookViewId="0">
      <selection activeCell="G14" sqref="E1:G14"/>
    </sheetView>
  </sheetViews>
  <sheetFormatPr defaultRowHeight="15"/>
  <sheetData>
    <row r="1" spans="1:19">
      <c r="A1" t="s">
        <v>20</v>
      </c>
      <c r="B1" t="s">
        <v>21</v>
      </c>
      <c r="C1" t="s">
        <v>23</v>
      </c>
      <c r="E1" t="s">
        <v>20</v>
      </c>
      <c r="F1" t="s">
        <v>21</v>
      </c>
      <c r="G1" t="s">
        <v>23</v>
      </c>
      <c r="I1" t="s">
        <v>20</v>
      </c>
      <c r="J1" t="s">
        <v>21</v>
      </c>
      <c r="K1" t="s">
        <v>23</v>
      </c>
      <c r="M1" t="s">
        <v>20</v>
      </c>
      <c r="N1" t="s">
        <v>21</v>
      </c>
      <c r="O1" t="s">
        <v>23</v>
      </c>
      <c r="Q1" t="s">
        <v>20</v>
      </c>
      <c r="R1" t="s">
        <v>21</v>
      </c>
      <c r="S1" t="s">
        <v>23</v>
      </c>
    </row>
    <row r="2" spans="1:19">
      <c r="A2" s="1">
        <f>48.727/42*100</f>
        <v>116.01666666666665</v>
      </c>
      <c r="B2">
        <f>54.286/42*100</f>
        <v>129.25238095238097</v>
      </c>
      <c r="C2">
        <f t="shared" ref="C2:C4" si="0">B2-A2</f>
        <v>13.235714285714323</v>
      </c>
      <c r="E2">
        <f>38.792/44*100</f>
        <v>88.163636363636371</v>
      </c>
      <c r="F2">
        <f>41.685/44*100</f>
        <v>94.73863636363636</v>
      </c>
      <c r="G2">
        <f>F2-E2</f>
        <v>6.5749999999999886</v>
      </c>
      <c r="I2">
        <f>44.202/41*100</f>
        <v>107.80975609756096</v>
      </c>
      <c r="J2">
        <f>46.475/41*100</f>
        <v>113.35365853658537</v>
      </c>
      <c r="K2">
        <f t="shared" ref="K2:K7" si="1">J2-I2</f>
        <v>5.5439024390244072</v>
      </c>
      <c r="M2">
        <f>43.936/37*100</f>
        <v>118.74594594594595</v>
      </c>
      <c r="N2">
        <f>45.711/37*100</f>
        <v>123.54324324324324</v>
      </c>
      <c r="O2">
        <f t="shared" ref="O2:O10" si="2">N2-M2</f>
        <v>4.7972972972972912</v>
      </c>
      <c r="Q2">
        <f>37.918/37*100</f>
        <v>102.48108108108107</v>
      </c>
      <c r="R2">
        <f>39.619/37*100</f>
        <v>107.07837837837837</v>
      </c>
      <c r="S2">
        <f t="shared" ref="S2:S5" si="3">R2-Q2</f>
        <v>4.5972972972973025</v>
      </c>
    </row>
    <row r="3" spans="1:19">
      <c r="A3">
        <f>37.323/37*100</f>
        <v>100.87297297297297</v>
      </c>
      <c r="B3">
        <f>38.614/37*100</f>
        <v>104.36216216216216</v>
      </c>
      <c r="C3">
        <f t="shared" si="0"/>
        <v>3.4891891891891902</v>
      </c>
      <c r="E3">
        <f>25.834/42*100</f>
        <v>61.509523809523813</v>
      </c>
      <c r="F3">
        <f>28.438/42*100</f>
        <v>67.709523809523802</v>
      </c>
      <c r="G3">
        <f t="shared" ref="G3:G14" si="4">F3-E3</f>
        <v>6.1999999999999886</v>
      </c>
      <c r="I3">
        <f>6.412/44*100</f>
        <v>14.572727272727274</v>
      </c>
      <c r="J3">
        <f>16.146/44*100</f>
        <v>36.695454545454545</v>
      </c>
      <c r="K3">
        <f t="shared" si="1"/>
        <v>22.122727272727271</v>
      </c>
      <c r="M3">
        <f>44.789/47*100</f>
        <v>95.295744680851072</v>
      </c>
      <c r="N3">
        <f>46.547/47*100</f>
        <v>99.036170212765953</v>
      </c>
      <c r="O3">
        <f t="shared" si="2"/>
        <v>3.7404255319148803</v>
      </c>
      <c r="Q3">
        <f>45.214/44*100</f>
        <v>102.7590909090909</v>
      </c>
      <c r="R3">
        <f>58.271/44*100</f>
        <v>132.43409090909091</v>
      </c>
      <c r="S3">
        <f t="shared" si="3"/>
        <v>29.675000000000011</v>
      </c>
    </row>
    <row r="4" spans="1:19">
      <c r="A4">
        <f>45.85/48*100</f>
        <v>95.520833333333329</v>
      </c>
      <c r="B4">
        <f>46.926/48*100</f>
        <v>97.762500000000003</v>
      </c>
      <c r="C4">
        <f t="shared" si="0"/>
        <v>2.2416666666666742</v>
      </c>
      <c r="E4">
        <f>22.423/37*100</f>
        <v>60.602702702702693</v>
      </c>
      <c r="F4">
        <f>24.154/37*100</f>
        <v>65.281081081081084</v>
      </c>
      <c r="G4">
        <f t="shared" si="4"/>
        <v>4.6783783783783903</v>
      </c>
      <c r="I4">
        <f>47.59/44*100</f>
        <v>108.15909090909092</v>
      </c>
      <c r="J4">
        <f>49.26/44*100</f>
        <v>111.95454545454544</v>
      </c>
      <c r="K4">
        <f t="shared" si="1"/>
        <v>3.7954545454545183</v>
      </c>
      <c r="M4">
        <f>41.632/41*100</f>
        <v>101.54146341463415</v>
      </c>
      <c r="N4">
        <f>43.092/41*100</f>
        <v>105.10243902439025</v>
      </c>
      <c r="O4">
        <f t="shared" si="2"/>
        <v>3.5609756097560989</v>
      </c>
      <c r="Q4">
        <f>43.801/44*100</f>
        <v>99.547727272727286</v>
      </c>
      <c r="R4">
        <f>45.53/44*100</f>
        <v>103.47727272727273</v>
      </c>
      <c r="S4">
        <f t="shared" si="3"/>
        <v>3.9295454545454476</v>
      </c>
    </row>
    <row r="5" spans="1:19">
      <c r="E5">
        <f>43.867/44*100</f>
        <v>99.697727272727263</v>
      </c>
      <c r="F5">
        <f>45.187/44*100</f>
        <v>102.69772727272726</v>
      </c>
      <c r="G5">
        <f t="shared" si="4"/>
        <v>3</v>
      </c>
      <c r="I5">
        <f>55.565/44*100</f>
        <v>126.28409090909089</v>
      </c>
      <c r="J5">
        <f>57.568/44*100</f>
        <v>130.83636363636364</v>
      </c>
      <c r="K5">
        <f t="shared" si="1"/>
        <v>4.5522727272727508</v>
      </c>
      <c r="M5">
        <f>45.242/49*100</f>
        <v>92.330612244897964</v>
      </c>
      <c r="N5">
        <f>47.171/49*100</f>
        <v>96.267346938775518</v>
      </c>
      <c r="O5">
        <f t="shared" si="2"/>
        <v>3.936734693877554</v>
      </c>
      <c r="Q5">
        <f>48.37/47*100</f>
        <v>102.91489361702126</v>
      </c>
      <c r="R5">
        <f>58.862/47*100</f>
        <v>125.23829787234042</v>
      </c>
      <c r="S5">
        <f t="shared" si="3"/>
        <v>22.323404255319161</v>
      </c>
    </row>
    <row r="6" spans="1:19">
      <c r="E6">
        <f>48.064/47*100</f>
        <v>102.26382978723404</v>
      </c>
      <c r="F6">
        <f>49.745/47*100</f>
        <v>105.84042553191489</v>
      </c>
      <c r="G6">
        <f t="shared" si="4"/>
        <v>3.5765957446808443</v>
      </c>
      <c r="I6">
        <f>57.888/49*100</f>
        <v>118.13877551020408</v>
      </c>
      <c r="J6">
        <f>59.351/49*100</f>
        <v>121.12448979591836</v>
      </c>
      <c r="K6">
        <f t="shared" si="1"/>
        <v>2.9857142857142804</v>
      </c>
      <c r="M6">
        <f>33.372/44*100</f>
        <v>75.845454545454544</v>
      </c>
      <c r="N6">
        <f>34.462/44*100</f>
        <v>78.322727272727278</v>
      </c>
      <c r="O6">
        <f t="shared" si="2"/>
        <v>2.4772727272727337</v>
      </c>
    </row>
    <row r="7" spans="1:19">
      <c r="E7">
        <f>36.863/41*100</f>
        <v>89.909756097560972</v>
      </c>
      <c r="F7">
        <f>37.605/41*100</f>
        <v>91.719512195121951</v>
      </c>
      <c r="G7">
        <f t="shared" si="4"/>
        <v>1.8097560975609781</v>
      </c>
      <c r="I7">
        <f>57.903/45*100</f>
        <v>128.67333333333332</v>
      </c>
      <c r="J7">
        <f>59.383/45*100</f>
        <v>131.96222222222224</v>
      </c>
      <c r="K7">
        <f t="shared" si="1"/>
        <v>3.2888888888889198</v>
      </c>
      <c r="M7">
        <f>48.3/47*100</f>
        <v>102.7659574468085</v>
      </c>
      <c r="N7">
        <f>49.55/47*100</f>
        <v>105.42553191489361</v>
      </c>
      <c r="O7">
        <f t="shared" si="2"/>
        <v>2.6595744680851112</v>
      </c>
    </row>
    <row r="8" spans="1:19">
      <c r="E8">
        <f>33.73/44*100</f>
        <v>76.659090909090892</v>
      </c>
      <c r="F8">
        <f>34.385/44*100</f>
        <v>78.147727272727266</v>
      </c>
      <c r="G8">
        <f t="shared" si="4"/>
        <v>1.488636363636374</v>
      </c>
      <c r="M8">
        <f>50.289/49*100</f>
        <v>102.63061224489796</v>
      </c>
      <c r="N8">
        <f>51.418/49*100</f>
        <v>104.93469387755101</v>
      </c>
      <c r="O8">
        <f t="shared" si="2"/>
        <v>2.3040816326530518</v>
      </c>
    </row>
    <row r="9" spans="1:19">
      <c r="E9">
        <f>46.876/51*100</f>
        <v>91.913725490196072</v>
      </c>
      <c r="F9">
        <f>48.276/51*100</f>
        <v>94.658823529411777</v>
      </c>
      <c r="G9">
        <f t="shared" si="4"/>
        <v>2.7450980392157049</v>
      </c>
      <c r="M9">
        <f>27.221/47*100</f>
        <v>57.917021276595747</v>
      </c>
      <c r="N9">
        <f>28.914/47*100</f>
        <v>61.519148936170218</v>
      </c>
      <c r="O9">
        <f t="shared" si="2"/>
        <v>3.6021276595744709</v>
      </c>
    </row>
    <row r="10" spans="1:19">
      <c r="E10">
        <f>48.995/51*100</f>
        <v>96.068627450980387</v>
      </c>
      <c r="F10">
        <f>49.597/51*100</f>
        <v>97.249019607843138</v>
      </c>
      <c r="G10">
        <f t="shared" si="4"/>
        <v>1.1803921568627516</v>
      </c>
      <c r="M10">
        <f>45.862/45*100</f>
        <v>101.91555555555556</v>
      </c>
      <c r="N10">
        <f>47.802/45*100</f>
        <v>106.22666666666667</v>
      </c>
      <c r="O10">
        <f t="shared" si="2"/>
        <v>4.3111111111111171</v>
      </c>
    </row>
    <row r="11" spans="1:19">
      <c r="E11">
        <f>27.026/44*100</f>
        <v>61.422727272727272</v>
      </c>
      <c r="F11">
        <f>27.628/44*100</f>
        <v>62.790909090909089</v>
      </c>
      <c r="G11">
        <f t="shared" si="4"/>
        <v>1.3681818181818173</v>
      </c>
    </row>
    <row r="12" spans="1:19">
      <c r="E12">
        <f>41.644/49*100</f>
        <v>84.987755102040822</v>
      </c>
      <c r="F12">
        <f>43.256/49*100</f>
        <v>88.277551020408168</v>
      </c>
      <c r="G12">
        <f t="shared" si="4"/>
        <v>3.2897959183673464</v>
      </c>
    </row>
    <row r="13" spans="1:19">
      <c r="E13">
        <f>26.337/47*100</f>
        <v>56.03617021276596</v>
      </c>
      <c r="F13">
        <f>27.002/47*100</f>
        <v>57.45106382978723</v>
      </c>
      <c r="G13">
        <f t="shared" si="4"/>
        <v>1.4148936170212707</v>
      </c>
    </row>
    <row r="14" spans="1:19">
      <c r="E14">
        <f>26.138/45*100</f>
        <v>58.084444444444451</v>
      </c>
      <c r="F14">
        <f>26.816/45*100</f>
        <v>59.591111111111104</v>
      </c>
      <c r="G14">
        <f t="shared" si="4"/>
        <v>1.5066666666666535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B24F9-0BE6-4403-967F-BDF70C6965BD}">
  <dimension ref="A1:L16"/>
  <sheetViews>
    <sheetView workbookViewId="0">
      <selection activeCell="N12" sqref="N12"/>
    </sheetView>
  </sheetViews>
  <sheetFormatPr defaultRowHeight="15"/>
  <sheetData>
    <row r="1" spans="1:12">
      <c r="B1" t="s">
        <v>20</v>
      </c>
      <c r="C1" t="s">
        <v>21</v>
      </c>
      <c r="D1" t="s">
        <v>23</v>
      </c>
      <c r="F1" t="s">
        <v>20</v>
      </c>
      <c r="G1" t="s">
        <v>21</v>
      </c>
      <c r="H1" t="s">
        <v>23</v>
      </c>
      <c r="J1" t="s">
        <v>20</v>
      </c>
      <c r="K1" t="s">
        <v>21</v>
      </c>
      <c r="L1" t="s">
        <v>23</v>
      </c>
    </row>
    <row r="2" spans="1:12">
      <c r="B2">
        <f>36.08/44*100</f>
        <v>82</v>
      </c>
      <c r="C2">
        <f>38.55/44*100</f>
        <v>87.61363636363636</v>
      </c>
      <c r="D2">
        <f>C2-B2</f>
        <v>5.6136363636363598</v>
      </c>
      <c r="F2">
        <f>42.516/44*100</f>
        <v>96.627272727272725</v>
      </c>
      <c r="G2">
        <f>44.015/44*100</f>
        <v>100.03409090909091</v>
      </c>
      <c r="H2">
        <f>G2-F2</f>
        <v>3.4068181818181813</v>
      </c>
      <c r="J2">
        <f>38.514/44*100</f>
        <v>87.531818181818181</v>
      </c>
      <c r="K2">
        <f>39.905/44*100</f>
        <v>90.693181818181827</v>
      </c>
      <c r="L2">
        <f>K2-J2</f>
        <v>3.1613636363636459</v>
      </c>
    </row>
    <row r="3" spans="1:12">
      <c r="B3">
        <f>41.84/42*100</f>
        <v>99.619047619047635</v>
      </c>
      <c r="C3">
        <f>42.9/42*100</f>
        <v>102.14285714285714</v>
      </c>
      <c r="D3">
        <f t="shared" ref="D3:D15" si="0">C3-B3</f>
        <v>2.5238095238095042</v>
      </c>
      <c r="F3">
        <f>21.869/42*100</f>
        <v>52.069047619047616</v>
      </c>
      <c r="G3">
        <f>23.606/42*100</f>
        <v>56.204761904761909</v>
      </c>
      <c r="H3">
        <f t="shared" ref="H3:H15" si="1">G3-F3</f>
        <v>4.1357142857142932</v>
      </c>
      <c r="J3">
        <f>35.444/42*100</f>
        <v>84.390476190476193</v>
      </c>
      <c r="K3">
        <f>36.37/42*100</f>
        <v>86.595238095238088</v>
      </c>
      <c r="L3">
        <f t="shared" ref="L3:L16" si="2">K3-J3</f>
        <v>2.2047619047618952</v>
      </c>
    </row>
    <row r="4" spans="1:12">
      <c r="B4">
        <f>37.66/37*100</f>
        <v>101.78378378378376</v>
      </c>
      <c r="C4">
        <f>38.93/37*100</f>
        <v>105.21621621621622</v>
      </c>
      <c r="D4">
        <f t="shared" si="0"/>
        <v>3.4324324324324635</v>
      </c>
      <c r="F4">
        <f>16.832/37*100</f>
        <v>45.491891891891896</v>
      </c>
      <c r="G4">
        <f>18.036/37*100</f>
        <v>48.745945945945948</v>
      </c>
      <c r="H4">
        <f t="shared" si="1"/>
        <v>3.2540540540540519</v>
      </c>
      <c r="J4" s="1">
        <f>36.267/37*100</f>
        <v>98.018918918918928</v>
      </c>
      <c r="K4">
        <f>37.188/37*100</f>
        <v>100.5081081081081</v>
      </c>
      <c r="L4">
        <f t="shared" si="2"/>
        <v>2.489189189189176</v>
      </c>
    </row>
    <row r="5" spans="1:12">
      <c r="B5">
        <f>42.98/44*100</f>
        <v>97.681818181818173</v>
      </c>
      <c r="C5">
        <f>43.86/44*100</f>
        <v>99.681818181818187</v>
      </c>
      <c r="D5">
        <f t="shared" si="0"/>
        <v>2.0000000000000142</v>
      </c>
      <c r="F5">
        <f>14.568/44*100</f>
        <v>33.109090909090909</v>
      </c>
      <c r="G5">
        <f>15.633/44*100</f>
        <v>35.529545454545456</v>
      </c>
      <c r="H5">
        <f t="shared" si="1"/>
        <v>2.4204545454545467</v>
      </c>
      <c r="J5">
        <f>43.94/44*100</f>
        <v>99.86363636363636</v>
      </c>
      <c r="K5">
        <f>44.888/44*100</f>
        <v>102.0181818181818</v>
      </c>
      <c r="L5">
        <f t="shared" si="2"/>
        <v>2.1545454545454419</v>
      </c>
    </row>
    <row r="6" spans="1:12">
      <c r="B6">
        <f>48.23/47*100</f>
        <v>102.61702127659574</v>
      </c>
      <c r="C6">
        <f>49.26/47*100</f>
        <v>104.80851063829786</v>
      </c>
      <c r="D6">
        <f t="shared" si="0"/>
        <v>2.1914893617021249</v>
      </c>
      <c r="F6">
        <f>28.738/47*100</f>
        <v>61.144680851063825</v>
      </c>
      <c r="G6">
        <f>33.541/47*100</f>
        <v>71.363829787234039</v>
      </c>
      <c r="H6">
        <f t="shared" si="1"/>
        <v>10.219148936170214</v>
      </c>
      <c r="J6">
        <f>48.375/47*100</f>
        <v>102.92553191489363</v>
      </c>
      <c r="K6">
        <f>49.826/47*100</f>
        <v>106.01276595744682</v>
      </c>
      <c r="L6">
        <f t="shared" si="2"/>
        <v>3.0872340425531917</v>
      </c>
    </row>
    <row r="7" spans="1:12">
      <c r="B7">
        <f>27.75/41*100</f>
        <v>67.682926829268297</v>
      </c>
      <c r="C7">
        <f>28.48/41*100</f>
        <v>69.463414634146346</v>
      </c>
      <c r="D7">
        <f t="shared" si="0"/>
        <v>1.7804878048780495</v>
      </c>
      <c r="F7">
        <f>41.674/41*100</f>
        <v>101.64390243902439</v>
      </c>
      <c r="G7">
        <f>42.56/41*100</f>
        <v>103.80487804878049</v>
      </c>
      <c r="H7">
        <f t="shared" si="1"/>
        <v>2.1609756097561075</v>
      </c>
      <c r="J7">
        <f>22.279/41*100</f>
        <v>54.339024390243907</v>
      </c>
      <c r="K7">
        <f>23.142/41*100</f>
        <v>56.443902439024384</v>
      </c>
      <c r="L7">
        <f t="shared" si="2"/>
        <v>2.1048780487804777</v>
      </c>
    </row>
    <row r="8" spans="1:12">
      <c r="B8">
        <f>31.05/44*100</f>
        <v>70.568181818181813</v>
      </c>
      <c r="C8">
        <f>33/44*100</f>
        <v>75</v>
      </c>
      <c r="D8">
        <f t="shared" si="0"/>
        <v>4.431818181818187</v>
      </c>
      <c r="F8">
        <f>38.09/44*100</f>
        <v>86.568181818181827</v>
      </c>
      <c r="G8">
        <f>39.382/44*100</f>
        <v>89.50454545454545</v>
      </c>
      <c r="H8">
        <f t="shared" si="1"/>
        <v>2.9363636363636232</v>
      </c>
      <c r="J8">
        <f>45.592/49*100</f>
        <v>93.044897959183672</v>
      </c>
      <c r="K8">
        <f>46.731/49*100</f>
        <v>95.369387755102039</v>
      </c>
      <c r="L8">
        <f t="shared" si="2"/>
        <v>2.3244897959183675</v>
      </c>
    </row>
    <row r="9" spans="1:12">
      <c r="B9">
        <f>44.21/44*100</f>
        <v>100.47727272727273</v>
      </c>
      <c r="C9">
        <f>45.76/44*100</f>
        <v>104</v>
      </c>
      <c r="D9">
        <f t="shared" si="0"/>
        <v>3.5227272727272663</v>
      </c>
      <c r="F9">
        <f>40.778/51*100</f>
        <v>79.956862745098036</v>
      </c>
      <c r="G9">
        <f>41.837/51*100</f>
        <v>82.033333333333331</v>
      </c>
      <c r="H9">
        <f t="shared" si="1"/>
        <v>2.0764705882352956</v>
      </c>
      <c r="J9">
        <f>35.215/51*100</f>
        <v>69.04901960784315</v>
      </c>
      <c r="K9">
        <f>36.241/51*100</f>
        <v>71.060784313725492</v>
      </c>
      <c r="L9">
        <f t="shared" si="2"/>
        <v>2.0117647058823422</v>
      </c>
    </row>
    <row r="10" spans="1:12">
      <c r="B10">
        <f>36.4/44*100</f>
        <v>82.727272727272734</v>
      </c>
      <c r="C10">
        <f>37.71/44*100</f>
        <v>85.704545454545453</v>
      </c>
      <c r="D10">
        <f t="shared" si="0"/>
        <v>2.9772727272727195</v>
      </c>
      <c r="F10" s="1">
        <f>45.299/49*100</f>
        <v>92.446938775510205</v>
      </c>
      <c r="G10">
        <f>46.801/49*100</f>
        <v>95.512244897959192</v>
      </c>
      <c r="H10">
        <f t="shared" si="1"/>
        <v>3.0653061224489875</v>
      </c>
      <c r="J10">
        <f>39.541/44*100</f>
        <v>89.865909090909085</v>
      </c>
      <c r="K10">
        <f>40.504/44*100</f>
        <v>92.054545454545448</v>
      </c>
      <c r="L10">
        <f t="shared" si="2"/>
        <v>2.1886363636363626</v>
      </c>
    </row>
    <row r="11" spans="1:12">
      <c r="B11">
        <f>43.57/47*100</f>
        <v>92.702127659574472</v>
      </c>
      <c r="C11">
        <f>45.5/47*100</f>
        <v>96.808510638297875</v>
      </c>
      <c r="D11">
        <f t="shared" si="0"/>
        <v>4.1063829787234027</v>
      </c>
      <c r="F11">
        <f>37.859/51*100</f>
        <v>74.233333333333334</v>
      </c>
      <c r="G11">
        <f>40.066/51*100</f>
        <v>78.560784313725492</v>
      </c>
      <c r="H11">
        <f t="shared" si="1"/>
        <v>4.3274509803921575</v>
      </c>
      <c r="J11" s="1">
        <f>35.569/44*100</f>
        <v>80.838636363636368</v>
      </c>
      <c r="K11">
        <f>36.516/44*100</f>
        <v>82.990909090909085</v>
      </c>
      <c r="L11">
        <f t="shared" ref="L11:L15" si="3">K11-J11</f>
        <v>2.1522727272727167</v>
      </c>
    </row>
    <row r="12" spans="1:12">
      <c r="B12">
        <f>46.13/49*100</f>
        <v>94.142857142857153</v>
      </c>
      <c r="C12">
        <f>47.25/49*100</f>
        <v>96.428571428571431</v>
      </c>
      <c r="D12">
        <f t="shared" si="0"/>
        <v>2.2857142857142776</v>
      </c>
      <c r="F12">
        <f>42.466/44*100</f>
        <v>96.513636363636365</v>
      </c>
      <c r="G12">
        <f>43.643/44*100</f>
        <v>99.188636363636363</v>
      </c>
      <c r="H12">
        <f t="shared" si="1"/>
        <v>2.6749999999999972</v>
      </c>
      <c r="J12">
        <f>39.252/47*100</f>
        <v>83.514893617021286</v>
      </c>
      <c r="K12">
        <f>40.148/47*100</f>
        <v>85.421276595744686</v>
      </c>
      <c r="L12">
        <f t="shared" si="3"/>
        <v>1.9063829787233999</v>
      </c>
    </row>
    <row r="13" spans="1:12">
      <c r="B13">
        <f>27.81/47*100</f>
        <v>59.170212765957444</v>
      </c>
      <c r="C13">
        <f>29.96/47*100</f>
        <v>63.744680851063826</v>
      </c>
      <c r="D13">
        <f t="shared" si="0"/>
        <v>4.5744680851063819</v>
      </c>
      <c r="F13">
        <f>33.167/49*100</f>
        <v>67.687755102040811</v>
      </c>
      <c r="G13">
        <f>34.455/49*100</f>
        <v>70.316326530612244</v>
      </c>
      <c r="H13">
        <f t="shared" si="1"/>
        <v>2.6285714285714334</v>
      </c>
      <c r="J13">
        <f>40.294/49*100</f>
        <v>82.232653061224482</v>
      </c>
      <c r="K13">
        <f>41.462/49*100</f>
        <v>84.616326530612255</v>
      </c>
      <c r="L13">
        <f t="shared" si="3"/>
        <v>2.383673469387773</v>
      </c>
    </row>
    <row r="14" spans="1:12">
      <c r="B14">
        <f>47.38/48*100</f>
        <v>98.708333333333343</v>
      </c>
      <c r="C14">
        <f>48.6/48*100</f>
        <v>101.25</v>
      </c>
      <c r="D14">
        <f t="shared" si="0"/>
        <v>2.5416666666666572</v>
      </c>
      <c r="F14">
        <f>29.694/45*100</f>
        <v>65.986666666666665</v>
      </c>
      <c r="G14">
        <f>30.943/45*100</f>
        <v>68.762222222222221</v>
      </c>
      <c r="H14">
        <f t="shared" si="1"/>
        <v>2.775555555555556</v>
      </c>
      <c r="J14">
        <f>38.054/48*100</f>
        <v>79.279166666666669</v>
      </c>
      <c r="K14">
        <f>38.896/48*100</f>
        <v>81.033333333333331</v>
      </c>
      <c r="L14">
        <f t="shared" si="3"/>
        <v>1.7541666666666629</v>
      </c>
    </row>
    <row r="15" spans="1:12">
      <c r="B15">
        <f>46.33/45*100</f>
        <v>102.95555555555555</v>
      </c>
      <c r="C15">
        <f>47.84/45*100</f>
        <v>106.31111111111112</v>
      </c>
      <c r="D15">
        <f t="shared" si="0"/>
        <v>3.3555555555555685</v>
      </c>
      <c r="F15">
        <f>35.855/52*100</f>
        <v>68.951923076923066</v>
      </c>
      <c r="G15">
        <f>36.874/52*100</f>
        <v>70.91153846153847</v>
      </c>
      <c r="H15">
        <f t="shared" si="1"/>
        <v>1.9596153846154039</v>
      </c>
      <c r="J15">
        <f>26.893/45*100</f>
        <v>59.762222222222228</v>
      </c>
      <c r="K15">
        <f>27.694/45*100</f>
        <v>61.542222222222222</v>
      </c>
      <c r="L15">
        <f t="shared" si="3"/>
        <v>1.779999999999994</v>
      </c>
    </row>
    <row r="16" spans="1:12">
      <c r="A16" t="s">
        <v>24</v>
      </c>
      <c r="B16">
        <f>AVERAGE(B2:B15)</f>
        <v>89.488315101465631</v>
      </c>
      <c r="C16">
        <f>AVERAGE(C2:C15)</f>
        <v>92.726705190040121</v>
      </c>
      <c r="D16">
        <f>AVERAGE(D2:D15)</f>
        <v>3.2383900885744983</v>
      </c>
      <c r="F16">
        <f>AVERAGE(F2:F15)</f>
        <v>73.030798879912979</v>
      </c>
      <c r="G16">
        <f>AVERAGE(G2:G15)</f>
        <v>76.462334544852254</v>
      </c>
      <c r="H16">
        <f>AVERAGE(H2:H15)</f>
        <v>3.431535664939275</v>
      </c>
      <c r="J16">
        <f>AVERAGE(J2:J15)</f>
        <v>83.189771753478141</v>
      </c>
      <c r="K16">
        <f>AVERAGE(K2:K15)</f>
        <v>85.454297395169689</v>
      </c>
      <c r="L16">
        <f>AVERAGE(L2:L15)</f>
        <v>2.2645256416915318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262D6-1A46-463F-A495-2132EE7FB5F1}">
  <dimension ref="A1:AB18"/>
  <sheetViews>
    <sheetView workbookViewId="0">
      <selection activeCell="A18" sqref="A18"/>
    </sheetView>
  </sheetViews>
  <sheetFormatPr defaultRowHeight="15"/>
  <sheetData>
    <row r="1" spans="2:28">
      <c r="B1" t="s">
        <v>20</v>
      </c>
      <c r="C1" t="s">
        <v>21</v>
      </c>
      <c r="D1" t="s">
        <v>23</v>
      </c>
      <c r="F1" t="s">
        <v>20</v>
      </c>
      <c r="G1" t="s">
        <v>21</v>
      </c>
      <c r="H1" t="s">
        <v>23</v>
      </c>
      <c r="J1" t="s">
        <v>20</v>
      </c>
      <c r="K1" t="s">
        <v>21</v>
      </c>
      <c r="L1" t="s">
        <v>23</v>
      </c>
      <c r="N1" t="s">
        <v>20</v>
      </c>
      <c r="O1" t="s">
        <v>21</v>
      </c>
      <c r="P1" t="s">
        <v>23</v>
      </c>
      <c r="R1" t="s">
        <v>20</v>
      </c>
      <c r="S1" t="s">
        <v>21</v>
      </c>
      <c r="T1" t="s">
        <v>23</v>
      </c>
      <c r="V1" t="s">
        <v>20</v>
      </c>
      <c r="W1" t="s">
        <v>21</v>
      </c>
      <c r="X1" t="s">
        <v>23</v>
      </c>
      <c r="Z1" t="s">
        <v>20</v>
      </c>
      <c r="AA1" t="s">
        <v>21</v>
      </c>
      <c r="AB1" t="s">
        <v>23</v>
      </c>
    </row>
    <row r="2" spans="2:28">
      <c r="B2">
        <f>38.36/44*100</f>
        <v>87.181818181818187</v>
      </c>
      <c r="C2">
        <f>41.55/44*100</f>
        <v>94.431818181818173</v>
      </c>
      <c r="D2">
        <f>C2-B2</f>
        <v>7.2499999999999858</v>
      </c>
      <c r="F2">
        <f>25.549/44*100</f>
        <v>58.065909090909088</v>
      </c>
      <c r="G2">
        <f>27.524/44*100</f>
        <v>62.554545454545455</v>
      </c>
      <c r="H2">
        <f>G2-F2</f>
        <v>4.4886363636363669</v>
      </c>
      <c r="J2">
        <f>35.088/44*100</f>
        <v>79.74545454545455</v>
      </c>
      <c r="K2">
        <f>36.398/44*100</f>
        <v>82.722727272727283</v>
      </c>
      <c r="L2">
        <f>K2-J2</f>
        <v>2.9772727272727337</v>
      </c>
      <c r="N2">
        <f>35.459/44*100</f>
        <v>80.588636363636368</v>
      </c>
      <c r="O2">
        <f>38.184/44*100</f>
        <v>86.781818181818167</v>
      </c>
      <c r="P2">
        <f>O2-N2</f>
        <v>6.1931818181817988</v>
      </c>
      <c r="R2">
        <f>26.865/37*100</f>
        <v>72.608108108108098</v>
      </c>
      <c r="S2">
        <f>28.098/37*100</f>
        <v>75.940540540540539</v>
      </c>
      <c r="T2">
        <f t="shared" ref="T2:T15" si="0">S2-R2</f>
        <v>3.3324324324324408</v>
      </c>
      <c r="V2">
        <f>35.107/44*100</f>
        <v>79.788636363636371</v>
      </c>
      <c r="W2">
        <f>37.581/44*100</f>
        <v>85.411363636363646</v>
      </c>
      <c r="X2">
        <f>W2-V2</f>
        <v>5.6227272727272748</v>
      </c>
      <c r="Z2">
        <f>45.091/44*100</f>
        <v>102.47954545454544</v>
      </c>
      <c r="AA2">
        <f>47.43/44*100</f>
        <v>107.79545454545453</v>
      </c>
      <c r="AB2">
        <f>AA2-Z2</f>
        <v>5.3159090909090878</v>
      </c>
    </row>
    <row r="3" spans="2:28">
      <c r="B3">
        <f>17.28 /42*100</f>
        <v>41.142857142857146</v>
      </c>
      <c r="C3">
        <f>18.31/42*100</f>
        <v>43.595238095238095</v>
      </c>
      <c r="D3">
        <f t="shared" ref="D3:D14" si="1">C3-B3</f>
        <v>2.452380952380949</v>
      </c>
      <c r="F3">
        <f>33.112/42*100</f>
        <v>78.838095238095235</v>
      </c>
      <c r="G3">
        <f>34.429/42*100</f>
        <v>81.973809523809521</v>
      </c>
      <c r="H3">
        <f t="shared" ref="H3:H15" si="2">G3-F3</f>
        <v>3.1357142857142861</v>
      </c>
      <c r="J3">
        <f>41.714/42*100</f>
        <v>99.319047619047623</v>
      </c>
      <c r="K3">
        <f>42.756/42*100</f>
        <v>101.8</v>
      </c>
      <c r="L3">
        <f t="shared" ref="L3:L14" si="3">K3-J3</f>
        <v>2.4809523809523739</v>
      </c>
      <c r="N3">
        <f>28.382/42*100</f>
        <v>67.576190476190476</v>
      </c>
      <c r="O3">
        <f>28.689/42*100</f>
        <v>68.30714285714285</v>
      </c>
      <c r="P3">
        <f t="shared" ref="P3:P14" si="4">O3-N3</f>
        <v>0.73095238095237391</v>
      </c>
      <c r="R3">
        <f>35.219/44*100</f>
        <v>80.043181818181822</v>
      </c>
      <c r="S3">
        <f>36.139/44*100</f>
        <v>82.134090909090915</v>
      </c>
      <c r="T3">
        <f t="shared" si="0"/>
        <v>2.0909090909090935</v>
      </c>
      <c r="V3">
        <f>20.957/42*100</f>
        <v>49.897619047619052</v>
      </c>
      <c r="W3">
        <f>24.134/42*100</f>
        <v>57.461904761904762</v>
      </c>
      <c r="X3">
        <f t="shared" ref="X3:X17" si="5">W3-V3</f>
        <v>7.5642857142857096</v>
      </c>
      <c r="Z3">
        <f>42.932/42*100</f>
        <v>102.21904761904763</v>
      </c>
      <c r="AA3">
        <f>44.189/42*100</f>
        <v>105.21190476190476</v>
      </c>
      <c r="AB3">
        <f t="shared" ref="AB3:AB12" si="6">AA3-Z3</f>
        <v>2.9928571428571331</v>
      </c>
    </row>
    <row r="4" spans="2:28">
      <c r="B4">
        <f>16.67/37*100</f>
        <v>45.054054054054063</v>
      </c>
      <c r="C4">
        <f>17.85/37*100</f>
        <v>48.243243243243242</v>
      </c>
      <c r="D4">
        <f t="shared" si="1"/>
        <v>3.1891891891891788</v>
      </c>
      <c r="F4">
        <f>46.234/44*100</f>
        <v>105.07727272727274</v>
      </c>
      <c r="G4">
        <f>49.794/44*100</f>
        <v>113.16818181818181</v>
      </c>
      <c r="H4">
        <f t="shared" si="2"/>
        <v>8.0909090909090651</v>
      </c>
      <c r="J4">
        <f>16.479/37*100</f>
        <v>44.537837837837834</v>
      </c>
      <c r="K4">
        <f>17.715/37*100</f>
        <v>47.878378378378379</v>
      </c>
      <c r="L4">
        <f t="shared" si="3"/>
        <v>3.3405405405405446</v>
      </c>
      <c r="N4">
        <f>26.335/37*100</f>
        <v>71.175675675675677</v>
      </c>
      <c r="O4">
        <f>26.686/37*100</f>
        <v>72.124324324324334</v>
      </c>
      <c r="P4">
        <f t="shared" si="4"/>
        <v>0.94864864864865694</v>
      </c>
      <c r="R4">
        <f>33.587/47*100</f>
        <v>71.461702127659578</v>
      </c>
      <c r="S4">
        <f>34.94/47*100</f>
        <v>74.340425531914889</v>
      </c>
      <c r="T4">
        <f t="shared" si="0"/>
        <v>2.8787234042553109</v>
      </c>
      <c r="V4">
        <f>22.005/37*100</f>
        <v>59.472972972972968</v>
      </c>
      <c r="W4">
        <f>23.668/37*100</f>
        <v>63.967567567567563</v>
      </c>
      <c r="X4">
        <f t="shared" si="5"/>
        <v>4.4945945945945951</v>
      </c>
      <c r="Z4">
        <f>26.728/37*100</f>
        <v>72.237837837837844</v>
      </c>
      <c r="AA4">
        <f>27.871/37*100</f>
        <v>75.327027027027029</v>
      </c>
      <c r="AB4">
        <f t="shared" si="6"/>
        <v>3.0891891891891845</v>
      </c>
    </row>
    <row r="5" spans="2:28">
      <c r="B5">
        <f>38.96/44*100</f>
        <v>88.545454545454547</v>
      </c>
      <c r="C5">
        <f>39.74/44*100</f>
        <v>90.318181818181813</v>
      </c>
      <c r="D5">
        <f t="shared" si="1"/>
        <v>1.7727272727272663</v>
      </c>
      <c r="F5">
        <f>26.167/41*100</f>
        <v>63.821951219512194</v>
      </c>
      <c r="G5">
        <f>27.36/41*100</f>
        <v>66.731707317073173</v>
      </c>
      <c r="H5">
        <f t="shared" si="2"/>
        <v>2.9097560975609795</v>
      </c>
      <c r="J5">
        <f>40.459/44*100</f>
        <v>91.952272727272728</v>
      </c>
      <c r="K5">
        <f>41.622/44*100</f>
        <v>94.595454545454544</v>
      </c>
      <c r="L5">
        <f t="shared" si="3"/>
        <v>2.6431818181818159</v>
      </c>
      <c r="N5">
        <f>42.787/44*100</f>
        <v>97.24318181818181</v>
      </c>
      <c r="O5">
        <f>43.331/44*100</f>
        <v>98.479545454545459</v>
      </c>
      <c r="P5">
        <f t="shared" si="4"/>
        <v>1.2363636363636488</v>
      </c>
      <c r="R5">
        <f>42.008/41*100</f>
        <v>102.45853658536586</v>
      </c>
      <c r="S5">
        <f>43.838/41*100</f>
        <v>106.9219512195122</v>
      </c>
      <c r="T5">
        <f t="shared" si="0"/>
        <v>4.4634146341463321</v>
      </c>
      <c r="V5">
        <f>44.197/44*100</f>
        <v>100.44772727272728</v>
      </c>
      <c r="W5">
        <f>46.666/44*100</f>
        <v>106.0590909090909</v>
      </c>
      <c r="X5">
        <f t="shared" si="5"/>
        <v>5.6113636363636203</v>
      </c>
      <c r="Z5">
        <f>42.882/44*100</f>
        <v>97.459090909090904</v>
      </c>
      <c r="AA5">
        <f>44.088/44*100</f>
        <v>100.2</v>
      </c>
      <c r="AB5">
        <f t="shared" si="6"/>
        <v>2.7409090909090992</v>
      </c>
    </row>
    <row r="6" spans="2:28">
      <c r="B6">
        <f>35.88/41*100</f>
        <v>87.512195121951237</v>
      </c>
      <c r="C6">
        <f>36.78/41*100</f>
        <v>89.707317073170728</v>
      </c>
      <c r="D6">
        <f t="shared" si="1"/>
        <v>2.1951219512194911</v>
      </c>
      <c r="F6">
        <f>8.848/44*100</f>
        <v>20.109090909090909</v>
      </c>
      <c r="G6">
        <f>10.085/44*100</f>
        <v>22.920454545454547</v>
      </c>
      <c r="H6">
        <f t="shared" si="2"/>
        <v>2.8113636363636374</v>
      </c>
      <c r="J6">
        <f>28.904/47*100</f>
        <v>61.497872340425531</v>
      </c>
      <c r="K6">
        <f>30.345/47*100</f>
        <v>64.563829787234042</v>
      </c>
      <c r="L6">
        <f t="shared" si="3"/>
        <v>3.0659574468085111</v>
      </c>
      <c r="N6">
        <f>50.348/47*100</f>
        <v>107.12340425531914</v>
      </c>
      <c r="O6">
        <f>50.869/47*100</f>
        <v>108.23191489361703</v>
      </c>
      <c r="P6">
        <f t="shared" si="4"/>
        <v>1.1085106382978864</v>
      </c>
      <c r="R6">
        <f>43.468/44*100</f>
        <v>98.790909090909096</v>
      </c>
      <c r="S6">
        <f>45.173/44*100</f>
        <v>102.6659090909091</v>
      </c>
      <c r="T6">
        <f t="shared" si="0"/>
        <v>3.875</v>
      </c>
      <c r="V6">
        <f>26.247/41*100</f>
        <v>64.017073170731706</v>
      </c>
      <c r="W6">
        <f>27.954/41*100</f>
        <v>68.180487804878055</v>
      </c>
      <c r="X6">
        <f t="shared" si="5"/>
        <v>4.1634146341463492</v>
      </c>
      <c r="Z6">
        <f>42.507/47*100</f>
        <v>90.440425531914897</v>
      </c>
      <c r="AA6">
        <f>43.495/47*100</f>
        <v>92.542553191489347</v>
      </c>
      <c r="AB6">
        <f t="shared" si="6"/>
        <v>2.1021276595744496</v>
      </c>
    </row>
    <row r="7" spans="2:28">
      <c r="B7">
        <f>29.17/51*100</f>
        <v>57.196078431372555</v>
      </c>
      <c r="C7">
        <f>29.93/51*100</f>
        <v>58.686274509803923</v>
      </c>
      <c r="D7">
        <f t="shared" si="1"/>
        <v>1.4901960784313673</v>
      </c>
      <c r="F7">
        <f>48.881/51*100</f>
        <v>95.845098039215685</v>
      </c>
      <c r="G7">
        <f>50.856/51*100</f>
        <v>99.71764705882353</v>
      </c>
      <c r="H7">
        <f t="shared" si="2"/>
        <v>3.8725490196078454</v>
      </c>
      <c r="J7">
        <f>23.96/41*100</f>
        <v>58.439024390243908</v>
      </c>
      <c r="K7">
        <f>24.701/41*100</f>
        <v>60.24634146341463</v>
      </c>
      <c r="L7">
        <f t="shared" si="3"/>
        <v>1.8073170731707222</v>
      </c>
      <c r="N7">
        <f>17.649/41*100</f>
        <v>43.046341463414642</v>
      </c>
      <c r="O7">
        <f>18.221/41*100</f>
        <v>44.44146341463415</v>
      </c>
      <c r="P7">
        <f t="shared" si="4"/>
        <v>1.3951219512195081</v>
      </c>
      <c r="R7">
        <f>32.862/49*100</f>
        <v>67.065306122448987</v>
      </c>
      <c r="S7">
        <f>33.934/49*100</f>
        <v>69.253061224489784</v>
      </c>
      <c r="T7">
        <f t="shared" si="0"/>
        <v>2.1877551020407964</v>
      </c>
      <c r="V7">
        <f>28.338/44*100</f>
        <v>64.404545454545456</v>
      </c>
      <c r="W7">
        <f>30.134/44*100</f>
        <v>68.486363636363635</v>
      </c>
      <c r="X7">
        <f t="shared" si="5"/>
        <v>4.0818181818181785</v>
      </c>
      <c r="Z7">
        <f>40.648/41*100</f>
        <v>99.14146341463416</v>
      </c>
      <c r="AA7">
        <f>41.533/41*100</f>
        <v>101.30000000000001</v>
      </c>
      <c r="AB7">
        <f t="shared" si="6"/>
        <v>2.1585365853658516</v>
      </c>
    </row>
    <row r="8" spans="2:28">
      <c r="B8">
        <f>49.83/49*100</f>
        <v>101.69387755102039</v>
      </c>
      <c r="C8">
        <f>50.45/49*100</f>
        <v>102.9591836734694</v>
      </c>
      <c r="D8">
        <f t="shared" si="1"/>
        <v>1.2653061224490045</v>
      </c>
      <c r="F8">
        <f>32.624/44*100</f>
        <v>74.145454545454541</v>
      </c>
      <c r="G8">
        <f>34.466/44*100</f>
        <v>78.331818181818178</v>
      </c>
      <c r="H8">
        <f t="shared" si="2"/>
        <v>4.1863636363636374</v>
      </c>
      <c r="J8">
        <f>19.926/44*100</f>
        <v>45.286363636363632</v>
      </c>
      <c r="K8" s="1">
        <f>20.967/44*100</f>
        <v>47.652272727272724</v>
      </c>
      <c r="L8">
        <f t="shared" si="3"/>
        <v>2.3659090909090921</v>
      </c>
      <c r="N8">
        <f>33.448/44*100</f>
        <v>76.018181818181816</v>
      </c>
      <c r="O8">
        <f>34.032/44*100</f>
        <v>77.345454545454544</v>
      </c>
      <c r="P8">
        <f t="shared" si="4"/>
        <v>1.327272727272728</v>
      </c>
      <c r="R8">
        <f>42.837/51*100</f>
        <v>83.994117647058829</v>
      </c>
      <c r="S8">
        <f>43.89/51*100</f>
        <v>86.058823529411768</v>
      </c>
      <c r="T8">
        <f t="shared" si="0"/>
        <v>2.0647058823529392</v>
      </c>
      <c r="V8">
        <f>53.321/51*100</f>
        <v>104.55098039215687</v>
      </c>
      <c r="W8">
        <f>55.855/51*100</f>
        <v>109.51960784313725</v>
      </c>
      <c r="X8">
        <f t="shared" si="5"/>
        <v>4.9686274509803781</v>
      </c>
      <c r="Z8">
        <f>30.126/44*100</f>
        <v>68.468181818181819</v>
      </c>
      <c r="AA8">
        <f>31.517/44*100</f>
        <v>71.62954545454545</v>
      </c>
      <c r="AB8">
        <f t="shared" si="6"/>
        <v>3.1613636363636317</v>
      </c>
    </row>
    <row r="9" spans="2:28">
      <c r="B9">
        <f>33.06/51*100</f>
        <v>64.82352941176471</v>
      </c>
      <c r="C9">
        <f>33.99/51*100</f>
        <v>66.64705882352942</v>
      </c>
      <c r="D9">
        <f t="shared" si="1"/>
        <v>1.8235294117647101</v>
      </c>
      <c r="F9">
        <f>27.364/44*100</f>
        <v>62.190909090909095</v>
      </c>
      <c r="G9">
        <f>28.767/44*100</f>
        <v>65.37954545454545</v>
      </c>
      <c r="H9">
        <f t="shared" si="2"/>
        <v>3.1886363636363555</v>
      </c>
      <c r="J9">
        <f>20.513/51*100</f>
        <v>40.221568627450985</v>
      </c>
      <c r="K9">
        <f>21.28/51*100</f>
        <v>41.725490196078432</v>
      </c>
      <c r="L9">
        <f t="shared" si="3"/>
        <v>1.5039215686274474</v>
      </c>
      <c r="N9">
        <f>30.823/51*100</f>
        <v>60.437254901960777</v>
      </c>
      <c r="O9">
        <f>31.38/51*100</f>
        <v>61.529411764705877</v>
      </c>
      <c r="P9">
        <f t="shared" si="4"/>
        <v>1.0921568627450995</v>
      </c>
      <c r="R9">
        <f>34.894/44*100</f>
        <v>79.304545454545448</v>
      </c>
      <c r="S9">
        <f>35.841/44*100</f>
        <v>81.456818181818178</v>
      </c>
      <c r="T9">
        <f t="shared" si="0"/>
        <v>2.1522727272727309</v>
      </c>
      <c r="V9">
        <f>48.534/49*100</f>
        <v>99.048979591836726</v>
      </c>
      <c r="W9">
        <f>50.217/49*100</f>
        <v>102.48367346938775</v>
      </c>
      <c r="X9">
        <f t="shared" si="5"/>
        <v>3.4346938775510267</v>
      </c>
      <c r="Z9">
        <f>48.462/51*100</f>
        <v>95.023529411764713</v>
      </c>
      <c r="AA9">
        <f>50.919/51*100</f>
        <v>99.841176470588238</v>
      </c>
      <c r="AB9">
        <f t="shared" si="6"/>
        <v>4.8176470588235247</v>
      </c>
    </row>
    <row r="10" spans="2:28">
      <c r="B10">
        <f>43.71/44*100</f>
        <v>99.340909090909093</v>
      </c>
      <c r="C10">
        <f>44.88/44*100</f>
        <v>102</v>
      </c>
      <c r="D10">
        <f t="shared" si="1"/>
        <v>2.6590909090909065</v>
      </c>
      <c r="F10">
        <f>39.113/47*100</f>
        <v>83.2191489361702</v>
      </c>
      <c r="G10">
        <f>40.38/47*100</f>
        <v>85.914893617021278</v>
      </c>
      <c r="H10">
        <f t="shared" si="2"/>
        <v>2.6957446808510781</v>
      </c>
      <c r="J10">
        <f>31.774/49*100</f>
        <v>64.844897959183683</v>
      </c>
      <c r="K10">
        <f>32.734/49*100</f>
        <v>66.804081632653066</v>
      </c>
      <c r="L10">
        <f t="shared" si="3"/>
        <v>1.9591836734693828</v>
      </c>
      <c r="N10">
        <f>19.217/44*100</f>
        <v>43.674999999999997</v>
      </c>
      <c r="O10">
        <f>19.381/44*100</f>
        <v>44.047727272727272</v>
      </c>
      <c r="P10">
        <f t="shared" si="4"/>
        <v>0.37272727272727479</v>
      </c>
      <c r="R10">
        <f>29.655/44*100</f>
        <v>67.397727272727266</v>
      </c>
      <c r="S10">
        <f>31.905/44*100</f>
        <v>72.51136363636364</v>
      </c>
      <c r="T10">
        <f t="shared" si="0"/>
        <v>5.113636363636374</v>
      </c>
      <c r="V10">
        <f>43.215/51*100</f>
        <v>84.735294117647058</v>
      </c>
      <c r="W10">
        <f>44.631/51*100</f>
        <v>87.511764705882356</v>
      </c>
      <c r="X10">
        <f t="shared" si="5"/>
        <v>2.7764705882352985</v>
      </c>
      <c r="Z10">
        <f>48.036/44*100</f>
        <v>109.17272727272727</v>
      </c>
      <c r="AA10">
        <f>49.137/44*100</f>
        <v>111.675</v>
      </c>
      <c r="AB10">
        <f t="shared" si="6"/>
        <v>2.5022727272727252</v>
      </c>
    </row>
    <row r="11" spans="2:28">
      <c r="B11">
        <f>17.18/47*100</f>
        <v>36.553191489361701</v>
      </c>
      <c r="C11">
        <f>17.95/47*100</f>
        <v>38.191489361702125</v>
      </c>
      <c r="D11">
        <f t="shared" si="1"/>
        <v>1.6382978723404236</v>
      </c>
      <c r="F11">
        <f>40.215/49*100</f>
        <v>82.071428571428569</v>
      </c>
      <c r="G11">
        <f>41.763/49*100</f>
        <v>85.230612244897955</v>
      </c>
      <c r="H11">
        <f t="shared" si="2"/>
        <v>3.1591836734693857</v>
      </c>
      <c r="J11">
        <f>37.117/44*100</f>
        <v>84.35681818181817</v>
      </c>
      <c r="K11">
        <f>38.077/44*100</f>
        <v>86.538636363636357</v>
      </c>
      <c r="L11">
        <f t="shared" si="3"/>
        <v>2.181818181818187</v>
      </c>
      <c r="N11">
        <f>27.791/44*100</f>
        <v>63.161363636363632</v>
      </c>
      <c r="O11">
        <f>28.023/44*100</f>
        <v>63.688636363636363</v>
      </c>
      <c r="P11">
        <f t="shared" si="4"/>
        <v>0.52727272727273089</v>
      </c>
      <c r="R11">
        <f>43.953/47*100</f>
        <v>93.517021276595742</v>
      </c>
      <c r="S11">
        <f>45.258/47*100</f>
        <v>96.293617021276603</v>
      </c>
      <c r="T11">
        <f t="shared" si="0"/>
        <v>2.7765957446808613</v>
      </c>
      <c r="V11">
        <f>44.24/44*100</f>
        <v>100.54545454545456</v>
      </c>
      <c r="W11">
        <f>46.029/44*100</f>
        <v>104.61136363636365</v>
      </c>
      <c r="X11">
        <f t="shared" si="5"/>
        <v>4.0659090909090878</v>
      </c>
      <c r="Z11">
        <f>47.465/49*100</f>
        <v>96.867346938775526</v>
      </c>
      <c r="AA11">
        <f>48.547/49*100</f>
        <v>99.075510204081624</v>
      </c>
      <c r="AB11">
        <f t="shared" si="6"/>
        <v>2.2081632653060979</v>
      </c>
    </row>
    <row r="12" spans="2:28">
      <c r="B12">
        <f>28.57/49*100</f>
        <v>58.306122448979593</v>
      </c>
      <c r="C12">
        <f>29.77/49*100</f>
        <v>60.755102040816325</v>
      </c>
      <c r="D12">
        <f t="shared" si="1"/>
        <v>2.4489795918367321</v>
      </c>
      <c r="F12">
        <f>26.842/47*100</f>
        <v>57.110638297872342</v>
      </c>
      <c r="G12">
        <f>28.543/47*100</f>
        <v>60.729787234042554</v>
      </c>
      <c r="H12">
        <f t="shared" si="2"/>
        <v>3.6191489361702125</v>
      </c>
      <c r="J12">
        <f>22.394/49*100</f>
        <v>45.70204081632653</v>
      </c>
      <c r="K12">
        <f>24.401/49*100</f>
        <v>49.79795918367347</v>
      </c>
      <c r="L12">
        <f t="shared" si="3"/>
        <v>4.0959183673469397</v>
      </c>
      <c r="N12">
        <f>32.685/47*100</f>
        <v>69.542553191489361</v>
      </c>
      <c r="O12">
        <f>33.301/47*100</f>
        <v>70.853191489361706</v>
      </c>
      <c r="P12">
        <f t="shared" si="4"/>
        <v>1.3106382978723445</v>
      </c>
      <c r="R12">
        <f>48.77/49*100</f>
        <v>99.530612244897966</v>
      </c>
      <c r="S12">
        <f>50.117/49*100</f>
        <v>102.2795918367347</v>
      </c>
      <c r="T12">
        <f t="shared" si="0"/>
        <v>2.7489795918367292</v>
      </c>
      <c r="V12">
        <f>35.563/44*100</f>
        <v>80.825000000000003</v>
      </c>
      <c r="W12">
        <f>37.134/44*100</f>
        <v>84.395454545454555</v>
      </c>
      <c r="X12">
        <f t="shared" si="5"/>
        <v>3.5704545454545524</v>
      </c>
      <c r="Z12">
        <f>26.633/45*100</f>
        <v>59.184444444444438</v>
      </c>
      <c r="AA12">
        <f>27.871/45*100</f>
        <v>61.935555555555553</v>
      </c>
      <c r="AB12">
        <f t="shared" si="6"/>
        <v>2.7511111111111148</v>
      </c>
    </row>
    <row r="13" spans="2:28">
      <c r="B13">
        <f>48.14/48*100</f>
        <v>100.29166666666667</v>
      </c>
      <c r="C13">
        <f>49.1/48*100</f>
        <v>102.29166666666667</v>
      </c>
      <c r="D13">
        <f t="shared" si="1"/>
        <v>2</v>
      </c>
      <c r="F13">
        <f>35.323/48*100</f>
        <v>73.589583333333337</v>
      </c>
      <c r="G13">
        <f>36.639/48*100</f>
        <v>76.331250000000011</v>
      </c>
      <c r="H13">
        <f t="shared" si="2"/>
        <v>2.7416666666666742</v>
      </c>
      <c r="J13">
        <f>16.595/47*100</f>
        <v>35.308510638297868</v>
      </c>
      <c r="K13">
        <f>18.635/47*100</f>
        <v>39.648936170212764</v>
      </c>
      <c r="L13">
        <f t="shared" si="3"/>
        <v>4.3404255319148959</v>
      </c>
      <c r="N13">
        <f>47.247/49*100</f>
        <v>96.422448979591834</v>
      </c>
      <c r="O13">
        <f>47.435/49*100</f>
        <v>96.806122448979593</v>
      </c>
      <c r="P13">
        <f t="shared" si="4"/>
        <v>0.38367346938775881</v>
      </c>
      <c r="R13">
        <f>26.399/47*100</f>
        <v>56.168085106382982</v>
      </c>
      <c r="S13">
        <f>28.259/47*100</f>
        <v>60.125531914893614</v>
      </c>
      <c r="T13">
        <f t="shared" si="0"/>
        <v>3.9574468085106318</v>
      </c>
      <c r="V13">
        <f>36.945/47*100</f>
        <v>78.606382978723417</v>
      </c>
      <c r="W13">
        <f>38.343/47*100</f>
        <v>81.580851063829797</v>
      </c>
      <c r="X13">
        <f t="shared" si="5"/>
        <v>2.9744680851063805</v>
      </c>
    </row>
    <row r="14" spans="2:28">
      <c r="B14">
        <f>25.66/52*100</f>
        <v>49.346153846153847</v>
      </c>
      <c r="C14">
        <f>26.86/52*100</f>
        <v>51.653846153846153</v>
      </c>
      <c r="D14">
        <f t="shared" si="1"/>
        <v>2.3076923076923066</v>
      </c>
      <c r="F14">
        <f>36.926/45*100</f>
        <v>82.057777777777787</v>
      </c>
      <c r="G14">
        <f>38.358/45*100</f>
        <v>85.24</v>
      </c>
      <c r="H14">
        <f t="shared" si="2"/>
        <v>3.1822222222222081</v>
      </c>
      <c r="J14">
        <f>26.352/45*100</f>
        <v>58.56</v>
      </c>
      <c r="K14">
        <f>30.328/45*100</f>
        <v>67.395555555555546</v>
      </c>
      <c r="L14">
        <f t="shared" si="3"/>
        <v>8.8355555555555441</v>
      </c>
      <c r="N14">
        <f>43.595/48*100</f>
        <v>90.822916666666657</v>
      </c>
      <c r="O14">
        <f>45.746/48*100</f>
        <v>95.304166666666674</v>
      </c>
      <c r="P14">
        <f t="shared" si="4"/>
        <v>4.4812500000000171</v>
      </c>
      <c r="R14">
        <f>48.238/48*100</f>
        <v>100.49583333333334</v>
      </c>
      <c r="S14">
        <f>49.074/48*100</f>
        <v>102.2375</v>
      </c>
      <c r="T14">
        <f t="shared" si="0"/>
        <v>1.74166666666666</v>
      </c>
      <c r="V14">
        <f>32.824/49*100</f>
        <v>66.987755102040808</v>
      </c>
      <c r="W14">
        <f>34.469/49*100</f>
        <v>70.344897959183669</v>
      </c>
      <c r="X14">
        <f t="shared" si="5"/>
        <v>3.3571428571428612</v>
      </c>
    </row>
    <row r="15" spans="2:28">
      <c r="F15">
        <f>37.013/52*100</f>
        <v>71.178846153846152</v>
      </c>
      <c r="G15">
        <f>38.729/52*100</f>
        <v>74.478846153846163</v>
      </c>
      <c r="H15">
        <f t="shared" si="2"/>
        <v>3.3000000000000114</v>
      </c>
      <c r="R15">
        <f>46.551/45*100</f>
        <v>103.44666666666666</v>
      </c>
      <c r="S15">
        <f>47.762/45*100</f>
        <v>106.13777777777777</v>
      </c>
      <c r="T15">
        <f t="shared" si="0"/>
        <v>2.6911111111111126</v>
      </c>
      <c r="V15">
        <f>26.582/47*100</f>
        <v>56.557446808510633</v>
      </c>
      <c r="W15">
        <f>28.896/47*100</f>
        <v>61.480851063829789</v>
      </c>
      <c r="X15">
        <f t="shared" si="5"/>
        <v>4.9234042553191557</v>
      </c>
    </row>
    <row r="16" spans="2:28">
      <c r="V16">
        <f>25.278/45*100</f>
        <v>56.173333333333332</v>
      </c>
      <c r="W16">
        <f>26.749/45*100</f>
        <v>59.44222222222222</v>
      </c>
      <c r="X16">
        <f t="shared" si="5"/>
        <v>3.2688888888888883</v>
      </c>
    </row>
    <row r="17" spans="1:28">
      <c r="V17">
        <f>54.855/52*100</f>
        <v>105.4903846153846</v>
      </c>
      <c r="W17">
        <f>56.671/52*100</f>
        <v>108.9826923076923</v>
      </c>
      <c r="X17">
        <f t="shared" si="5"/>
        <v>3.4923076923077048</v>
      </c>
    </row>
    <row r="18" spans="1:28">
      <c r="A18" t="s">
        <v>24</v>
      </c>
      <c r="B18">
        <f>AVERAGE(B2:B14)</f>
        <v>70.537531383258752</v>
      </c>
      <c r="C18">
        <f>AVERAGE(C2:C15)</f>
        <v>73.036955357037385</v>
      </c>
      <c r="D18">
        <f>AVERAGE(D2:D15)</f>
        <v>2.4994239737786401</v>
      </c>
      <c r="F18">
        <f>AVERAGE(F2:F15)</f>
        <v>71.951514566491994</v>
      </c>
      <c r="G18">
        <f>AVERAGE(G2:G15)</f>
        <v>75.621649900289981</v>
      </c>
      <c r="H18">
        <f>AVERAGE(H2:H15)</f>
        <v>3.6701353337979818</v>
      </c>
      <c r="J18">
        <f>AVERAGE(J2:J15)</f>
        <v>62.290131486132552</v>
      </c>
      <c r="K18">
        <f>AVERAGE(K2:K15)</f>
        <v>65.489974098176248</v>
      </c>
      <c r="L18">
        <f>AVERAGE(L2:L17)</f>
        <v>3.1998426120437071</v>
      </c>
      <c r="N18">
        <f>AVERAGE(N2:N17)</f>
        <v>74.371780711282469</v>
      </c>
      <c r="O18">
        <f>AVERAGE(O2:O17)</f>
        <v>75.995455359816475</v>
      </c>
      <c r="P18">
        <f>AVERAGE(P2:P17)</f>
        <v>1.6236746485339866</v>
      </c>
      <c r="R18">
        <f>AVERAGE(R2:R17)</f>
        <v>84.020168061062989</v>
      </c>
      <c r="S18">
        <f>AVERAGE(S2:S17)</f>
        <v>87.025500172480974</v>
      </c>
      <c r="T18">
        <f>AVERAGE(T2:T15)</f>
        <v>3.0053321114180007</v>
      </c>
      <c r="V18">
        <f>AVERAGE(V2:V17)</f>
        <v>78.221849110457555</v>
      </c>
      <c r="W18">
        <f>AVERAGE(W2:W17)</f>
        <v>82.495009820821991</v>
      </c>
      <c r="X18">
        <f>AVERAGE(X2:X17)</f>
        <v>4.2731607103644409</v>
      </c>
      <c r="Z18">
        <f>AVERAGE(Z2:Z17)</f>
        <v>90.244876422996782</v>
      </c>
      <c r="AA18">
        <f>AVERAGE(AA2:AA12)</f>
        <v>93.321247928240609</v>
      </c>
      <c r="AB18">
        <f>AVERAGE(AB2:AB17)</f>
        <v>3.076371505243809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Anna Jung</cp:lastModifiedBy>
  <cp:revision/>
  <dcterms:created xsi:type="dcterms:W3CDTF">2025-03-30T12:03:38Z</dcterms:created>
  <dcterms:modified xsi:type="dcterms:W3CDTF">2025-04-07T05:29:07Z</dcterms:modified>
  <cp:category/>
  <cp:contentStatus/>
</cp:coreProperties>
</file>